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LAB\April 2024 Version\Research-Project\Data\"/>
    </mc:Choice>
  </mc:AlternateContent>
  <xr:revisionPtr revIDLastSave="0" documentId="13_ncr:1_{8E9C3D8E-3A48-4802-BEA9-3C32D25B96FC}" xr6:coauthVersionLast="47" xr6:coauthVersionMax="47" xr10:uidLastSave="{00000000-0000-0000-0000-000000000000}"/>
  <bookViews>
    <workbookView xWindow="-108" yWindow="-108" windowWidth="23256" windowHeight="12456" tabRatio="821" firstSheet="6" activeTab="7"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G70" i="6" l="1"/>
  <c r="AJ3" i="6"/>
  <c r="AD69" i="6" l="1"/>
  <c r="AE69" i="6"/>
  <c r="AG61" i="6"/>
  <c r="AE70" i="6"/>
  <c r="AM43" i="6"/>
  <c r="AG6" i="6"/>
  <c r="AM5" i="6"/>
  <c r="AM6"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4" i="6"/>
  <c r="AM45" i="6"/>
  <c r="AM46" i="6"/>
  <c r="AM47" i="6"/>
  <c r="AM48" i="6"/>
  <c r="AM49" i="6"/>
  <c r="AM50" i="6"/>
  <c r="AM51" i="6"/>
  <c r="AM52" i="6"/>
  <c r="AM53" i="6"/>
  <c r="AM54" i="6"/>
  <c r="AM55" i="6"/>
  <c r="AM56" i="6"/>
  <c r="AM57" i="6"/>
  <c r="AM58" i="6"/>
  <c r="AM59" i="6"/>
  <c r="AM60" i="6"/>
  <c r="AM61" i="6"/>
  <c r="AM62" i="6"/>
  <c r="AM63" i="6"/>
  <c r="AM64" i="6"/>
  <c r="AM65" i="6"/>
  <c r="AM66" i="6"/>
  <c r="AM67" i="6"/>
  <c r="AM4" i="6"/>
  <c r="AM68" i="6"/>
  <c r="BE5" i="6"/>
  <c r="BF5" i="6"/>
  <c r="BG5" i="6"/>
  <c r="BH5" i="6"/>
  <c r="BI5" i="6"/>
  <c r="BJ5" i="6"/>
  <c r="BK5" i="6"/>
  <c r="BL5" i="6"/>
  <c r="BM5" i="6"/>
  <c r="BN5" i="6"/>
  <c r="BO5" i="6"/>
  <c r="BP5" i="6"/>
  <c r="BQ5" i="6"/>
  <c r="BR5" i="6"/>
  <c r="BS5" i="6"/>
  <c r="BT5" i="6"/>
  <c r="BU5" i="6"/>
  <c r="BV5" i="6"/>
  <c r="BW5" i="6"/>
  <c r="BX5" i="6"/>
  <c r="AP70" i="6" s="1"/>
  <c r="J8" i="11"/>
  <c r="J9" i="11"/>
  <c r="J10" i="11"/>
  <c r="J11" i="11"/>
  <c r="I9" i="11"/>
  <c r="I10" i="11"/>
  <c r="I11" i="11"/>
  <c r="I8" i="11"/>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5" i="6"/>
  <c r="W31" i="12"/>
  <c r="M20" i="12"/>
  <c r="AQ70" i="6" l="1"/>
  <c r="AG69" i="6"/>
  <c r="AH69" i="6" s="1"/>
  <c r="AM69" i="6"/>
  <c r="AM70" i="6" s="1"/>
  <c r="D11" i="14"/>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AS70" i="6" l="1"/>
  <c r="E11" i="14"/>
  <c r="F11" i="14" s="1"/>
  <c r="J11" i="14" s="1"/>
  <c r="D12" i="14"/>
  <c r="G47" i="7"/>
  <c r="D13" i="14" l="1"/>
  <c r="E12" i="14"/>
  <c r="F12" i="14" s="1"/>
  <c r="J12" i="14" s="1"/>
  <c r="E13" i="14" l="1"/>
  <c r="F13" i="14" s="1"/>
  <c r="J13" i="14" s="1"/>
  <c r="D14" i="14"/>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Y55" i="6"/>
  <c r="Z55" i="6" s="1"/>
  <c r="Z5" i="6"/>
  <c r="Z6" i="6"/>
  <c r="Z7" i="6"/>
  <c r="Z9" i="6"/>
  <c r="Z14" i="6"/>
  <c r="Z15" i="6"/>
  <c r="Z16" i="6"/>
  <c r="Z17" i="6"/>
  <c r="Z22" i="6"/>
  <c r="Z23" i="6"/>
  <c r="Z24" i="6"/>
  <c r="Z25" i="6"/>
  <c r="Z30" i="6"/>
  <c r="Z31" i="6"/>
  <c r="Z32" i="6"/>
  <c r="Z33" i="6"/>
  <c r="Z38" i="6"/>
  <c r="Z39" i="6"/>
  <c r="Z40" i="6"/>
  <c r="Z41" i="6"/>
  <c r="Y8" i="6"/>
  <c r="Z8" i="6" s="1"/>
  <c r="Y4" i="6"/>
  <c r="Z4" i="6" s="1"/>
  <c r="Y6" i="6"/>
  <c r="Y5" i="6"/>
  <c r="Y7" i="6"/>
  <c r="Y9" i="6"/>
  <c r="Y10" i="6"/>
  <c r="Z10" i="6" s="1"/>
  <c r="Y11" i="6"/>
  <c r="Z11" i="6" s="1"/>
  <c r="Y12" i="6"/>
  <c r="Z12" i="6" s="1"/>
  <c r="Y13" i="6"/>
  <c r="Z13" i="6" s="1"/>
  <c r="Y14" i="6"/>
  <c r="Y15" i="6"/>
  <c r="Y16" i="6"/>
  <c r="Y17" i="6"/>
  <c r="Y18" i="6"/>
  <c r="Z18" i="6" s="1"/>
  <c r="Y19" i="6"/>
  <c r="Z19" i="6" s="1"/>
  <c r="Y20" i="6"/>
  <c r="Z20" i="6" s="1"/>
  <c r="Y21" i="6"/>
  <c r="Z21" i="6" s="1"/>
  <c r="Y22" i="6"/>
  <c r="Y23" i="6"/>
  <c r="Y24" i="6"/>
  <c r="Y25" i="6"/>
  <c r="Y26" i="6"/>
  <c r="Z26" i="6" s="1"/>
  <c r="Y27" i="6"/>
  <c r="Z27" i="6" s="1"/>
  <c r="Y28" i="6"/>
  <c r="Z28" i="6" s="1"/>
  <c r="Y29" i="6"/>
  <c r="Z29" i="6" s="1"/>
  <c r="Y30" i="6"/>
  <c r="Y31" i="6"/>
  <c r="Y32" i="6"/>
  <c r="Y33" i="6"/>
  <c r="Y34" i="6"/>
  <c r="Z34" i="6" s="1"/>
  <c r="Y35" i="6"/>
  <c r="Z35" i="6" s="1"/>
  <c r="Y36" i="6"/>
  <c r="Z36" i="6" s="1"/>
  <c r="Y37" i="6"/>
  <c r="Z37" i="6" s="1"/>
  <c r="Y38" i="6"/>
  <c r="Y39" i="6"/>
  <c r="Y40" i="6"/>
  <c r="Y41" i="6"/>
  <c r="Y42" i="6"/>
  <c r="Z42" i="6" s="1"/>
  <c r="Y43" i="6"/>
  <c r="Z43" i="6" s="1"/>
  <c r="Y44" i="6"/>
  <c r="Z44" i="6" s="1"/>
  <c r="Y45" i="6"/>
  <c r="Z45" i="6" s="1"/>
  <c r="Y46" i="6"/>
  <c r="Z46" i="6" s="1"/>
  <c r="Y47" i="6"/>
  <c r="Z47" i="6" s="1"/>
  <c r="Y48" i="6"/>
  <c r="Z48" i="6" s="1"/>
  <c r="Y49" i="6"/>
  <c r="Z49" i="6" s="1"/>
  <c r="Y50" i="6"/>
  <c r="Z50" i="6" s="1"/>
  <c r="Y51" i="6"/>
  <c r="Z51" i="6" s="1"/>
  <c r="Y52" i="6"/>
  <c r="Z52" i="6" s="1"/>
  <c r="Y53" i="6"/>
  <c r="Z53" i="6" s="1"/>
  <c r="Y54" i="6"/>
  <c r="Z54" i="6" s="1"/>
  <c r="Y56" i="6"/>
  <c r="Z56" i="6" s="1"/>
  <c r="Y57" i="6"/>
  <c r="Z57" i="6" s="1"/>
  <c r="Y58" i="6"/>
  <c r="Z58" i="6" s="1"/>
  <c r="Y59" i="6"/>
  <c r="Z59" i="6" s="1"/>
  <c r="Y60" i="6"/>
  <c r="Z60" i="6" s="1"/>
  <c r="Y61" i="6"/>
  <c r="Z61" i="6" s="1"/>
  <c r="Y62" i="6"/>
  <c r="Z62" i="6" s="1"/>
  <c r="Y63" i="6"/>
  <c r="Z63" i="6" s="1"/>
  <c r="Y64" i="6"/>
  <c r="Z64" i="6" s="1"/>
  <c r="Y65" i="6"/>
  <c r="Z65" i="6" s="1"/>
  <c r="Y66" i="6"/>
  <c r="Z66" i="6" s="1"/>
  <c r="Y67" i="6"/>
  <c r="Z67" i="6" s="1"/>
  <c r="AA69" i="6" l="1"/>
  <c r="AA70" i="6" s="1"/>
  <c r="Z69" i="6"/>
  <c r="D15" i="14"/>
  <c r="E14" i="14"/>
  <c r="F14" i="14" s="1"/>
  <c r="J14" i="14" s="1"/>
  <c r="Y69" i="6"/>
  <c r="Y70" i="6" s="1"/>
  <c r="D16" i="14" l="1"/>
  <c r="E15" i="14"/>
  <c r="F15" i="14" s="1"/>
  <c r="J15" i="14" s="1"/>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D21" i="14" l="1"/>
  <c r="E21" i="14" s="1"/>
  <c r="F21" i="14" s="1"/>
  <c r="J21" i="14" s="1"/>
  <c r="E20" i="14"/>
  <c r="F20" i="14" s="1"/>
  <c r="J20" i="14" s="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B35" i="3" l="1"/>
  <c r="D35" i="3" s="1"/>
  <c r="E18" i="3"/>
  <c r="C28" i="3"/>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D51" i="2" s="1"/>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O44" i="3" s="1"/>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Z46" i="2"/>
  <c r="Z47" i="2"/>
  <c r="Z48" i="2"/>
  <c r="AR52" i="2"/>
  <c r="AR53" i="2"/>
  <c r="AR47" i="2"/>
  <c r="Z43" i="2"/>
  <c r="AR54" i="2"/>
  <c r="Z52" i="2"/>
  <c r="Z53" i="2"/>
  <c r="Z54" i="2"/>
  <c r="Z55" i="2"/>
  <c r="Z42" i="2"/>
  <c r="Z49" i="2"/>
  <c r="Z50" i="2"/>
  <c r="AR46" i="2"/>
  <c r="Z51" i="2"/>
  <c r="H37" i="2" l="1"/>
  <c r="H40" i="2"/>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T42" i="2" s="1"/>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C29" i="5" s="1"/>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36" i="2" l="1"/>
  <c r="G46" i="2"/>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B49" i="2" l="1"/>
  <c r="E45" i="2"/>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B37" i="3" s="1"/>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B33" i="3" s="1"/>
  <c r="C33"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<sst xmlns="http://schemas.openxmlformats.org/spreadsheetml/2006/main" count="12407" uniqueCount="1634">
  <si>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</si>
  <si>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</si>
  <si>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</si>
  <si>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</si>
  <si>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</si>
  <si>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</si>
  <si>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</si>
  <si>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</si>
  <si>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</si>
  <si>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</si>
  <si>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</si>
  <si>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</si>
  <si>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</si>
  <si>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</si>
  <si>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</si>
  <si>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</si>
  <si>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</si>
  <si>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</si>
  <si>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</si>
  <si>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</si>
  <si>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</si>
  <si>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</si>
  <si>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</si>
  <si>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</si>
  <si>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</si>
  <si>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</si>
  <si>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</si>
  <si>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</si>
  <si>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</si>
  <si>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</si>
  <si>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</si>
  <si>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</si>
  <si>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</si>
  <si>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</si>
  <si>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</si>
  <si>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</si>
  <si>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</si>
  <si>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</si>
  <si>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</si>
  <si>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</si>
  <si>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</si>
  <si>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</si>
  <si>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</si>
  <si>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</si>
  <si>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</si>
  <si>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</si>
  <si>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</si>
  <si>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</si>
  <si>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</si>
  <si>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</si>
  <si>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</si>
  <si>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</si>
  <si>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</si>
  <si>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</si>
  <si>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</si>
  <si>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</si>
  <si>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</si>
  <si>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</si>
  <si>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</si>
  <si>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</si>
  <si>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</si>
  <si>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</si>
  <si>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</si>
  <si>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</si>
  <si>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</si>
  <si>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</si>
  <si>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</si>
  <si>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</si>
  <si>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</si>
  <si>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</si>
  <si>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</si>
  <si>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</si>
  <si>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</si>
  <si>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</si>
  <si>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</si>
  <si>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</si>
  <si>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</si>
  <si>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</si>
  <si>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</si>
  <si>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</si>
  <si>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</si>
  <si>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</si>
  <si>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</si>
  <si>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</si>
  <si>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</si>
  <si>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</si>
  <si>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</si>
  <si>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</si>
  <si>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</si>
  <si>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</si>
  <si>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</si>
  <si>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</si>
  <si>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</si>
  <si>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</si>
  <si>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</si>
  <si>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</si>
  <si>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</si>
  <si>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</si>
  <si>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</si>
  <si>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</si>
  <si>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</si>
  <si>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</si>
  <si>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</si>
  <si>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</si>
  <si>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</si>
  <si>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</si>
  <si>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</si>
  <si>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</si>
  <si>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</si>
  <si>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</si>
  <si>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</si>
  <si>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</si>
  <si>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</si>
  <si>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</si>
  <si>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</si>
  <si>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</si>
  <si>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</si>
  <si>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</si>
  <si>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</si>
  <si>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</si>
  <si>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</si>
  <si>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</si>
  <si>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</si>
  <si>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</si>
  <si>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</si>
  <si>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</si>
  <si>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</si>
  <si>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</si>
  <si>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</si>
  <si>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</si>
  <si>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</si>
  <si>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</si>
  <si>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</si>
  <si>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</si>
  <si>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</si>
  <si>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</si>
  <si>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</si>
  <si>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</si>
  <si>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</si>
  <si>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</si>
  <si>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</si>
  <si>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</si>
  <si>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</si>
  <si>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</si>
  <si>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</si>
  <si>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</si>
  <si>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</si>
  <si>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</si>
  <si>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</si>
  <si>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</si>
  <si>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</si>
  <si>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</si>
  <si>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</si>
  <si>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</si>
  <si>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</si>
  <si>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</si>
  <si>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</si>
  <si>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</si>
  <si>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</si>
  <si>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</si>
  <si>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</si>
  <si>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</si>
  <si>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</si>
  <si>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</si>
  <si>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</si>
  <si>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</si>
  <si>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</si>
  <si>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</si>
  <si>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</si>
  <si>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</si>
  <si>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</si>
  <si>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</si>
  <si>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</si>
  <si>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</si>
  <si>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</si>
  <si>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</si>
  <si>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</si>
  <si>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</si>
  <si>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</si>
  <si>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</si>
  <si>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</si>
  <si>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</si>
  <si>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</si>
  <si>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</si>
  <si>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</si>
  <si>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</si>
  <si>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</si>
  <si>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</si>
  <si>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</si>
  <si>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</si>
  <si>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</si>
  <si>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</si>
  <si>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</si>
  <si>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</si>
  <si>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</si>
  <si>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</si>
  <si>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</si>
  <si>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</si>
  <si>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</si>
  <si>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</si>
  <si>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</si>
  <si>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</si>
  <si>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</si>
  <si>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</si>
  <si>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</si>
  <si>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</si>
  <si>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</si>
  <si>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</si>
  <si>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</si>
  <si>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</si>
  <si>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</si>
  <si>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</si>
  <si>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</si>
  <si>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</si>
  <si>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</si>
  <si>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</si>
  <si>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</si>
  <si>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</si>
  <si>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</si>
  <si>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</si>
  <si>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</si>
  <si>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</si>
  <si>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</si>
  <si>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</si>
  <si>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</si>
  <si>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</si>
  <si>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</si>
  <si>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</si>
  <si>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</si>
  <si>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</si>
  <si>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</si>
  <si>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</si>
  <si>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</si>
  <si>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</si>
  <si>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</si>
  <si>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</si>
  <si>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</si>
  <si>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</si>
  <si>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</si>
  <si>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</si>
  <si>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</si>
  <si>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</si>
  <si>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</si>
  <si>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</si>
  <si>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</si>
  <si>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</si>
  <si>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</si>
  <si>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</si>
  <si>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</si>
  <si>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</si>
  <si>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</si>
  <si>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</si>
  <si>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</si>
  <si>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</si>
  <si>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</si>
  <si>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</si>
  <si>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</si>
  <si>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</si>
  <si>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</si>
  <si>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</si>
  <si>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</si>
  <si>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</si>
  <si>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</si>
  <si>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</si>
  <si>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</si>
  <si>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</si>
  <si>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</si>
  <si>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</si>
  <si>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</si>
  <si>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</si>
  <si>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</si>
  <si>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</si>
  <si>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</si>
  <si>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</si>
  <si>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</si>
  <si>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</si>
  <si>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</si>
  <si>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</si>
  <si>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</si>
  <si>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</si>
  <si>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</si>
  <si>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</si>
  <si>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</si>
  <si>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</si>
  <si>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</si>
  <si>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</si>
  <si>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</si>
  <si>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</si>
  <si>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</si>
  <si>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</si>
  <si>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</si>
  <si>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</si>
  <si>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</si>
  <si>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</si>
  <si>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</si>
  <si>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</si>
  <si>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</si>
  <si>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</si>
  <si>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</si>
  <si>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</si>
  <si>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</si>
  <si>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</si>
  <si>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</si>
  <si>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</si>
  <si>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</si>
  <si>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</si>
  <si>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</si>
  <si>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</si>
  <si>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</si>
  <si>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</si>
  <si>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</si>
  <si>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</si>
  <si>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</si>
  <si>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</si>
  <si>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</si>
  <si>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</si>
  <si>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</si>
  <si>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</si>
  <si>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</si>
  <si>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</si>
  <si>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</si>
  <si>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</si>
  <si>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</si>
  <si>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</si>
  <si>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</si>
  <si>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</si>
  <si>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</si>
  <si>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</si>
  <si>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</si>
  <si>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</si>
  <si>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</si>
  <si>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</si>
  <si>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</si>
  <si>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</si>
  <si>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</si>
  <si>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</si>
  <si>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</si>
  <si>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</si>
  <si>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</si>
  <si>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</si>
  <si>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</si>
  <si>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</si>
  <si>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</si>
  <si>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</si>
  <si>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</si>
  <si>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</si>
  <si>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</si>
  <si>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</si>
  <si>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</si>
  <si>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</si>
  <si>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</si>
  <si>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</si>
  <si>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</si>
  <si>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</si>
  <si>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</si>
  <si>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</si>
  <si>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</si>
  <si>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</si>
  <si>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</si>
  <si>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</si>
  <si>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</si>
  <si>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</si>
  <si>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</si>
  <si>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</si>
  <si>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</si>
  <si>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</si>
  <si>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</si>
  <si>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</si>
  <si>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</si>
  <si>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</si>
  <si>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</si>
  <si>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</si>
  <si>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</si>
  <si>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</si>
  <si>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</si>
  <si>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</si>
  <si>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</si>
  <si>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</si>
  <si>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</si>
  <si>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</si>
  <si>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</si>
  <si>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</si>
  <si>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</si>
  <si>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</si>
  <si>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</si>
  <si>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</si>
  <si>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</si>
  <si>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</si>
  <si>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</si>
  <si>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</si>
  <si>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</si>
  <si>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</si>
  <si>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</si>
  <si>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</si>
  <si>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</si>
  <si>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</si>
  <si>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</si>
  <si>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</si>
  <si>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</si>
  <si>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</si>
  <si>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</si>
  <si>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</si>
  <si>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</si>
  <si>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</si>
  <si>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</si>
  <si>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</si>
  <si>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</si>
  <si>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</si>
  <si>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</si>
  <si>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</si>
  <si>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</si>
  <si>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</si>
  <si>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</si>
  <si>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</si>
  <si>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</si>
  <si>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</si>
  <si>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</si>
  <si>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</si>
  <si>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</si>
  <si>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</si>
  <si>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</si>
  <si>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</si>
  <si>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</si>
  <si>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</si>
  <si>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</si>
  <si>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</si>
  <si>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</si>
  <si>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</si>
  <si>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</si>
  <si>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</si>
  <si>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</si>
  <si>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</si>
  <si>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</si>
  <si>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</si>
  <si>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</si>
  <si>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</si>
  <si>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</si>
  <si>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</si>
  <si>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</si>
  <si>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</si>
  <si>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</si>
  <si>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</si>
  <si>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</si>
  <si>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</si>
  <si>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</si>
  <si>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</si>
  <si>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</si>
  <si>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</si>
  <si>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</si>
  <si>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</si>
  <si>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</si>
  <si>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</si>
  <si>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</si>
  <si>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</si>
  <si>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</si>
  <si>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</si>
  <si>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</si>
  <si>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</si>
  <si>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</si>
  <si>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</si>
  <si>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</si>
  <si>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</si>
  <si>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</si>
  <si>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</si>
  <si>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</si>
  <si>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</si>
  <si>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</si>
  <si>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</si>
  <si>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</si>
  <si>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</si>
  <si>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</si>
  <si>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</si>
  <si>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</si>
  <si>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</si>
  <si>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</si>
  <si>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</si>
  <si>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</si>
  <si>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</si>
  <si>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</si>
  <si>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</si>
  <si>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</si>
  <si>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</si>
  <si>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</si>
  <si>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</si>
  <si>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</si>
  <si>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</si>
  <si>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</si>
  <si>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</si>
  <si>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</si>
  <si>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</si>
  <si>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</si>
  <si>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</si>
  <si>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</si>
  <si>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</si>
  <si>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</si>
  <si>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</si>
  <si>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</si>
  <si>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</si>
  <si>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</si>
  <si>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</si>
  <si>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</si>
  <si>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</si>
  <si>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</si>
  <si>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</si>
  <si>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</si>
  <si>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</si>
  <si>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</si>
  <si>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</si>
  <si>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</si>
  <si>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</si>
  <si>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</si>
  <si>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</si>
  <si>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</si>
  <si>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</si>
  <si>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</si>
  <si>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</si>
  <si>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</si>
  <si>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</si>
  <si>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</si>
  <si>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</si>
  <si>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</si>
  <si>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</si>
  <si>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</si>
  <si>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</si>
  <si>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</si>
  <si>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</si>
  <si>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</si>
  <si>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</si>
  <si>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</si>
  <si>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</si>
  <si>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</si>
  <si>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</si>
  <si>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</si>
  <si>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</si>
  <si>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</si>
  <si>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</si>
  <si>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</si>
  <si>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</si>
  <si>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</si>
  <si>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</si>
  <si>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</si>
  <si>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</si>
  <si>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</si>
  <si>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</si>
  <si>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</si>
  <si>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</si>
  <si>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</si>
  <si>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</si>
  <si>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</si>
  <si>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</si>
  <si>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</si>
  <si>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</si>
  <si>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</si>
  <si>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</si>
  <si>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</si>
  <si>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</si>
  <si>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</si>
  <si>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</si>
  <si>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</si>
  <si>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</si>
  <si>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</si>
  <si>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</si>
  <si>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</si>
  <si>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</si>
  <si>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</si>
  <si>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</si>
  <si>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</si>
  <si>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</si>
  <si>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</si>
  <si>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</si>
  <si>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</si>
  <si>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</si>
  <si>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</si>
  <si>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</si>
  <si>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</si>
  <si>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</si>
  <si>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</si>
  <si>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</si>
  <si>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</si>
  <si>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</si>
  <si>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</si>
  <si>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</si>
  <si>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</si>
  <si>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</si>
  <si>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</si>
  <si>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</si>
  <si>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</si>
  <si>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</si>
  <si>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</si>
  <si>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</si>
  <si>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</si>
  <si>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</si>
  <si>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</si>
  <si>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</si>
  <si>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</si>
  <si>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</si>
  <si>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</si>
  <si>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</si>
  <si>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</si>
  <si>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</si>
  <si>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</si>
  <si>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</si>
  <si>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</si>
  <si>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</si>
  <si>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</si>
  <si>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</si>
  <si>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</si>
  <si>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</si>
  <si>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</si>
  <si>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</si>
  <si>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</si>
  <si>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</si>
  <si>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</si>
  <si>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</si>
  <si>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</si>
  <si>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</si>
  <si>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</si>
  <si>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</si>
  <si>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</si>
  <si>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</si>
  <si>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</si>
  <si>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</si>
  <si>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</si>
  <si>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</si>
  <si>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</si>
  <si>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</si>
  <si>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</si>
  <si>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</si>
  <si>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</si>
  <si>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</si>
  <si>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</si>
  <si>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</si>
  <si>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</si>
  <si>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</si>
  <si>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</si>
  <si>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</si>
  <si>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</si>
  <si>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</si>
  <si>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</si>
  <si>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</si>
  <si>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</si>
  <si>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</si>
  <si>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</si>
  <si>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</si>
  <si>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</si>
  <si>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</si>
  <si>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</si>
  <si>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</si>
  <si>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</si>
  <si>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</si>
  <si>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</si>
  <si>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</si>
  <si>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</si>
  <si>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</si>
  <si>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</si>
  <si>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</si>
  <si>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</si>
  <si>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</si>
  <si>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</si>
  <si>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</si>
  <si>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</si>
  <si>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</si>
  <si>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</si>
  <si>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</si>
  <si>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</si>
  <si>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</si>
  <si>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</si>
  <si>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</si>
  <si>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</si>
  <si>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</si>
  <si>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</si>
  <si>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</si>
  <si>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</si>
  <si>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</si>
  <si>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</si>
  <si>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</si>
  <si>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</si>
  <si>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</si>
  <si>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</si>
  <si>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</si>
  <si>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</si>
  <si>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</si>
  <si>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</si>
  <si>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</si>
  <si>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</si>
  <si>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</si>
  <si>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</si>
  <si>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</si>
  <si>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</si>
  <si>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</si>
  <si>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</si>
  <si>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</si>
  <si>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</si>
  <si>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</si>
  <si>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</si>
  <si>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</si>
  <si>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</si>
  <si>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</si>
  <si>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</si>
  <si>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</si>
  <si>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</si>
  <si>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</si>
  <si>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</si>
  <si>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</si>
  <si>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</si>
  <si>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</si>
  <si>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</si>
  <si>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</si>
  <si>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</si>
  <si>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</si>
  <si>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</si>
  <si>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</si>
  <si>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</si>
  <si>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</si>
  <si>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</si>
  <si>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</si>
  <si>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</si>
  <si>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</si>
  <si>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</si>
  <si>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</si>
  <si>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</si>
  <si>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</si>
  <si>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</si>
  <si>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</si>
  <si>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</si>
  <si>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</si>
  <si>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</si>
  <si>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</si>
  <si>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</si>
  <si>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</si>
  <si>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</si>
  <si>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</si>
  <si>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</si>
  <si>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</si>
  <si>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</si>
  <si>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</si>
  <si>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</si>
  <si>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</si>
  <si>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</si>
  <si>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</si>
  <si>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</si>
  <si>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</si>
  <si>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</si>
  <si>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</si>
  <si>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</si>
  <si>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</si>
  <si>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</si>
  <si>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</si>
  <si>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</si>
  <si>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</si>
  <si>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</si>
  <si>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</si>
  <si>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</si>
  <si>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</si>
  <si>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</si>
  <si>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</si>
  <si>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</si>
  <si>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</si>
  <si>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</si>
  <si>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</si>
  <si>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</si>
  <si>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</si>
  <si>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</si>
  <si>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</si>
  <si>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</si>
  <si>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</si>
  <si>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</si>
  <si>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</si>
  <si>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</si>
  <si>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</si>
  <si>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</si>
  <si>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</si>
  <si>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</si>
  <si>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</si>
  <si>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</si>
  <si>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</si>
  <si>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</si>
  <si>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</si>
  <si>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</si>
  <si>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</si>
  <si>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</si>
  <si>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</si>
  <si>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</si>
  <si>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</si>
  <si>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</si>
  <si>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</si>
  <si>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</si>
  <si>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</si>
  <si>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</si>
  <si>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</si>
  <si>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</si>
  <si>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</si>
  <si>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</si>
  <si>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</si>
  <si>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</si>
  <si>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</si>
  <si>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</si>
  <si>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</si>
  <si>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</si>
  <si>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</si>
  <si>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</si>
  <si>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</si>
  <si>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</si>
  <si>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</si>
  <si>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</si>
  <si>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</si>
  <si>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</si>
  <si>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</si>
  <si>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</si>
  <si>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</si>
  <si>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</si>
  <si>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</si>
  <si>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</si>
  <si>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</si>
  <si>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</si>
  <si>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</si>
  <si>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</si>
  <si>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</si>
  <si>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</si>
  <si>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</si>
  <si>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</si>
  <si>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</si>
  <si>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</si>
  <si>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</si>
  <si>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</si>
  <si>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</si>
  <si>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</si>
  <si>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</si>
  <si>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</si>
  <si>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</si>
  <si>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</si>
  <si>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</si>
  <si>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</si>
  <si>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</si>
  <si>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</si>
  <si>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</si>
  <si>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</si>
  <si>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</si>
  <si>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</si>
  <si>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</si>
  <si>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</si>
  <si>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</si>
  <si>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</si>
  <si>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</si>
  <si>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</si>
  <si>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</si>
  <si>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</si>
  <si>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</si>
  <si>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</si>
  <si>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</si>
  <si>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</si>
  <si>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</si>
  <si>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</si>
  <si>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</si>
  <si>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</si>
  <si>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</si>
  <si>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</si>
  <si>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</si>
  <si>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</si>
  <si>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</si>
  <si>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</si>
  <si>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</si>
  <si>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</si>
  <si>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</si>
  <si>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</si>
  <si>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</si>
  <si>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</si>
  <si>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</si>
  <si>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</si>
  <si>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</si>
  <si>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</si>
  <si>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</si>
  <si>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</si>
  <si>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</si>
  <si>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</si>
  <si>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</si>
  <si>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</si>
  <si>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</si>
  <si>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</si>
  <si>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</si>
  <si>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</si>
  <si>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</si>
  <si>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</si>
  <si>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</si>
  <si>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</si>
  <si>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</si>
  <si>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</si>
  <si>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</si>
  <si>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</si>
  <si>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</si>
  <si>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</si>
  <si>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</si>
  <si>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</si>
  <si>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</si>
  <si>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</si>
  <si>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</si>
  <si>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</si>
  <si>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</si>
  <si>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</si>
  <si>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</si>
  <si>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</si>
  <si>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</si>
  <si>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</si>
  <si>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</si>
  <si>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</si>
  <si>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</si>
  <si>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</si>
  <si>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</si>
  <si>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</si>
  <si>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</si>
  <si>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</si>
  <si>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</si>
  <si>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</si>
  <si>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</si>
  <si>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</si>
  <si>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</si>
  <si>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</si>
  <si>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</si>
  <si>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</si>
  <si>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</si>
  <si>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</si>
  <si>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</si>
  <si>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</si>
  <si>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</si>
  <si>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</si>
  <si>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</si>
  <si>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</si>
  <si>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</si>
  <si>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</si>
  <si>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</si>
  <si>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</si>
  <si>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</si>
  <si>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</si>
  <si>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</si>
  <si>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</si>
  <si>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</si>
  <si>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</si>
  <si>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</si>
  <si>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</si>
  <si>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</si>
  <si>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</si>
  <si>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</si>
  <si>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</si>
  <si>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</si>
  <si>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</si>
  <si>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</si>
  <si>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</si>
  <si>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</si>
  <si>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</si>
  <si>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</si>
  <si>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</si>
  <si>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</si>
  <si>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</si>
  <si>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</si>
  <si>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</si>
  <si>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</si>
  <si>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</si>
  <si>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</si>
  <si>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</si>
  <si>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</si>
  <si>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</si>
  <si>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</si>
  <si>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</si>
  <si>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</si>
  <si>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</si>
  <si>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</si>
  <si>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</si>
  <si>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</si>
  <si>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</si>
  <si>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</si>
  <si>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</si>
  <si>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</si>
  <si>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</si>
  <si>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</si>
  <si>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</si>
  <si>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</si>
  <si>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</si>
  <si>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</si>
  <si>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</si>
  <si>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</si>
  <si>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</si>
  <si>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</si>
  <si>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</si>
  <si>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</si>
  <si>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</si>
  <si>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</si>
  <si>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</si>
  <si>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</si>
  <si>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</si>
  <si>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</si>
  <si>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</si>
  <si>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</si>
  <si>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</si>
  <si>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</si>
  <si>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</si>
  <si>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</si>
  <si>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</si>
  <si>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</si>
  <si>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</si>
  <si>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</si>
  <si>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</si>
  <si>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</si>
  <si>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</si>
  <si>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</si>
  <si>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</si>
  <si>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</si>
  <si>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</si>
  <si>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</si>
  <si>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</si>
  <si>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</si>
  <si>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</si>
  <si>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</si>
  <si>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</si>
  <si>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</si>
  <si>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</si>
  <si>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</si>
  <si>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</si>
  <si>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</si>
  <si>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</si>
  <si>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</si>
  <si>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</si>
  <si>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</si>
  <si>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</si>
  <si>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</si>
  <si>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</si>
  <si>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</si>
  <si>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</si>
  <si>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</si>
  <si>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</si>
  <si>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</si>
  <si>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</si>
  <si>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</si>
  <si>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</si>
  <si>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</si>
  <si>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</si>
  <si>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</si>
  <si>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</si>
  <si>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</si>
  <si>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</si>
  <si>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</si>
  <si>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</si>
  <si>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</si>
  <si>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</si>
  <si>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</si>
  <si>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</si>
  <si>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</si>
  <si>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</si>
  <si>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</si>
  <si>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</si>
  <si>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</si>
  <si>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</si>
  <si>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</si>
  <si>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</si>
  <si>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</si>
  <si>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</si>
  <si>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</si>
  <si>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</si>
  <si>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</si>
  <si>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</si>
  <si>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</si>
  <si>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</si>
  <si>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</si>
  <si>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</si>
  <si>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</si>
  <si>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</si>
  <si>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</si>
  <si>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</si>
  <si>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</si>
  <si>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</si>
  <si>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</si>
  <si>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</si>
  <si>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</si>
  <si>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</si>
  <si>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</si>
  <si>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</si>
  <si>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</si>
  <si>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</si>
  <si>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</si>
  <si>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</si>
  <si>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</si>
  <si>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</si>
  <si>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</si>
  <si>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</si>
  <si>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</si>
  <si>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</si>
  <si>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</si>
  <si>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</si>
  <si>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</si>
  <si>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</si>
  <si>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</si>
  <si>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</si>
  <si>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</si>
  <si>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</si>
  <si>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</si>
  <si>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</si>
  <si>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</si>
  <si>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</si>
  <si>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</si>
  <si>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</si>
  <si>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</si>
  <si>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</si>
  <si>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</si>
  <si>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</si>
  <si>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</si>
  <si>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</si>
  <si>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</si>
  <si>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</si>
  <si>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</si>
  <si>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</si>
  <si>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</si>
  <si>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</si>
  <si>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</si>
  <si>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</si>
  <si>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</si>
  <si>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</si>
  <si>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</si>
  <si>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</si>
  <si>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</si>
  <si>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</si>
  <si>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</si>
  <si>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</si>
  <si>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</si>
  <si>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</si>
  <si>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</si>
  <si>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</si>
  <si>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</si>
  <si>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</si>
  <si>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</si>
  <si>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</si>
  <si>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</si>
  <si>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</si>
  <si>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</si>
  <si>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</si>
  <si>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</si>
  <si>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</si>
  <si>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</si>
  <si>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</si>
  <si>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</si>
  <si>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</si>
  <si>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</si>
  <si>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</si>
  <si>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</si>
  <si>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</si>
  <si>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</si>
  <si>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</si>
  <si>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</si>
  <si>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</si>
  <si>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</si>
  <si>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</si>
  <si>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</si>
  <si>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</si>
  <si>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</si>
  <si>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</si>
  <si>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</si>
  <si>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</si>
  <si>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</si>
  <si>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</si>
  <si>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</si>
  <si>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</si>
  <si>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</si>
  <si>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</si>
  <si>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</si>
  <si>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</si>
  <si>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</si>
  <si>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</si>
  <si>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</si>
  <si>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</si>
  <si>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</si>
  <si>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</si>
  <si>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</si>
  <si>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</si>
  <si>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</si>
  <si>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</si>
  <si>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</si>
  <si>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</si>
  <si>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</si>
  <si>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</si>
  <si>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</si>
  <si>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</si>
  <si>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</si>
  <si>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</si>
  <si>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</si>
  <si>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</si>
  <si>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</si>
  <si>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</si>
  <si>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</si>
  <si>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</si>
  <si>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</si>
  <si>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</si>
  <si>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</si>
  <si>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</si>
  <si>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</si>
  <si>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</si>
  <si>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</si>
  <si>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</si>
  <si>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</si>
  <si>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</si>
  <si>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</si>
  <si>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</si>
  <si>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</si>
  <si>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</si>
  <si>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</si>
  <si>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</si>
  <si>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</si>
  <si>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</si>
  <si>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</si>
  <si>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</si>
  <si>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</si>
  <si>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</si>
  <si>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</si>
  <si>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</si>
  <si>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</si>
  <si>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</si>
  <si>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</si>
  <si>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</si>
  <si>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</si>
  <si>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</si>
  <si>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</si>
  <si>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</si>
  <si>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</si>
  <si>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</si>
  <si>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</si>
  <si>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</si>
  <si>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</si>
  <si>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</si>
  <si>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</si>
  <si>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</si>
  <si>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</si>
  <si>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</si>
  <si>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</si>
  <si>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</si>
  <si>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</si>
  <si>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</si>
  <si>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</si>
  <si>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</si>
  <si>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</si>
  <si>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</si>
  <si>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</si>
  <si>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</si>
  <si>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</si>
  <si>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</si>
  <si>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</si>
  <si>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</si>
  <si>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</si>
  <si>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</si>
  <si>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</si>
  <si>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</si>
  <si>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</si>
  <si>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</si>
  <si>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</si>
  <si>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</si>
  <si>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</si>
  <si>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</si>
  <si>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</si>
  <si>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</si>
  <si>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</si>
  <si>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</si>
  <si>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</si>
  <si>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</si>
  <si>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</si>
  <si>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</si>
  <si>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</si>
  <si>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</si>
  <si>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</si>
  <si>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</si>
  <si>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</si>
  <si>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</si>
  <si>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</si>
  <si>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</si>
  <si>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</si>
  <si>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</si>
  <si>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</si>
  <si>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</si>
  <si>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</si>
  <si>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</si>
  <si>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</si>
  <si>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</si>
  <si>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</si>
  <si>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</si>
  <si>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</si>
  <si>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</si>
  <si>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</si>
  <si>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</si>
  <si>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</si>
  <si>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</si>
  <si>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</si>
  <si>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</si>
  <si>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</si>
  <si>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</si>
  <si>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</si>
  <si>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</si>
  <si>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</si>
  <si>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</si>
  <si>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</si>
  <si>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</si>
  <si>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</si>
  <si>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</si>
  <si>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</si>
  <si>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</si>
  <si>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</si>
  <si>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</si>
  <si>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</si>
  <si>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</si>
  <si>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</si>
  <si>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</si>
  <si>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</si>
  <si>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</si>
  <si>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</si>
  <si>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</si>
  <si>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</si>
  <si>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</si>
  <si>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</si>
  <si>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</si>
  <si>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</si>
  <si>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</si>
  <si>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</si>
  <si>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</si>
  <si>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</si>
  <si>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</si>
  <si>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</si>
  <si>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</si>
  <si>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</si>
  <si>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</si>
  <si>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</si>
  <si>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</si>
  <si>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</si>
  <si>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</si>
  <si>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</si>
  <si>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</si>
  <si>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</si>
  <si>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</si>
  <si>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</si>
  <si>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</si>
  <si>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</si>
  <si>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</si>
  <si>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</si>
  <si>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</si>
  <si>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</si>
  <si>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</si>
  <si>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</si>
  <si>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</si>
  <si>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</si>
  <si>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</si>
  <si>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</si>
  <si>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</si>
  <si>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</si>
  <si>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</si>
  <si>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</si>
  <si>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</si>
  <si>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</si>
  <si>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</si>
  <si>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</si>
  <si>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</si>
  <si>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</si>
  <si>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</si>
  <si>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</si>
  <si>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</si>
  <si>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</si>
  <si>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</si>
  <si>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</si>
  <si>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</si>
  <si>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</si>
  <si>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</si>
  <si>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</si>
  <si>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</si>
  <si>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</si>
  <si>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</si>
  <si>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</si>
  <si>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</si>
  <si>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</si>
  <si>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</si>
  <si>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</si>
  <si>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</si>
  <si>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</si>
  <si>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</si>
  <si>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</si>
  <si>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</si>
  <si>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</si>
  <si>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</si>
  <si>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</si>
  <si>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</si>
  <si>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</si>
  <si>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</si>
  <si>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</si>
  <si>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</si>
  <si>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</si>
  <si>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</si>
  <si>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</si>
  <si>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</si>
  <si>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</si>
  <si>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</si>
  <si>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</si>
  <si>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</si>
  <si>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</si>
  <si>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</si>
  <si>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</si>
  <si>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</si>
  <si>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</si>
  <si>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</si>
  <si>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</si>
  <si>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</si>
  <si>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</si>
  <si>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</si>
  <si>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</si>
  <si>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</si>
  <si>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</si>
  <si>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</si>
  <si>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</si>
  <si>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</si>
  <si>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</si>
  <si>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</si>
  <si>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</si>
  <si>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</si>
  <si>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</si>
  <si>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</si>
  <si>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</si>
  <si>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</si>
  <si>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</si>
  <si>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</si>
  <si>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</si>
  <si>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</si>
  <si>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</si>
  <si>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</si>
  <si>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</si>
  <si>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</si>
  <si>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</si>
  <si>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</si>
  <si>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</si>
  <si>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</si>
  <si>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</si>
  <si>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</si>
  <si>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</si>
  <si>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</si>
  <si>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</si>
  <si>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</si>
  <si>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</si>
  <si>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</si>
  <si>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</si>
  <si>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</si>
  <si>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</si>
  <si>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</si>
  <si>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</si>
  <si>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</si>
  <si>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</si>
  <si>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</si>
  <si>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</si>
  <si>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</si>
  <si>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</si>
  <si>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</si>
  <si>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</si>
  <si>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</si>
  <si>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</si>
  <si>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</si>
  <si>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</si>
  <si>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</si>
  <si>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</si>
  <si>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</si>
  <si>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</si>
  <si>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</si>
  <si>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</si>
  <si>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</si>
  <si>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</si>
  <si>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</si>
  <si>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</si>
  <si>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</si>
  <si>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</si>
  <si>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</si>
  <si>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</si>
  <si>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</si>
  <si>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</si>
  <si>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</si>
  <si>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</si>
  <si>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</si>
  <si>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</si>
  <si>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</si>
  <si>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</si>
  <si>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</si>
  <si>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</si>
  <si>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</si>
  <si>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</si>
  <si>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</si>
  <si>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</si>
  <si>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</si>
  <si>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</si>
  <si>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</si>
  <si>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</si>
  <si>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</si>
  <si>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</si>
  <si>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</si>
  <si>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</si>
  <si>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</si>
  <si>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</si>
  <si>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</si>
  <si>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</si>
  <si>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</si>
  <si>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</si>
  <si>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</si>
  <si>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</si>
  <si>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</si>
  <si>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</si>
  <si>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</si>
  <si>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</si>
  <si>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</si>
  <si>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</si>
  <si>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</si>
  <si>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</si>
  <si>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</si>
  <si>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</si>
  <si>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</si>
  <si>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</si>
  <si>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</si>
  <si>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</si>
  <si>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</si>
  <si>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</si>
  <si>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</si>
  <si>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</si>
  <si>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</si>
  <si>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</si>
  <si>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</si>
  <si>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</si>
  <si>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</si>
  <si>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</si>
  <si>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</si>
  <si>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</si>
  <si>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</si>
  <si>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</si>
  <si>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</si>
  <si>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</si>
  <si>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</si>
  <si>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</si>
  <si>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</si>
  <si>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</si>
  <si>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</si>
  <si>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</si>
  <si>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</si>
  <si>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</si>
  <si>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</si>
  <si>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</si>
  <si>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</si>
  <si>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</si>
  <si>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</si>
  <si>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</si>
  <si>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</si>
  <si>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</si>
  <si>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</si>
  <si>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</si>
  <si>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</si>
  <si>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</si>
  <si>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</si>
  <si>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</si>
  <si>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</si>
  <si>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</si>
  <si>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</si>
  <si>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</si>
  <si>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</si>
  <si>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</si>
  <si>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</si>
  <si>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</si>
  <si>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</si>
  <si>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</si>
  <si>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</si>
  <si>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</si>
  <si>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</si>
  <si>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</si>
  <si>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</si>
  <si>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</si>
  <si>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</si>
  <si>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</si>
  <si>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</si>
  <si>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</si>
  <si>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</si>
  <si>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</si>
  <si>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</si>
  <si>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</si>
  <si>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</si>
  <si>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</si>
  <si>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</si>
  <si>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</si>
  <si>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</si>
  <si>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</si>
  <si>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</si>
  <si>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</si>
  <si>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</si>
  <si>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</si>
  <si>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</si>
  <si>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</si>
  <si>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</si>
  <si>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</si>
  <si>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</si>
  <si>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</si>
  <si>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</si>
  <si>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</si>
  <si>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</si>
  <si>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</si>
  <si>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</si>
  <si>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</si>
  <si>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</si>
  <si>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</si>
  <si>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</si>
  <si>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</si>
  <si>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</si>
  <si>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</si>
  <si>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</si>
  <si>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</si>
  <si>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</si>
  <si>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</si>
  <si>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</si>
  <si>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</si>
  <si>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</si>
  <si>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</si>
  <si>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</si>
  <si>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</si>
  <si>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</si>
  <si>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</si>
  <si>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</si>
  <si>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</si>
  <si>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</si>
  <si>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</si>
  <si>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</si>
  <si>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</si>
  <si>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</si>
  <si>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</si>
  <si>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</si>
  <si>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</si>
  <si>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</si>
  <si>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</si>
  <si>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</si>
  <si>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</si>
  <si>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</si>
  <si>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</si>
  <si>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</si>
  <si>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</si>
  <si>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</si>
  <si>
    <t>GLOBAL - Total Area for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</si>
</sst>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9">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 numFmtId="210" formatCode="0.0000"/>
    <numFmt numFmtId="214" formatCode="_ * #,##0.00_ ;_ * \-#,##0.00_ ;_ * &quot;-&quot;??_ ;_ @_ "/>
  </numFmts>
  <fonts count="167">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77"/>
      <scheme val="minor"/>
    </font>
    <font>
      <b/>
      <sz val="11"/>
      <color theme="1"/>
      <name val="Calibri"/>
      <family val="2"/>
      <scheme val="minor"/>
    </font>
    <font>
      <sz val="8"/>
      <name val="Calibri"/>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Calibri"/>
      <family val="2"/>
      <scheme val="minor"/>
    </font>
    <font>
      <b/>
      <sz val="14"/>
      <color theme="1"/>
      <name val="Calibri"/>
      <family val="2"/>
      <scheme val="minor"/>
    </font>
    <font>
      <sz val="14"/>
      <color theme="1"/>
      <name val="Calibri"/>
      <family val="2"/>
      <scheme val="minor"/>
    </font>
    <font>
      <sz val="11"/>
      <color theme="0"/>
      <name val="Calibri"/>
      <family val="2"/>
      <charset val="177"/>
      <scheme val="minor"/>
    </font>
    <font>
      <sz val="11"/>
      <color theme="1"/>
      <name val="Calibri"/>
      <family val="2"/>
      <scheme val="minor"/>
    </font>
    <font>
      <b/>
      <sz val="9"/>
      <name val="Arial"/>
      <family val="2"/>
      <charset val="177"/>
    </font>
    <font>
      <sz val="10"/>
      <name val="Switzerland"/>
      <family val="2"/>
    </font>
    <font>
      <b/>
      <sz val="9"/>
      <name val="NarkisTam"/>
      <charset val="177"/>
    </font>
    <font>
      <sz val="11"/>
      <color theme="0"/>
      <name val="Calibri"/>
      <family val="2"/>
      <scheme val="minor"/>
    </font>
    <font>
      <sz val="1"/>
      <color indexed="8"/>
      <name val="Courier"/>
      <family val="3"/>
    </font>
    <font>
      <b/>
      <sz val="1"/>
      <color indexed="8"/>
      <name val="Courier"/>
      <family val="3"/>
    </font>
    <font>
      <sz val="10"/>
      <color theme="1"/>
      <name val="Arial"/>
      <family val="2"/>
      <charset val="177"/>
    </font>
    <font>
      <b/>
      <sz val="11"/>
      <color rgb="FFFA7D00"/>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8"/>
      <color theme="3"/>
      <name val="Calibri Light"/>
      <family val="2"/>
      <scheme val="major"/>
    </font>
    <font>
      <sz val="11"/>
      <color rgb="FF9C6500"/>
      <name val="Calibri"/>
      <family val="2"/>
      <scheme val="minor"/>
    </font>
    <font>
      <b/>
      <sz val="11"/>
      <color rgb="FF3F3F3F"/>
      <name val="Calibri"/>
      <family val="2"/>
      <scheme val="minor"/>
    </font>
    <font>
      <sz val="11"/>
      <color rgb="FF3F3F76"/>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Calibri"/>
      <family val="2"/>
      <charset val="177"/>
      <scheme val="minor"/>
    </font>
    <font>
      <u/>
      <sz val="26"/>
      <color theme="1"/>
      <name val="Calibri"/>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i/>
      <sz val="9"/>
      <color theme="1"/>
      <name val="Calibri"/>
      <family val="2"/>
      <scheme val="minor"/>
    </font>
    <font>
      <b/>
      <sz val="16"/>
      <color theme="0"/>
      <name val="Calibri"/>
      <family val="2"/>
      <scheme val="min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b/>
      <sz val="18"/>
      <color theme="3"/>
      <name val="Calibri Light"/>
      <family val="2"/>
      <charset val="177"/>
      <scheme val="major"/>
    </font>
    <font>
      <sz val="11"/>
      <color rgb="FF9C0006"/>
      <name val="Calibri"/>
      <family val="2"/>
      <charset val="177"/>
      <scheme val="minor"/>
    </font>
    <font>
      <sz val="11"/>
      <color rgb="FF9C6500"/>
      <name val="Calibri"/>
      <family val="2"/>
      <charset val="177"/>
      <scheme val="minor"/>
    </font>
    <font>
      <b/>
      <sz val="10"/>
      <name val="NarkisTam"/>
      <charset val="177"/>
    </font>
    <font>
      <sz val="7"/>
      <name val="NarkisTam Light"/>
      <charset val="177"/>
    </font>
    <font>
      <b/>
      <sz val="10"/>
      <color theme="1"/>
      <name val="Calibri"/>
      <family val="2"/>
      <scheme val="minor"/>
    </font>
    <font>
      <b/>
      <sz val="11"/>
      <color rgb="FF000000"/>
      <name val="Calibri"/>
      <family val="2"/>
      <scheme val="minor"/>
    </font>
    <font>
      <b/>
      <sz val="10"/>
      <name val="Calibri"/>
      <family val="2"/>
      <scheme val="minor"/>
    </font>
    <font>
      <sz val="10"/>
      <name val="Calibri"/>
      <family val="2"/>
      <scheme val="minor"/>
    </font>
    <font>
      <b/>
      <sz val="6"/>
      <name val="Arial"/>
      <family val="2"/>
    </font>
    <font>
      <sz val="12"/>
      <color theme="1"/>
      <name val="Calibri"/>
      <family val="2"/>
      <scheme val="minor"/>
    </font>
    <font>
      <b/>
      <sz val="11"/>
      <color rgb="FFFF0000"/>
      <name val="Calibri"/>
      <family val="2"/>
      <scheme val="minor"/>
    </font>
    <font>
      <i/>
      <sz val="8"/>
      <color theme="1"/>
      <name val="Calibri"/>
      <family val="2"/>
      <scheme val="minor"/>
    </font>
    <font>
      <b/>
      <u/>
      <sz val="9"/>
      <color indexed="81"/>
      <name val="Tahoma"/>
      <family val="2"/>
    </font>
    <font>
      <i/>
      <sz val="10"/>
      <color theme="1"/>
      <name val="Calibri"/>
      <family val="2"/>
      <scheme val="minor"/>
    </font>
    <font>
      <b/>
      <i/>
      <sz val="10"/>
      <color theme="1"/>
      <name val="Calibri"/>
      <family val="2"/>
      <scheme val="minor"/>
    </font>
    <font>
      <sz val="9"/>
      <name val="Arial"/>
      <family val="2"/>
    </font>
    <font>
      <sz val="11"/>
      <name val="Arial"/>
      <family val="2"/>
    </font>
    <font>
      <b/>
      <sz val="16"/>
      <color theme="1"/>
      <name val="Calibri"/>
      <family val="2"/>
      <scheme val="minor"/>
    </font>
    <font>
      <sz val="12"/>
      <color rgb="FF000000"/>
      <name val="Calibri"/>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s>
  <fills count="90">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
      <patternFill patternType="solid">
        <fgColor theme="2"/>
        <bgColor indexed="64"/>
      </patternFill>
    </fill>
  </fills>
  <borders count="170">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s>
  <cellStyleXfs count="2418">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 fillId="0" borderId="0" applyFont="0" applyFill="0" applyBorder="0" applyAlignment="0" applyProtection="0"/>
    <xf numFmtId="214" fontId="1" fillId="0" borderId="0" applyFont="0" applyFill="0" applyBorder="0" applyAlignment="0" applyProtection="0"/>
    <xf numFmtId="214" fontId="1" fillId="0" borderId="0" applyFont="0" applyFill="0" applyBorder="0" applyAlignment="0" applyProtection="0"/>
    <xf numFmtId="0" fontId="1" fillId="0" borderId="0"/>
    <xf numFmtId="0" fontId="1" fillId="0" borderId="0"/>
    <xf numFmtId="214" fontId="17" fillId="0" borderId="0" applyFont="0" applyFill="0" applyBorder="0" applyAlignment="0" applyProtection="0"/>
    <xf numFmtId="214" fontId="59" fillId="0" borderId="0" applyFont="0" applyFill="0" applyBorder="0" applyAlignment="0" applyProtection="0"/>
    <xf numFmtId="214" fontId="1" fillId="0" borderId="0" applyFont="0" applyFill="0" applyBorder="0" applyAlignment="0" applyProtection="0"/>
    <xf numFmtId="9" fontId="1"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172" fontId="14" fillId="0" borderId="163">
      <alignment horizontal="center"/>
    </xf>
    <xf numFmtId="214" fontId="17" fillId="0" borderId="0" applyFont="0" applyFill="0" applyBorder="0" applyAlignment="0" applyProtection="0"/>
    <xf numFmtId="172" fontId="14" fillId="0" borderId="163">
      <alignment horizontal="center"/>
    </xf>
    <xf numFmtId="214" fontId="14" fillId="0" borderId="0" applyFont="0" applyFill="0" applyBorder="0" applyAlignment="0" applyProtection="0"/>
    <xf numFmtId="214" fontId="17" fillId="0" borderId="0" applyFont="0" applyFill="0" applyBorder="0" applyAlignment="0" applyProtection="0"/>
    <xf numFmtId="214" fontId="59" fillId="0" borderId="0" applyFont="0" applyFill="0" applyBorder="0" applyAlignment="0" applyProtection="0"/>
    <xf numFmtId="214" fontId="1"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172" fontId="14" fillId="0" borderId="163">
      <alignment horizontal="center"/>
    </xf>
    <xf numFmtId="214" fontId="14" fillId="0" borderId="0" applyFont="0" applyFill="0" applyBorder="0" applyAlignment="0" applyProtection="0"/>
    <xf numFmtId="214" fontId="17" fillId="0" borderId="0" applyFont="0" applyFill="0" applyBorder="0" applyAlignment="0" applyProtection="0"/>
    <xf numFmtId="214" fontId="59" fillId="0" borderId="0" applyFont="0" applyFill="0" applyBorder="0" applyAlignment="0" applyProtection="0"/>
    <xf numFmtId="214" fontId="1"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172" fontId="14" fillId="0" borderId="163">
      <alignment horizontal="center"/>
    </xf>
    <xf numFmtId="172" fontId="14" fillId="0" borderId="163">
      <alignment horizontal="center"/>
    </xf>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17" fillId="57" borderId="88" applyNumberFormat="0" applyFon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65" fillId="58" borderId="87" applyNumberFormat="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4" fillId="0" borderId="90" applyNumberFormat="0" applyFill="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0" fontId="76" fillId="43" borderId="87" applyNumberFormat="0" applyAlignment="0" applyProtection="0"/>
    <xf numFmtId="172" fontId="14" fillId="0" borderId="163">
      <alignment horizontal="center"/>
    </xf>
    <xf numFmtId="172" fontId="14" fillId="0" borderId="163">
      <alignment horizontal="center"/>
    </xf>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8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22" fillId="0" borderId="0" applyFont="0" applyFill="0" applyBorder="0" applyAlignment="0" applyProtection="0"/>
    <xf numFmtId="214" fontId="85"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0" fontId="1" fillId="0" borderId="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214" fontId="1" fillId="0" borderId="0" applyFont="0" applyFill="0" applyBorder="0" applyAlignment="0" applyProtection="0"/>
    <xf numFmtId="214" fontId="1" fillId="0" borderId="0" applyFont="0" applyFill="0" applyBorder="0" applyAlignment="0" applyProtection="0"/>
    <xf numFmtId="214"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214" fontId="17" fillId="0" borderId="0" applyFont="0" applyFill="0" applyBorder="0" applyAlignment="0" applyProtection="0"/>
    <xf numFmtId="214" fontId="59" fillId="0" borderId="0" applyFont="0" applyFill="0" applyBorder="0" applyAlignment="0" applyProtection="0"/>
    <xf numFmtId="214" fontId="1" fillId="0" borderId="0" applyFont="0" applyFill="0" applyBorder="0" applyAlignment="0" applyProtection="0"/>
    <xf numFmtId="9" fontId="1"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172" fontId="14" fillId="0" borderId="163">
      <alignment horizontal="center"/>
    </xf>
    <xf numFmtId="214" fontId="17" fillId="0" borderId="0" applyFont="0" applyFill="0" applyBorder="0" applyAlignment="0" applyProtection="0"/>
    <xf numFmtId="172" fontId="14" fillId="0" borderId="163">
      <alignment horizontal="center"/>
    </xf>
    <xf numFmtId="214" fontId="14" fillId="0" borderId="0" applyFont="0" applyFill="0" applyBorder="0" applyAlignment="0" applyProtection="0"/>
    <xf numFmtId="214" fontId="17" fillId="0" borderId="0" applyFont="0" applyFill="0" applyBorder="0" applyAlignment="0" applyProtection="0"/>
    <xf numFmtId="214" fontId="59" fillId="0" borderId="0" applyFont="0" applyFill="0" applyBorder="0" applyAlignment="0" applyProtection="0"/>
    <xf numFmtId="214" fontId="1"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172" fontId="14" fillId="0" borderId="163">
      <alignment horizontal="center"/>
    </xf>
    <xf numFmtId="214" fontId="14" fillId="0" borderId="0" applyFont="0" applyFill="0" applyBorder="0" applyAlignment="0" applyProtection="0"/>
    <xf numFmtId="214" fontId="17" fillId="0" borderId="0" applyFont="0" applyFill="0" applyBorder="0" applyAlignment="0" applyProtection="0"/>
    <xf numFmtId="214" fontId="59" fillId="0" borderId="0" applyFont="0" applyFill="0" applyBorder="0" applyAlignment="0" applyProtection="0"/>
    <xf numFmtId="214" fontId="1"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172" fontId="14" fillId="0" borderId="163">
      <alignment horizontal="center"/>
    </xf>
    <xf numFmtId="172" fontId="14" fillId="0" borderId="163">
      <alignment horizontal="center"/>
    </xf>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17" fillId="57" borderId="165" applyNumberFormat="0" applyFon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65" fillId="58" borderId="166" applyNumberFormat="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4" fillId="0" borderId="167" applyNumberFormat="0" applyFill="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5" fillId="58" borderId="164"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0" fontId="76" fillId="43" borderId="166" applyNumberFormat="0" applyAlignment="0" applyProtection="0"/>
    <xf numFmtId="172" fontId="14" fillId="0" borderId="163">
      <alignment horizontal="center"/>
    </xf>
    <xf numFmtId="172" fontId="14" fillId="0" borderId="163">
      <alignment horizontal="center"/>
    </xf>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8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22" fillId="0" borderId="0" applyFont="0" applyFill="0" applyBorder="0" applyAlignment="0" applyProtection="0"/>
    <xf numFmtId="214" fontId="85"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4" fillId="0" borderId="0" applyFont="0" applyFill="0" applyBorder="0" applyAlignment="0" applyProtection="0"/>
    <xf numFmtId="214" fontId="17" fillId="0" borderId="0" applyFont="0" applyFill="0" applyBorder="0" applyAlignment="0" applyProtection="0"/>
    <xf numFmtId="214" fontId="14" fillId="0" borderId="0" applyFont="0" applyFill="0" applyBorder="0" applyAlignment="0" applyProtection="0"/>
    <xf numFmtId="0" fontId="1" fillId="0" borderId="0"/>
    <xf numFmtId="214" fontId="14" fillId="0" borderId="0" applyFont="0" applyFill="0" applyBorder="0" applyAlignment="0" applyProtection="0"/>
    <xf numFmtId="214" fontId="17" fillId="0" borderId="0" applyFont="0" applyFill="0" applyBorder="0" applyAlignment="0" applyProtection="0"/>
    <xf numFmtId="0" fontId="17" fillId="57" borderId="165" applyNumberFormat="0" applyFont="0" applyAlignment="0" applyProtection="0"/>
    <xf numFmtId="0" fontId="65" fillId="58" borderId="166" applyNumberFormat="0" applyAlignment="0" applyProtection="0"/>
    <xf numFmtId="0" fontId="74" fillId="0" borderId="167" applyNumberFormat="0" applyFill="0" applyAlignment="0" applyProtection="0"/>
    <xf numFmtId="0" fontId="75" fillId="58" borderId="164" applyNumberFormat="0" applyAlignment="0" applyProtection="0"/>
    <xf numFmtId="0" fontId="76" fillId="58" borderId="166" applyNumberFormat="0" applyAlignment="0" applyProtection="0"/>
    <xf numFmtId="214" fontId="22" fillId="0" borderId="0" applyFont="0" applyFill="0" applyBorder="0" applyAlignment="0" applyProtection="0"/>
    <xf numFmtId="214" fontId="85" fillId="0" borderId="0" applyFont="0" applyFill="0" applyBorder="0" applyAlignment="0" applyProtection="0"/>
    <xf numFmtId="214" fontId="17" fillId="0" borderId="0" applyFont="0" applyFill="0" applyBorder="0" applyAlignment="0" applyProtection="0"/>
    <xf numFmtId="0" fontId="85" fillId="57" borderId="165" applyNumberFormat="0" applyFont="0" applyAlignment="0" applyProtection="0"/>
    <xf numFmtId="0" fontId="146" fillId="52" borderId="166" applyNumberFormat="0" applyAlignment="0" applyProtection="0"/>
    <xf numFmtId="0" fontId="136" fillId="52" borderId="166" applyNumberFormat="0" applyAlignment="0" applyProtection="0"/>
    <xf numFmtId="0" fontId="76" fillId="59" borderId="166" applyNumberFormat="0" applyAlignment="0" applyProtection="0"/>
    <xf numFmtId="0" fontId="22" fillId="57" borderId="165" applyNumberFormat="0" applyFont="0" applyAlignment="0" applyProtection="0"/>
    <xf numFmtId="0" fontId="75" fillId="52" borderId="168" applyNumberFormat="0" applyAlignment="0" applyProtection="0"/>
    <xf numFmtId="0" fontId="159" fillId="0" borderId="169" applyNumberFormat="0" applyFill="0" applyAlignment="0" applyProtection="0"/>
    <xf numFmtId="0" fontId="155" fillId="52" borderId="168" applyNumberFormat="0" applyAlignment="0" applyProtection="0"/>
    <xf numFmtId="0" fontId="22" fillId="57" borderId="165" applyNumberFormat="0" applyFont="0" applyAlignment="0" applyProtection="0"/>
    <xf numFmtId="0" fontId="146" fillId="52" borderId="166" applyNumberFormat="0" applyAlignment="0" applyProtection="0"/>
    <xf numFmtId="0" fontId="155" fillId="52" borderId="168" applyNumberFormat="0" applyAlignment="0" applyProtection="0"/>
    <xf numFmtId="0" fontId="156" fillId="59" borderId="166" applyNumberFormat="0" applyAlignment="0" applyProtection="0"/>
    <xf numFmtId="0" fontId="74" fillId="0" borderId="169" applyNumberFormat="0" applyFill="0" applyAlignment="0" applyProtection="0"/>
    <xf numFmtId="0" fontId="156" fillId="59" borderId="166" applyNumberFormat="0" applyAlignment="0" applyProtection="0"/>
    <xf numFmtId="214" fontId="14" fillId="0" borderId="0" applyFont="0" applyFill="0" applyBorder="0" applyAlignment="0" applyProtection="0"/>
    <xf numFmtId="214" fontId="1" fillId="0" borderId="0" applyFont="0" applyFill="0" applyBorder="0" applyAlignment="0" applyProtection="0"/>
    <xf numFmtId="214" fontId="1" fillId="0" borderId="0" applyFont="0" applyFill="0" applyBorder="0" applyAlignment="0" applyProtection="0"/>
    <xf numFmtId="214" fontId="1" fillId="0" borderId="0" applyFont="0" applyFill="0" applyBorder="0" applyAlignment="0" applyProtection="0"/>
    <xf numFmtId="214" fontId="1" fillId="0" borderId="0" applyFont="0" applyFill="0" applyBorder="0" applyAlignment="0" applyProtection="0"/>
    <xf numFmtId="214" fontId="17" fillId="0" borderId="0" applyFont="0" applyFill="0" applyBorder="0" applyAlignment="0" applyProtection="0"/>
  </cellStyleXfs>
  <cellXfs count="996">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192" fontId="12" fillId="89" borderId="0" xfId="0" applyNumberFormat="1" applyFont="1" applyFill="1"/>
    <xf numFmtId="210" fontId="12" fillId="89" borderId="0" xfId="0" applyNumberFormat="1" applyFont="1" applyFill="1"/>
    <xf numFmtId="178" fontId="12" fillId="0" borderId="0" xfId="767" applyNumberFormat="1" applyFont="1"/>
    <xf numFmtId="1" fontId="1" fillId="0" borderId="0" xfId="0" applyNumberFormat="1" applyFont="1"/>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34" xfId="0" applyNumberFormat="1" applyFont="1" applyFill="1" applyBorder="1" applyAlignment="1">
      <alignment horizontal="center" vertical="center"/>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xf numFmtId="0" fontId="1" fillId="0" borderId="0" xfId="0" applyFont="1"/>
    <xf numFmtId="214" fontId="14" fillId="0" borderId="163" xfId="1508" applyFont="1" applyFill="1" applyBorder="1"/>
    <xf numFmtId="193" fontId="14" fillId="0" borderId="163" xfId="1508" applyNumberFormat="1" applyFont="1" applyFill="1" applyBorder="1"/>
    <xf numFmtId="214" fontId="109" fillId="79" borderId="163" xfId="1508" applyFont="1" applyFill="1" applyBorder="1"/>
    <xf numFmtId="214" fontId="14" fillId="79" borderId="163" xfId="1508" applyFont="1" applyFill="1" applyBorder="1"/>
    <xf numFmtId="206" fontId="0" fillId="0" borderId="0" xfId="0" applyNumberFormat="1"/>
    <xf numFmtId="214" fontId="109" fillId="0" borderId="163" xfId="1508" applyFont="1" applyFill="1" applyBorder="1"/>
  </cellXfs>
  <cellStyles count="2418">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2 2" xfId="1925" xr:uid="{9A74C0AC-2FFF-466D-8100-791327ACECBB}"/>
    <cellStyle name="20% - הדגשה1 2 2 3" xfId="1442" xr:uid="{58B4CBF4-9838-413A-8628-65D366ABCECD}"/>
    <cellStyle name="20% - הדגשה1 2 3" xfId="182" xr:uid="{00000000-0005-0000-0000-00000F000000}"/>
    <cellStyle name="20% - הדגשה1 2 4" xfId="774" xr:uid="{00000000-0005-0000-0000-000010000000}"/>
    <cellStyle name="20% - הדגשה1 2 4 2" xfId="1924" xr:uid="{581B304A-15C1-48D2-B25B-69AFB7756CEE}"/>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2 2" xfId="1927" xr:uid="{155CFACB-786B-47F5-9802-8EA257F531D0}"/>
    <cellStyle name="20% - הדגשה1 3 2 3" xfId="1444" xr:uid="{40B78FCF-4FA9-4135-A573-BDE8F97B3362}"/>
    <cellStyle name="20% - הדגשה1 3 3" xfId="340" xr:uid="{00000000-0005-0000-0000-000014000000}"/>
    <cellStyle name="20% - הדגשה1 3 4" xfId="776" xr:uid="{00000000-0005-0000-0000-000015000000}"/>
    <cellStyle name="20% - הדגשה1 3 4 2" xfId="1926" xr:uid="{8CFDCD3B-66E3-4A07-A38C-61913C9FBD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2 2" xfId="1929" xr:uid="{940B321A-63F3-465F-83E7-53BD937B25F6}"/>
    <cellStyle name="20% - הדגשה2 2 2 3" xfId="1446" xr:uid="{A926F497-A3BA-42BA-AD65-A998EDBD4CAF}"/>
    <cellStyle name="20% - הדגשה2 2 3" xfId="183" xr:uid="{00000000-0005-0000-0000-000019000000}"/>
    <cellStyle name="20% - הדגשה2 2 4" xfId="778" xr:uid="{00000000-0005-0000-0000-00001A000000}"/>
    <cellStyle name="20% - הדגשה2 2 4 2" xfId="1928" xr:uid="{31FECF87-2532-4EBB-95DA-41E56EBD5015}"/>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2 2" xfId="1931" xr:uid="{B0877DE9-2EA3-46A2-BADB-9043468C7F80}"/>
    <cellStyle name="20% - הדגשה2 3 2 3" xfId="1448" xr:uid="{A9D3DA7A-542A-4F95-9D2D-FF539645DB95}"/>
    <cellStyle name="20% - הדגשה2 3 3" xfId="341" xr:uid="{00000000-0005-0000-0000-00001E000000}"/>
    <cellStyle name="20% - הדגשה2 3 4" xfId="780" xr:uid="{00000000-0005-0000-0000-00001F000000}"/>
    <cellStyle name="20% - הדגשה2 3 4 2" xfId="1930" xr:uid="{7072C4FE-7411-4DFC-A6C4-F53C63A9231A}"/>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2 2" xfId="1933" xr:uid="{32717A59-68FF-45E5-841B-AC312719D6C8}"/>
    <cellStyle name="20% - הדגשה3 2 2 3" xfId="1450" xr:uid="{249A9446-639A-450C-AD5F-6A7DEE1C6D40}"/>
    <cellStyle name="20% - הדגשה3 2 3" xfId="184" xr:uid="{00000000-0005-0000-0000-000023000000}"/>
    <cellStyle name="20% - הדגשה3 2 4" xfId="782" xr:uid="{00000000-0005-0000-0000-000024000000}"/>
    <cellStyle name="20% - הדגשה3 2 4 2" xfId="1932" xr:uid="{7F16C0ED-8349-4E66-8244-119C4A6A6AE7}"/>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2 2" xfId="1935" xr:uid="{10333D18-E7DF-4C27-81B7-AB96370BF992}"/>
    <cellStyle name="20% - הדגשה3 3 2 3" xfId="1452" xr:uid="{2177D38E-2AF4-4505-9C1D-C961A66F1111}"/>
    <cellStyle name="20% - הדגשה3 3 3" xfId="342" xr:uid="{00000000-0005-0000-0000-000028000000}"/>
    <cellStyle name="20% - הדגשה3 3 4" xfId="784" xr:uid="{00000000-0005-0000-0000-000029000000}"/>
    <cellStyle name="20% - הדגשה3 3 4 2" xfId="1934" xr:uid="{04AFEE06-2B62-4249-8BB8-D029F0957FB8}"/>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2 2" xfId="1937" xr:uid="{FAE8BF98-D6B9-4F47-94F9-6C6A8BAF9DE5}"/>
    <cellStyle name="20% - הדגשה4 2 2 3" xfId="1454" xr:uid="{D072CD24-E759-437F-BF2D-CE0D87F6D942}"/>
    <cellStyle name="20% - הדגשה4 2 3" xfId="185" xr:uid="{00000000-0005-0000-0000-00002D000000}"/>
    <cellStyle name="20% - הדגשה4 2 4" xfId="786" xr:uid="{00000000-0005-0000-0000-00002E000000}"/>
    <cellStyle name="20% - הדגשה4 2 4 2" xfId="1936" xr:uid="{BF8FCAED-54F2-42CA-8D49-78C4A56C3C21}"/>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2 2" xfId="1939" xr:uid="{B47A2493-A939-420C-9B81-9E3A89D7D054}"/>
    <cellStyle name="20% - הדגשה4 3 2 3" xfId="1456" xr:uid="{302D2E8A-C16A-49DD-89BE-35F2EB20888F}"/>
    <cellStyle name="20% - הדגשה4 3 3" xfId="343" xr:uid="{00000000-0005-0000-0000-000032000000}"/>
    <cellStyle name="20% - הדגשה4 3 4" xfId="788" xr:uid="{00000000-0005-0000-0000-000033000000}"/>
    <cellStyle name="20% - הדגשה4 3 4 2" xfId="1938" xr:uid="{40166CA8-85B0-4C26-8708-E42593D86978}"/>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2 2" xfId="1941" xr:uid="{F2718E90-639E-4AAF-A24C-AC7B7229704B}"/>
    <cellStyle name="20% - הדגשה5 2 2 3" xfId="1458" xr:uid="{4E6A2AEA-D34A-43BF-B38E-0208968A7419}"/>
    <cellStyle name="20% - הדגשה5 2 3" xfId="186" xr:uid="{00000000-0005-0000-0000-000037000000}"/>
    <cellStyle name="20% - הדגשה5 2 4" xfId="790" xr:uid="{00000000-0005-0000-0000-000038000000}"/>
    <cellStyle name="20% - הדגשה5 2 4 2" xfId="1940" xr:uid="{44833E04-691B-487A-BF77-D72F3DA9C85C}"/>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2 2" xfId="1943" xr:uid="{C50057AF-C8C2-445B-8524-0F073B2351D8}"/>
    <cellStyle name="20% - הדגשה5 3 2 3" xfId="1460" xr:uid="{89589751-FE20-48CA-B968-35423426FC71}"/>
    <cellStyle name="20% - הדגשה5 3 3" xfId="344" xr:uid="{00000000-0005-0000-0000-00003C000000}"/>
    <cellStyle name="20% - הדגשה5 3 4" xfId="792" xr:uid="{00000000-0005-0000-0000-00003D000000}"/>
    <cellStyle name="20% - הדגשה5 3 4 2" xfId="1942" xr:uid="{EA7B8F39-84E4-4012-8B0A-40F1063BADE3}"/>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2 2" xfId="1945" xr:uid="{B89A1B0B-8DFD-4A88-B2F0-98422727C7A0}"/>
    <cellStyle name="20% - הדגשה6 2 2 3" xfId="1462" xr:uid="{51A7612A-5D6E-45B9-8359-EDC8E3F4F50E}"/>
    <cellStyle name="20% - הדגשה6 2 3" xfId="187" xr:uid="{00000000-0005-0000-0000-000041000000}"/>
    <cellStyle name="20% - הדגשה6 2 4" xfId="794" xr:uid="{00000000-0005-0000-0000-000042000000}"/>
    <cellStyle name="20% - הדגשה6 2 4 2" xfId="1944" xr:uid="{109AFD0C-FB0A-458A-B687-BA8685A6F6FD}"/>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2 2" xfId="1947" xr:uid="{FD57B7DF-AE73-4BF7-BEA2-D087E34BEB6F}"/>
    <cellStyle name="20% - הדגשה6 3 2 3" xfId="1464" xr:uid="{A719AB04-C111-4459-95E8-9FF64D31BE6B}"/>
    <cellStyle name="20% - הדגשה6 3 3" xfId="345" xr:uid="{00000000-0005-0000-0000-000047000000}"/>
    <cellStyle name="20% - הדגשה6 3 4" xfId="796" xr:uid="{00000000-0005-0000-0000-000048000000}"/>
    <cellStyle name="20% - הדגשה6 3 4 2" xfId="1946" xr:uid="{634173AC-D079-4EAF-9CC3-F6EDE140712A}"/>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2 2" xfId="1949" xr:uid="{CEE654A9-0CE6-4B65-9CD8-EDD1885238DE}"/>
    <cellStyle name="40% - הדגשה1 2 2 3" xfId="1466" xr:uid="{CDEAAEC8-E076-4A13-B020-BCC377221DAF}"/>
    <cellStyle name="40% - הדגשה1 2 3" xfId="188" xr:uid="{00000000-0005-0000-0000-000058000000}"/>
    <cellStyle name="40% - הדגשה1 2 4" xfId="798" xr:uid="{00000000-0005-0000-0000-000059000000}"/>
    <cellStyle name="40% - הדגשה1 2 4 2" xfId="1948" xr:uid="{35A3CAA9-6E0D-4331-AE73-5BD9D695D15D}"/>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2 2" xfId="1951" xr:uid="{A16A5959-3CB0-4320-B1A4-61A9F9095260}"/>
    <cellStyle name="40% - הדגשה1 3 2 3" xfId="1468" xr:uid="{C59964FB-0FEB-4735-B84C-1821FC68B701}"/>
    <cellStyle name="40% - הדגשה1 3 3" xfId="346" xr:uid="{00000000-0005-0000-0000-00005D000000}"/>
    <cellStyle name="40% - הדגשה1 3 4" xfId="800" xr:uid="{00000000-0005-0000-0000-00005E000000}"/>
    <cellStyle name="40% - הדגשה1 3 4 2" xfId="1950" xr:uid="{90ED6842-45F7-4899-8866-D5E6FC64A7F6}"/>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2 2" xfId="1953" xr:uid="{9688F113-2D05-4038-9771-A6E382692234}"/>
    <cellStyle name="40% - הדגשה2 2 2 3" xfId="1470" xr:uid="{C0E354E0-819D-4588-B495-EE0F0E652940}"/>
    <cellStyle name="40% - הדגשה2 2 3" xfId="189" xr:uid="{00000000-0005-0000-0000-000062000000}"/>
    <cellStyle name="40% - הדגשה2 2 4" xfId="802" xr:uid="{00000000-0005-0000-0000-000063000000}"/>
    <cellStyle name="40% - הדגשה2 2 4 2" xfId="1952" xr:uid="{1BBE5754-2D89-41FF-BCFE-2433CEC862AB}"/>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2 2" xfId="1955" xr:uid="{7327F124-03D9-4E9F-BC3D-93214825DE8F}"/>
    <cellStyle name="40% - הדגשה2 3 2 3" xfId="1472" xr:uid="{5A5DC470-63CE-46EE-B024-C292D9957EBB}"/>
    <cellStyle name="40% - הדגשה2 3 3" xfId="347" xr:uid="{00000000-0005-0000-0000-000067000000}"/>
    <cellStyle name="40% - הדגשה2 3 4" xfId="804" xr:uid="{00000000-0005-0000-0000-000068000000}"/>
    <cellStyle name="40% - הדגשה2 3 4 2" xfId="1954" xr:uid="{10B8C439-4910-49F8-AE9E-1ED551AB647D}"/>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2 2" xfId="1957" xr:uid="{36601050-8B23-4992-B958-96BE887976BC}"/>
    <cellStyle name="40% - הדגשה3 2 2 3" xfId="1474" xr:uid="{7330FE56-937E-42D2-AC50-45DC71399EC1}"/>
    <cellStyle name="40% - הדגשה3 2 3" xfId="190" xr:uid="{00000000-0005-0000-0000-00006C000000}"/>
    <cellStyle name="40% - הדגשה3 2 4" xfId="806" xr:uid="{00000000-0005-0000-0000-00006D000000}"/>
    <cellStyle name="40% - הדגשה3 2 4 2" xfId="1956" xr:uid="{6516ADD2-B86D-43C5-9B15-1D912F64D60E}"/>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2 2" xfId="1959" xr:uid="{D9129C38-B4F9-416A-8513-234FE0C90765}"/>
    <cellStyle name="40% - הדגשה3 3 2 3" xfId="1476" xr:uid="{89EE2744-9EC4-46F4-A5E9-33A8ADB97444}"/>
    <cellStyle name="40% - הדגשה3 3 3" xfId="348" xr:uid="{00000000-0005-0000-0000-000071000000}"/>
    <cellStyle name="40% - הדגשה3 3 4" xfId="808" xr:uid="{00000000-0005-0000-0000-000072000000}"/>
    <cellStyle name="40% - הדגשה3 3 4 2" xfId="1958" xr:uid="{F3888C33-2561-49A0-BDAD-19C682B2E9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2 2" xfId="1961" xr:uid="{EC466E0F-FB8F-4B45-AC1A-92457765DB48}"/>
    <cellStyle name="40% - הדגשה4 2 2 3" xfId="1478" xr:uid="{5FF45079-6047-42C7-A117-1D1B835EAE6A}"/>
    <cellStyle name="40% - הדגשה4 2 3" xfId="191" xr:uid="{00000000-0005-0000-0000-000076000000}"/>
    <cellStyle name="40% - הדגשה4 2 4" xfId="810" xr:uid="{00000000-0005-0000-0000-000077000000}"/>
    <cellStyle name="40% - הדגשה4 2 4 2" xfId="1960" xr:uid="{278E4F14-5D07-4B12-B1F6-8102AC98E7B5}"/>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2 2" xfId="1963" xr:uid="{51F5A119-1B17-48B5-B498-85292D9EFAF6}"/>
    <cellStyle name="40% - הדגשה4 3 2 3" xfId="1480" xr:uid="{DCC3D13D-7E22-4559-B0A9-95D15812FBCD}"/>
    <cellStyle name="40% - הדגשה4 3 3" xfId="349" xr:uid="{00000000-0005-0000-0000-00007B000000}"/>
    <cellStyle name="40% - הדגשה4 3 4" xfId="812" xr:uid="{00000000-0005-0000-0000-00007C000000}"/>
    <cellStyle name="40% - הדגשה4 3 4 2" xfId="1962" xr:uid="{DD213BAA-740B-42B6-BB74-1D3EF39120FD}"/>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2 2" xfId="1965" xr:uid="{728D966A-60F5-4769-A250-AFC2E9A94373}"/>
    <cellStyle name="40% - הדגשה5 2 2 3" xfId="1482" xr:uid="{FB2A1B84-210C-4461-9A8C-70642535DB28}"/>
    <cellStyle name="40% - הדגשה5 2 3" xfId="192" xr:uid="{00000000-0005-0000-0000-000080000000}"/>
    <cellStyle name="40% - הדגשה5 2 4" xfId="814" xr:uid="{00000000-0005-0000-0000-000081000000}"/>
    <cellStyle name="40% - הדגשה5 2 4 2" xfId="1964" xr:uid="{C8778D28-68CD-4372-9F13-88DD636CB059}"/>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2 2" xfId="1967" xr:uid="{3EF51A03-F6DB-4A80-A861-AC0F54FC5445}"/>
    <cellStyle name="40% - הדגשה5 3 2 3" xfId="1484" xr:uid="{BE7C729E-7C53-40AB-B9A9-E230D6ABAAF3}"/>
    <cellStyle name="40% - הדגשה5 3 3" xfId="350" xr:uid="{00000000-0005-0000-0000-000085000000}"/>
    <cellStyle name="40% - הדגשה5 3 4" xfId="816" xr:uid="{00000000-0005-0000-0000-000086000000}"/>
    <cellStyle name="40% - הדגשה5 3 4 2" xfId="1966" xr:uid="{D1598FCF-32BE-49FB-8D74-3C028300C6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2 2" xfId="1969" xr:uid="{D237D767-DCA7-4C3A-BC37-BE36E688586F}"/>
    <cellStyle name="40% - הדגשה6 2 2 3" xfId="1486" xr:uid="{D9225D18-AF23-4BDC-9280-20930A4CCDD5}"/>
    <cellStyle name="40% - הדגשה6 2 3" xfId="193" xr:uid="{00000000-0005-0000-0000-00008A000000}"/>
    <cellStyle name="40% - הדגשה6 2 4" xfId="818" xr:uid="{00000000-0005-0000-0000-00008B000000}"/>
    <cellStyle name="40% - הדגשה6 2 4 2" xfId="1968" xr:uid="{C366BD12-880D-49F4-BFFB-F7701970E8AC}"/>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2 2" xfId="1971" xr:uid="{ED726077-1190-40C7-A140-7C23FC95F3B5}"/>
    <cellStyle name="40% - הדגשה6 3 2 3" xfId="1488" xr:uid="{DE03661E-7284-479B-81E4-D839B42EC294}"/>
    <cellStyle name="40% - הדגשה6 3 3" xfId="351" xr:uid="{00000000-0005-0000-0000-00008F000000}"/>
    <cellStyle name="40% - הדגשה6 3 4" xfId="820" xr:uid="{00000000-0005-0000-0000-000090000000}"/>
    <cellStyle name="40% - הדגשה6 3 4 2" xfId="1970" xr:uid="{CD58419C-87BF-43CB-B18D-926AFE2AB4BB}"/>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alculation 3 2" xfId="2400" xr:uid="{28F437B0-124F-4481-93CE-D6B639C14E3A}"/>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2 2 2" xfId="2354" xr:uid="{9E864265-2D8A-4F52-B33C-8FC79F63C81B}"/>
    <cellStyle name="Comma 10 2 3" xfId="1885" xr:uid="{A56BFA77-0768-4B74-94ED-02786E13381C}"/>
    <cellStyle name="Comma 10 3" xfId="1083" xr:uid="{00000000-0005-0000-0000-0000BA000000}"/>
    <cellStyle name="Comma 10 3 2" xfId="2233" xr:uid="{C6016352-DE55-4A5A-B628-E24D856E1502}"/>
    <cellStyle name="Comma 10 4" xfId="1764" xr:uid="{7F4EA91E-489C-4A98-8919-EC174D1C9B44}"/>
    <cellStyle name="Comma 11" xfId="636" xr:uid="{00000000-0005-0000-0000-0000BB000000}"/>
    <cellStyle name="Comma 11 2" xfId="637" xr:uid="{00000000-0005-0000-0000-0000BC000000}"/>
    <cellStyle name="Comma 11 2 2" xfId="1206" xr:uid="{00000000-0005-0000-0000-0000BD000000}"/>
    <cellStyle name="Comma 11 2 2 2" xfId="2356" xr:uid="{B80ADF9F-3266-48DA-9D0F-2A1FB6E23FD1}"/>
    <cellStyle name="Comma 11 2 3" xfId="1887" xr:uid="{AE9D6F10-19BC-4F70-89C4-08C53F4892B0}"/>
    <cellStyle name="Comma 11 3" xfId="1205" xr:uid="{00000000-0005-0000-0000-0000BE000000}"/>
    <cellStyle name="Comma 11 3 2" xfId="2355" xr:uid="{7B503A63-70ED-4722-8F6A-D1C82C98FC20}"/>
    <cellStyle name="Comma 11 4" xfId="1504" xr:uid="{896C3718-B9C3-4BEA-BC05-E7AA6EADE2A6}"/>
    <cellStyle name="Comma 11 4 2" xfId="2417" xr:uid="{C87A9C90-033C-4F08-BCED-A41E0415691B}"/>
    <cellStyle name="Comma 11 5" xfId="1886" xr:uid="{BB1A54C1-8BCE-4A3B-9570-729C6064AC66}"/>
    <cellStyle name="Comma 12" xfId="638" xr:uid="{00000000-0005-0000-0000-0000BF000000}"/>
    <cellStyle name="Comma 12 2" xfId="1207" xr:uid="{00000000-0005-0000-0000-0000C0000000}"/>
    <cellStyle name="Comma 12 2 2" xfId="2357" xr:uid="{3D6D25AB-0305-4844-93B7-E25B3F8A5C87}"/>
    <cellStyle name="Comma 12 3" xfId="1888" xr:uid="{EB6AB134-F6B5-4A6D-98A7-31EA342B2652}"/>
    <cellStyle name="Comma 13" xfId="639" xr:uid="{00000000-0005-0000-0000-0000C1000000}"/>
    <cellStyle name="Comma 13 2" xfId="1208" xr:uid="{00000000-0005-0000-0000-0000C2000000}"/>
    <cellStyle name="Comma 13 2 2" xfId="2358" xr:uid="{E2D72AE8-2879-4CF2-9BE7-1F33DEE9A471}"/>
    <cellStyle name="Comma 13 3" xfId="1889" xr:uid="{1005921A-8801-4BA5-8F72-4D711EED7BA4}"/>
    <cellStyle name="Comma 14" xfId="640" xr:uid="{00000000-0005-0000-0000-0000C3000000}"/>
    <cellStyle name="Comma 14 2" xfId="1209" xr:uid="{00000000-0005-0000-0000-0000C4000000}"/>
    <cellStyle name="Comma 14 2 2" xfId="2359" xr:uid="{9BCC4233-73A6-4EA2-8C59-C911360DA164}"/>
    <cellStyle name="Comma 14 3" xfId="1890" xr:uid="{96F2FAA5-9D51-4F6E-AC37-95DB25CE3D7A}"/>
    <cellStyle name="Comma 15" xfId="641" xr:uid="{00000000-0005-0000-0000-0000C5000000}"/>
    <cellStyle name="Comma 15 2" xfId="1210" xr:uid="{00000000-0005-0000-0000-0000C6000000}"/>
    <cellStyle name="Comma 15 2 2" xfId="2360" xr:uid="{4B7F0035-1DB4-4BA4-8C76-842791095D34}"/>
    <cellStyle name="Comma 15 3" xfId="1891" xr:uid="{4BE58D3D-6163-456E-A01E-58D7148F296C}"/>
    <cellStyle name="Comma 16" xfId="642" xr:uid="{00000000-0005-0000-0000-0000C7000000}"/>
    <cellStyle name="Comma 16 2" xfId="1211" xr:uid="{00000000-0005-0000-0000-0000C8000000}"/>
    <cellStyle name="Comma 16 2 2" xfId="2361" xr:uid="{1386184D-4045-4932-9243-E37D295946A7}"/>
    <cellStyle name="Comma 16 3" xfId="1892" xr:uid="{D51430AA-0554-4D1E-A160-79609F2F8B75}"/>
    <cellStyle name="Comma 17" xfId="643" xr:uid="{00000000-0005-0000-0000-0000C9000000}"/>
    <cellStyle name="Comma 17 2" xfId="1212" xr:uid="{00000000-0005-0000-0000-0000CA000000}"/>
    <cellStyle name="Comma 17 2 2" xfId="2362" xr:uid="{3EB89754-02F1-4E8F-9012-71A81E11C847}"/>
    <cellStyle name="Comma 17 3" xfId="1893" xr:uid="{FDC89E71-D196-4D1F-B80F-9F30B6168114}"/>
    <cellStyle name="Comma 18" xfId="644" xr:uid="{00000000-0005-0000-0000-0000CB000000}"/>
    <cellStyle name="Comma 18 2" xfId="1213" xr:uid="{00000000-0005-0000-0000-0000CC000000}"/>
    <cellStyle name="Comma 18 2 2" xfId="2363" xr:uid="{0D8550C1-81E1-456E-B82F-F1782C5A4DF0}"/>
    <cellStyle name="Comma 18 3" xfId="1894" xr:uid="{24BEB369-8E56-4CA3-A1B6-C3B6CE89224E}"/>
    <cellStyle name="Comma 19" xfId="645" xr:uid="{00000000-0005-0000-0000-0000CD000000}"/>
    <cellStyle name="Comma 19 2" xfId="1214" xr:uid="{00000000-0005-0000-0000-0000CE000000}"/>
    <cellStyle name="Comma 19 2 2" xfId="2364" xr:uid="{FDBCE2CC-35E5-44F5-98D6-F2806973B70C}"/>
    <cellStyle name="Comma 19 3" xfId="1895" xr:uid="{A3F44322-2546-4A67-A1AF-89CF991501D4}"/>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2 2 2" xfId="2117" xr:uid="{311684D9-D3EB-4C76-94C3-D86FCC183AD5}"/>
    <cellStyle name="Comma 2 2 2 2 2 3" xfId="1648" xr:uid="{F0AA1FC3-EEA7-49EC-961E-795349B7177A}"/>
    <cellStyle name="Comma 2 2 2 2 3" xfId="841" xr:uid="{00000000-0005-0000-0000-0000D5000000}"/>
    <cellStyle name="Comma 2 2 2 2 3 2" xfId="1991" xr:uid="{9DC64993-8148-410D-BDC2-DFAB7B2C1CC7}"/>
    <cellStyle name="Comma 2 2 2 2 4" xfId="1522" xr:uid="{91A0EF34-B5E7-49F4-90B0-D2D65E94BB07}"/>
    <cellStyle name="Comma 2 2 2 3" xfId="375" xr:uid="{00000000-0005-0000-0000-0000D6000000}"/>
    <cellStyle name="Comma 2 2 2 3 2" xfId="966" xr:uid="{00000000-0005-0000-0000-0000D7000000}"/>
    <cellStyle name="Comma 2 2 2 3 2 2" xfId="2116" xr:uid="{A4CC8C7A-2C9C-4EE9-9932-E6132E96627C}"/>
    <cellStyle name="Comma 2 2 2 3 3" xfId="1647" xr:uid="{D4CA9EBC-9482-4AE8-9822-6F4685434FC0}"/>
    <cellStyle name="Comma 2 2 2 4" xfId="840" xr:uid="{00000000-0005-0000-0000-0000D8000000}"/>
    <cellStyle name="Comma 2 2 2 4 2" xfId="1990" xr:uid="{04166CB7-CE96-4912-A4D8-D56286AFB632}"/>
    <cellStyle name="Comma 2 2 2 5" xfId="1521" xr:uid="{893ACBCD-512D-409C-BE01-077CB5BB0BCC}"/>
    <cellStyle name="Comma 2 2 3" xfId="374" xr:uid="{00000000-0005-0000-0000-0000D9000000}"/>
    <cellStyle name="Comma 2 2 3 2" xfId="965" xr:uid="{00000000-0005-0000-0000-0000DA000000}"/>
    <cellStyle name="Comma 2 2 3 2 2" xfId="2115" xr:uid="{DCC451F3-FE1A-45C2-80B2-F60232FBB316}"/>
    <cellStyle name="Comma 2 2 3 3" xfId="1646" xr:uid="{17C1FFDC-1233-4074-80E7-9903E77C58FF}"/>
    <cellStyle name="Comma 2 2 4" xfId="200" xr:uid="{00000000-0005-0000-0000-0000DB000000}"/>
    <cellStyle name="Comma 2 2 4 2" xfId="839" xr:uid="{00000000-0005-0000-0000-0000DC000000}"/>
    <cellStyle name="Comma 2 2 4 2 2" xfId="1989" xr:uid="{49322DCF-2190-4189-B036-632363276026}"/>
    <cellStyle name="Comma 2 2 4 3" xfId="1520" xr:uid="{3EE8A556-E4B8-4984-A245-E56A34BB063D}"/>
    <cellStyle name="Comma 2 2 5" xfId="101" xr:uid="{00000000-0005-0000-0000-0000DD000000}"/>
    <cellStyle name="Comma 2 2 5 2" xfId="822" xr:uid="{00000000-0005-0000-0000-0000DE000000}"/>
    <cellStyle name="Comma 2 2 5 2 2" xfId="1972" xr:uid="{5CF2A77C-9D9A-4761-8F66-A20E46E6C6FE}"/>
    <cellStyle name="Comma 2 2 5 3" xfId="1510" xr:uid="{DC8E8516-DCA6-4144-8C30-8600975EE4A0}"/>
    <cellStyle name="Comma 2 2 6" xfId="771" xr:uid="{00000000-0005-0000-0000-0000DF000000}"/>
    <cellStyle name="Comma 2 2 6 2" xfId="1921" xr:uid="{D853BAF1-86B3-44E0-823B-A706BCC0A3F0}"/>
    <cellStyle name="Comma 2 2 7" xfId="1489" xr:uid="{DE170C40-020F-41AA-8000-CB30ADB75749}"/>
    <cellStyle name="Comma 2 2 7 2" xfId="2414" xr:uid="{9191F682-0E8E-4B86-AD84-DA94A942CD7E}"/>
    <cellStyle name="Comma 2 2 8" xfId="1507" xr:uid="{44B22115-7D03-4D0E-A1F2-388AC4DD765B}"/>
    <cellStyle name="Comma 2 3" xfId="102" xr:uid="{00000000-0005-0000-0000-0000E0000000}"/>
    <cellStyle name="Comma 2 3 2" xfId="377" xr:uid="{00000000-0005-0000-0000-0000E1000000}"/>
    <cellStyle name="Comma 2 3 2 2" xfId="968" xr:uid="{00000000-0005-0000-0000-0000E2000000}"/>
    <cellStyle name="Comma 2 3 2 2 2" xfId="2118" xr:uid="{C1381BAC-F1CA-4B4F-968A-421583A9040B}"/>
    <cellStyle name="Comma 2 3 2 3" xfId="1649" xr:uid="{EAFBF400-A9DA-48EE-8194-6CEE9599F4BB}"/>
    <cellStyle name="Comma 2 3 3" xfId="203" xr:uid="{00000000-0005-0000-0000-0000E3000000}"/>
    <cellStyle name="Comma 2 3 3 2" xfId="842" xr:uid="{00000000-0005-0000-0000-0000E4000000}"/>
    <cellStyle name="Comma 2 3 3 2 2" xfId="1992" xr:uid="{C6F2F80D-4634-46EE-81F4-3412073FDF37}"/>
    <cellStyle name="Comma 2 3 3 3" xfId="1523" xr:uid="{198D2475-1C3E-4D5F-B411-592D78DE11D5}"/>
    <cellStyle name="Comma 2 3 4" xfId="823" xr:uid="{00000000-0005-0000-0000-0000E5000000}"/>
    <cellStyle name="Comma 2 3 4 2" xfId="1973" xr:uid="{56E9E42B-F57E-437A-88B3-BBCD874DD6A3}"/>
    <cellStyle name="Comma 2 3 5" xfId="1511" xr:uid="{AA42F337-8483-420F-A027-D1E2E455906F}"/>
    <cellStyle name="Comma 2 4" xfId="370" xr:uid="{00000000-0005-0000-0000-0000E6000000}"/>
    <cellStyle name="Comma 2 4 2" xfId="961" xr:uid="{00000000-0005-0000-0000-0000E7000000}"/>
    <cellStyle name="Comma 2 4 2 2" xfId="2111" xr:uid="{45077804-AC39-49AF-9134-D8923B20AE2D}"/>
    <cellStyle name="Comma 2 4 3" xfId="1642" xr:uid="{0D4D909D-79C9-4B23-8D64-67BF9467B10B}"/>
    <cellStyle name="Comma 2 5" xfId="493" xr:uid="{00000000-0005-0000-0000-0000E8000000}"/>
    <cellStyle name="Comma 2 5 2" xfId="1084" xr:uid="{00000000-0005-0000-0000-0000E9000000}"/>
    <cellStyle name="Comma 2 5 2 2" xfId="2234" xr:uid="{481080E0-01DE-462A-AF7C-0A6D50A96B7C}"/>
    <cellStyle name="Comma 2 5 3" xfId="1765" xr:uid="{61B73696-2E55-4F44-A26E-3D656DFD06F8}"/>
    <cellStyle name="Comma 2 6" xfId="170" xr:uid="{00000000-0005-0000-0000-0000EA000000}"/>
    <cellStyle name="Comma 2 6 2" xfId="834" xr:uid="{00000000-0005-0000-0000-0000EB000000}"/>
    <cellStyle name="Comma 2 6 2 2" xfId="1984" xr:uid="{08CE6607-B897-4315-A4C8-5C940A075E60}"/>
    <cellStyle name="Comma 2 6 3" xfId="1515" xr:uid="{CF5CA211-55CE-4561-8EBA-08C972E86ADF}"/>
    <cellStyle name="Comma 2 7" xfId="1440" xr:uid="{85144EAD-FC9F-4DC4-94A6-FC7583CA2CB0}"/>
    <cellStyle name="Comma 2 7 2" xfId="2413" xr:uid="{DE7FDAF9-E3CF-43DC-95B1-5841FD367294}"/>
    <cellStyle name="Comma 20" xfId="646" xr:uid="{00000000-0005-0000-0000-0000EC000000}"/>
    <cellStyle name="Comma 20 2" xfId="647" xr:uid="{00000000-0005-0000-0000-0000ED000000}"/>
    <cellStyle name="Comma 20 2 2" xfId="1216" xr:uid="{00000000-0005-0000-0000-0000EE000000}"/>
    <cellStyle name="Comma 20 2 2 2" xfId="2366" xr:uid="{9C4ACAF2-7BDC-4B24-858F-AAFA55D0B5F6}"/>
    <cellStyle name="Comma 20 2 3" xfId="1897" xr:uid="{6B73D7F0-2DA4-4A68-BC3F-1E76F468385C}"/>
    <cellStyle name="Comma 20 3" xfId="1215" xr:uid="{00000000-0005-0000-0000-0000EF000000}"/>
    <cellStyle name="Comma 20 3 2" xfId="2365" xr:uid="{ECF1A95A-3BF6-4E5D-8B22-599DBCAC916D}"/>
    <cellStyle name="Comma 20 4" xfId="1896" xr:uid="{3EDD132C-969E-4F30-880A-1C7E0DD4D42A}"/>
    <cellStyle name="Comma 21" xfId="648" xr:uid="{00000000-0005-0000-0000-0000F0000000}"/>
    <cellStyle name="Comma 21 2" xfId="1217" xr:uid="{00000000-0005-0000-0000-0000F1000000}"/>
    <cellStyle name="Comma 21 2 2" xfId="2367" xr:uid="{66FE5575-1ED4-49E0-B49E-3245616ABA60}"/>
    <cellStyle name="Comma 21 3" xfId="1898" xr:uid="{098CF901-536E-4C1E-BE12-568B574ADDD0}"/>
    <cellStyle name="Comma 22" xfId="649" xr:uid="{00000000-0005-0000-0000-0000F2000000}"/>
    <cellStyle name="Comma 22 2" xfId="1218" xr:uid="{00000000-0005-0000-0000-0000F3000000}"/>
    <cellStyle name="Comma 22 2 2" xfId="2368" xr:uid="{002AFC4C-9DA1-49BC-A9F0-F74D6D334D51}"/>
    <cellStyle name="Comma 22 3" xfId="1899" xr:uid="{1A1FA4C0-ACE0-4E8E-A105-EEB9E4DF1DDB}"/>
    <cellStyle name="Comma 23" xfId="650" xr:uid="{00000000-0005-0000-0000-0000F4000000}"/>
    <cellStyle name="Comma 23 2" xfId="651" xr:uid="{00000000-0005-0000-0000-0000F5000000}"/>
    <cellStyle name="Comma 23 2 2" xfId="1220" xr:uid="{00000000-0005-0000-0000-0000F6000000}"/>
    <cellStyle name="Comma 23 2 2 2" xfId="2370" xr:uid="{BD84A234-C71B-4D6A-9556-6162D507A7B5}"/>
    <cellStyle name="Comma 23 2 3" xfId="1901" xr:uid="{A97D394B-D4FB-40D5-ACE0-1441F4C38286}"/>
    <cellStyle name="Comma 23 3" xfId="1219" xr:uid="{00000000-0005-0000-0000-0000F7000000}"/>
    <cellStyle name="Comma 23 3 2" xfId="2369" xr:uid="{D6EE83E9-39B6-4CCA-9EB8-C0547F1B547F}"/>
    <cellStyle name="Comma 23 4" xfId="1900" xr:uid="{9BA8EE18-91F9-4FEB-B2CA-A560D14CFE54}"/>
    <cellStyle name="Comma 24" xfId="652" xr:uid="{00000000-0005-0000-0000-0000F8000000}"/>
    <cellStyle name="Comma 24 2" xfId="653" xr:uid="{00000000-0005-0000-0000-0000F9000000}"/>
    <cellStyle name="Comma 24 2 2" xfId="1222" xr:uid="{00000000-0005-0000-0000-0000FA000000}"/>
    <cellStyle name="Comma 24 2 2 2" xfId="2372" xr:uid="{F38CE475-F5E7-4BEA-9E7C-7CF563F2A0E8}"/>
    <cellStyle name="Comma 24 2 3" xfId="1903" xr:uid="{EB181C9F-A35C-4490-AADB-88D3C57C7815}"/>
    <cellStyle name="Comma 24 3" xfId="1221" xr:uid="{00000000-0005-0000-0000-0000FB000000}"/>
    <cellStyle name="Comma 24 3 2" xfId="2371" xr:uid="{418FCBD6-F2AE-4D33-8338-AD9038D4C545}"/>
    <cellStyle name="Comma 24 4" xfId="1902" xr:uid="{A2B69175-0500-4EAB-B12A-27A252498D96}"/>
    <cellStyle name="Comma 25" xfId="654" xr:uid="{00000000-0005-0000-0000-0000FC000000}"/>
    <cellStyle name="Comma 25 2" xfId="655" xr:uid="{00000000-0005-0000-0000-0000FD000000}"/>
    <cellStyle name="Comma 25 2 2" xfId="1224" xr:uid="{00000000-0005-0000-0000-0000FE000000}"/>
    <cellStyle name="Comma 25 2 2 2" xfId="2374" xr:uid="{2513CF75-5D95-4428-873B-313C05574F7F}"/>
    <cellStyle name="Comma 25 2 3" xfId="1905" xr:uid="{F60B8844-8E09-461B-8EBF-C15CB361F930}"/>
    <cellStyle name="Comma 25 3" xfId="1223" xr:uid="{00000000-0005-0000-0000-0000FF000000}"/>
    <cellStyle name="Comma 25 3 2" xfId="2373" xr:uid="{0D1FD8B5-5152-4FA3-AE47-760A8CED6519}"/>
    <cellStyle name="Comma 25 4" xfId="1904" xr:uid="{C438CE72-0554-41FD-9FCD-E5E5A1C43E7E}"/>
    <cellStyle name="Comma 26" xfId="656" xr:uid="{00000000-0005-0000-0000-000000010000}"/>
    <cellStyle name="Comma 26 2" xfId="657" xr:uid="{00000000-0005-0000-0000-000001010000}"/>
    <cellStyle name="Comma 26 2 2" xfId="1226" xr:uid="{00000000-0005-0000-0000-000002010000}"/>
    <cellStyle name="Comma 26 2 2 2" xfId="2376" xr:uid="{81B48F89-06AD-4B5E-A54F-4DE0EC189A3E}"/>
    <cellStyle name="Comma 26 2 3" xfId="1907" xr:uid="{55138AD0-831B-467E-B6C0-9C17218C3138}"/>
    <cellStyle name="Comma 26 3" xfId="1225" xr:uid="{00000000-0005-0000-0000-000003010000}"/>
    <cellStyle name="Comma 26 3 2" xfId="2375" xr:uid="{FDF72181-FF5B-4DB2-8F4F-E3B0C2011635}"/>
    <cellStyle name="Comma 26 4" xfId="1906" xr:uid="{C2737C93-2376-4F88-9273-CCA2F45E1420}"/>
    <cellStyle name="Comma 27" xfId="658" xr:uid="{00000000-0005-0000-0000-000004010000}"/>
    <cellStyle name="Comma 27 2" xfId="1227" xr:uid="{00000000-0005-0000-0000-000005010000}"/>
    <cellStyle name="Comma 27 2 2" xfId="2377" xr:uid="{ED0D130C-87DE-41DF-B755-2F69993592B3}"/>
    <cellStyle name="Comma 27 3" xfId="1908" xr:uid="{6580C138-14B3-4482-BCFA-20FF67A85F7E}"/>
    <cellStyle name="Comma 28" xfId="659" xr:uid="{00000000-0005-0000-0000-000006010000}"/>
    <cellStyle name="Comma 28 2" xfId="1228" xr:uid="{00000000-0005-0000-0000-000007010000}"/>
    <cellStyle name="Comma 28 2 2" xfId="2378" xr:uid="{389E9D70-7699-4532-9D2D-4E4177FD3FC6}"/>
    <cellStyle name="Comma 28 3" xfId="1909" xr:uid="{380971F9-9309-4A9E-BC63-DF9018D031C4}"/>
    <cellStyle name="Comma 29" xfId="660" xr:uid="{00000000-0005-0000-0000-000008010000}"/>
    <cellStyle name="Comma 29 2" xfId="1229" xr:uid="{00000000-0005-0000-0000-000009010000}"/>
    <cellStyle name="Comma 29 2 2" xfId="2379" xr:uid="{9F59F9F9-C266-4B3A-9820-74715F8E2545}"/>
    <cellStyle name="Comma 29 3" xfId="1910" xr:uid="{0D99CD7B-A7D3-4244-8FB9-5F057F611BD4}"/>
    <cellStyle name="Comma 3" xfId="3" xr:uid="{00000000-0005-0000-0000-00000A010000}"/>
    <cellStyle name="Comma 3 10" xfId="1490" xr:uid="{68275149-6276-4841-A74E-581E06C7712A}"/>
    <cellStyle name="Comma 3 10 2" xfId="2415" xr:uid="{07DA28BC-F5E6-4835-B239-D4FF1EC324CB}"/>
    <cellStyle name="Comma 3 11" xfId="1506" xr:uid="{DBA7E9C5-EDA7-4BB0-B06E-4D88E434FB65}"/>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2 2 2" xfId="2225" xr:uid="{6E360743-32D7-4F8B-AAB2-A6AD74A75902}"/>
    <cellStyle name="Comma 3 2 2 2 3" xfId="1756" xr:uid="{336D7BD3-0291-480A-B6AB-42E3687BCF28}"/>
    <cellStyle name="Comma 3 2 2 3" xfId="497" xr:uid="{00000000-0005-0000-0000-00000F010000}"/>
    <cellStyle name="Comma 3 2 2 3 2" xfId="1088" xr:uid="{00000000-0005-0000-0000-000010010000}"/>
    <cellStyle name="Comma 3 2 2 3 2 2" xfId="2238" xr:uid="{22190C25-7350-45E6-B6FC-3311C1BB334F}"/>
    <cellStyle name="Comma 3 2 2 3 3" xfId="1769" xr:uid="{AF31EB20-3AF5-458D-972F-6DB940A04DEF}"/>
    <cellStyle name="Comma 3 2 2 4" xfId="950" xr:uid="{00000000-0005-0000-0000-000011010000}"/>
    <cellStyle name="Comma 3 2 2 4 2" xfId="2100" xr:uid="{F630E124-B78E-41FB-98E8-83DA4A44F4A2}"/>
    <cellStyle name="Comma 3 2 2 5" xfId="1631" xr:uid="{180291E2-FBB9-444B-8734-D354A032D56A}"/>
    <cellStyle name="Comma 3 2 3" xfId="353" xr:uid="{00000000-0005-0000-0000-000012010000}"/>
    <cellStyle name="Comma 3 2 3 2" xfId="485" xr:uid="{00000000-0005-0000-0000-000013010000}"/>
    <cellStyle name="Comma 3 2 3 2 2" xfId="1076" xr:uid="{00000000-0005-0000-0000-000014010000}"/>
    <cellStyle name="Comma 3 2 3 2 2 2" xfId="2226" xr:uid="{C3A7622D-3E30-40AD-8526-086E36239D71}"/>
    <cellStyle name="Comma 3 2 3 2 3" xfId="1757" xr:uid="{F9287D42-703B-44F7-ADED-8BC6C05F646B}"/>
    <cellStyle name="Comma 3 2 3 3" xfId="498" xr:uid="{00000000-0005-0000-0000-000015010000}"/>
    <cellStyle name="Comma 3 2 3 3 2" xfId="1089" xr:uid="{00000000-0005-0000-0000-000016010000}"/>
    <cellStyle name="Comma 3 2 3 3 2 2" xfId="2239" xr:uid="{BD0ADF78-116C-4A38-AFC7-FB69A01E10DA}"/>
    <cellStyle name="Comma 3 2 3 3 3" xfId="1770" xr:uid="{04FB4B6B-D3A1-4BD9-81C8-5B905E7DC857}"/>
    <cellStyle name="Comma 3 2 3 4" xfId="951" xr:uid="{00000000-0005-0000-0000-000017010000}"/>
    <cellStyle name="Comma 3 2 3 4 2" xfId="2101" xr:uid="{29373A9F-8A38-42DD-95CF-25BF7CD46300}"/>
    <cellStyle name="Comma 3 2 3 5" xfId="1632" xr:uid="{2E2634D3-2241-4AA0-BB36-FBDA367B4875}"/>
    <cellStyle name="Comma 3 2 4" xfId="354" xr:uid="{00000000-0005-0000-0000-000018010000}"/>
    <cellStyle name="Comma 3 2 4 2" xfId="486" xr:uid="{00000000-0005-0000-0000-000019010000}"/>
    <cellStyle name="Comma 3 2 4 2 2" xfId="1077" xr:uid="{00000000-0005-0000-0000-00001A010000}"/>
    <cellStyle name="Comma 3 2 4 2 2 2" xfId="2227" xr:uid="{65EC59A8-62C3-4005-A237-BE934E789357}"/>
    <cellStyle name="Comma 3 2 4 2 3" xfId="1758" xr:uid="{AB8CE258-34C2-4C1E-8D17-E4A09F05F6F6}"/>
    <cellStyle name="Comma 3 2 4 3" xfId="499" xr:uid="{00000000-0005-0000-0000-00001B010000}"/>
    <cellStyle name="Comma 3 2 4 3 2" xfId="1090" xr:uid="{00000000-0005-0000-0000-00001C010000}"/>
    <cellStyle name="Comma 3 2 4 3 2 2" xfId="2240" xr:uid="{DC5ABF06-0A26-444C-A52C-401EC4F104F0}"/>
    <cellStyle name="Comma 3 2 4 3 3" xfId="1771" xr:uid="{5AA108C0-FC58-4853-A2E9-F26AF03DF0C9}"/>
    <cellStyle name="Comma 3 2 4 4" xfId="952" xr:uid="{00000000-0005-0000-0000-00001D010000}"/>
    <cellStyle name="Comma 3 2 4 4 2" xfId="2102" xr:uid="{0676E71D-DFF6-4C22-B722-84FDD76F6BF4}"/>
    <cellStyle name="Comma 3 2 4 5" xfId="1633" xr:uid="{827C2CCD-0FD9-4D09-A66E-9B2FA59E7A0E}"/>
    <cellStyle name="Comma 3 2 5" xfId="204" xr:uid="{00000000-0005-0000-0000-00001E010000}"/>
    <cellStyle name="Comma 3 2 5 2" xfId="843" xr:uid="{00000000-0005-0000-0000-00001F010000}"/>
    <cellStyle name="Comma 3 2 5 2 2" xfId="1993" xr:uid="{26F57F8E-A2AE-4047-A4AB-66BCDC184C06}"/>
    <cellStyle name="Comma 3 2 5 3" xfId="1524" xr:uid="{3BE3C9B2-890B-4DF9-BAA3-5AD7AAAD6EA5}"/>
    <cellStyle name="Comma 3 2 6" xfId="824" xr:uid="{00000000-0005-0000-0000-000020010000}"/>
    <cellStyle name="Comma 3 2 6 2" xfId="1974" xr:uid="{6B412A18-7A33-44D4-91D3-F6B13F0D5611}"/>
    <cellStyle name="Comma 3 2 7" xfId="1491" xr:uid="{0BC3CF29-433E-4ADA-AA27-873506A7E646}"/>
    <cellStyle name="Comma 3 2 7 2" xfId="2416" xr:uid="{3E149167-4AE2-4FE2-A9A4-9D668BB98630}"/>
    <cellStyle name="Comma 3 2 8" xfId="1512" xr:uid="{C785E012-5727-4953-8424-70F23AA06FC5}"/>
    <cellStyle name="Comma 3 3" xfId="205" xr:uid="{00000000-0005-0000-0000-000021010000}"/>
    <cellStyle name="Comma 3 3 2" xfId="378" xr:uid="{00000000-0005-0000-0000-000022010000}"/>
    <cellStyle name="Comma 3 3 2 2" xfId="969" xr:uid="{00000000-0005-0000-0000-000023010000}"/>
    <cellStyle name="Comma 3 3 2 2 2" xfId="2119" xr:uid="{001BF8D9-55A9-4E83-A2D4-FC834FF013F0}"/>
    <cellStyle name="Comma 3 3 2 3" xfId="1650" xr:uid="{48CB805F-C801-4782-A331-2C402A335030}"/>
    <cellStyle name="Comma 3 3 3" xfId="844" xr:uid="{00000000-0005-0000-0000-000024010000}"/>
    <cellStyle name="Comma 3 3 3 2" xfId="1994" xr:uid="{51200583-EBA0-42C6-B867-1E805CE829E6}"/>
    <cellStyle name="Comma 3 3 4" xfId="1525" xr:uid="{BC034C1F-0E90-43D7-9F34-525722C5AC5A}"/>
    <cellStyle name="Comma 3 4" xfId="371" xr:uid="{00000000-0005-0000-0000-000025010000}"/>
    <cellStyle name="Comma 3 4 2" xfId="962" xr:uid="{00000000-0005-0000-0000-000026010000}"/>
    <cellStyle name="Comma 3 4 2 2" xfId="2112" xr:uid="{5F935DEA-021C-40B7-92D1-F7CD2D11778D}"/>
    <cellStyle name="Comma 3 4 3" xfId="1294" xr:uid="{00000000-0005-0000-0000-000027010000}"/>
    <cellStyle name="Comma 3 4 3 2" xfId="2397" xr:uid="{1BE7859E-4CB6-4D21-B78B-8D86BAE6907C}"/>
    <cellStyle name="Comma 3 4 4" xfId="1643" xr:uid="{C9655699-A553-4565-A9D2-324AADA03245}"/>
    <cellStyle name="Comma 3 5" xfId="494" xr:uid="{00000000-0005-0000-0000-000028010000}"/>
    <cellStyle name="Comma 3 5 2" xfId="1085" xr:uid="{00000000-0005-0000-0000-000029010000}"/>
    <cellStyle name="Comma 3 5 2 2" xfId="2235" xr:uid="{D6770595-D0C1-48E6-A787-94836D77CC79}"/>
    <cellStyle name="Comma 3 5 3" xfId="1766" xr:uid="{2A927A80-DBCD-4D3C-92F8-F3E71C584623}"/>
    <cellStyle name="Comma 3 6" xfId="171" xr:uid="{00000000-0005-0000-0000-00002A010000}"/>
    <cellStyle name="Comma 3 6 2" xfId="835" xr:uid="{00000000-0005-0000-0000-00002B010000}"/>
    <cellStyle name="Comma 3 6 2 2" xfId="1985" xr:uid="{DDDF009F-9A0E-4CC5-9358-10D87876E8A3}"/>
    <cellStyle name="Comma 3 6 3" xfId="1516" xr:uid="{4DC3E758-EE93-4DA7-A155-39A0F2F01B89}"/>
    <cellStyle name="Comma 3 7" xfId="38" xr:uid="{00000000-0005-0000-0000-00002C010000}"/>
    <cellStyle name="Comma 3 8" xfId="770" xr:uid="{00000000-0005-0000-0000-00002D010000}"/>
    <cellStyle name="Comma 3 8 2" xfId="1920" xr:uid="{D282F8D6-F0CD-4955-8E1D-FF0114FDBF73}"/>
    <cellStyle name="Comma 3 9" xfId="1279" xr:uid="{00000000-0005-0000-0000-00002E010000}"/>
    <cellStyle name="Comma 3 9 2" xfId="2389" xr:uid="{15356C3B-DEEB-4A04-8D8F-82C191961CE0}"/>
    <cellStyle name="Comma 30" xfId="34" xr:uid="{00000000-0005-0000-0000-00002F010000}"/>
    <cellStyle name="Comma 30 2" xfId="773" xr:uid="{00000000-0005-0000-0000-000030010000}"/>
    <cellStyle name="Comma 30 2 2" xfId="1923" xr:uid="{6E604835-4F27-4455-8DEF-0DB7A2DD4F65}"/>
    <cellStyle name="Comma 30 3" xfId="1509" xr:uid="{2C539F79-DEE7-4C45-BA6A-42D2DDEED768}"/>
    <cellStyle name="Comma 31" xfId="1278" xr:uid="{00000000-0005-0000-0000-000031010000}"/>
    <cellStyle name="Comma 31 2" xfId="2388" xr:uid="{B4A1DBAF-B983-4990-8CDA-2578E88A7AF1}"/>
    <cellStyle name="Comma 32" xfId="1438" xr:uid="{38ADCFA4-3F20-43C7-88AD-4A843DE2A991}"/>
    <cellStyle name="Comma 32 2" xfId="2412" xr:uid="{D194F18A-C378-4D33-BA0C-926691295EB8}"/>
    <cellStyle name="Comma 4" xfId="31" xr:uid="{00000000-0005-0000-0000-000032010000}"/>
    <cellStyle name="Comma 4 10" xfId="1508" xr:uid="{1148A4F2-4B56-4E59-956F-D9A2F27E0059}"/>
    <cellStyle name="Comma 4 2" xfId="355" xr:uid="{00000000-0005-0000-0000-000033010000}"/>
    <cellStyle name="Comma 4 2 2" xfId="487" xr:uid="{00000000-0005-0000-0000-000034010000}"/>
    <cellStyle name="Comma 4 2 2 2" xfId="1078" xr:uid="{00000000-0005-0000-0000-000035010000}"/>
    <cellStyle name="Comma 4 2 2 2 2" xfId="2228" xr:uid="{E1B4345E-7F9A-4F37-BA8C-5281EB9ACC5B}"/>
    <cellStyle name="Comma 4 2 2 3" xfId="1759" xr:uid="{F4484EFE-B142-4BFA-B09D-E7D62859C1D5}"/>
    <cellStyle name="Comma 4 2 3" xfId="500" xr:uid="{00000000-0005-0000-0000-000036010000}"/>
    <cellStyle name="Comma 4 2 3 2" xfId="1091" xr:uid="{00000000-0005-0000-0000-000037010000}"/>
    <cellStyle name="Comma 4 2 3 2 2" xfId="2241" xr:uid="{55640236-764F-483E-947E-C4E9AF940350}"/>
    <cellStyle name="Comma 4 2 3 3" xfId="1772" xr:uid="{AE95D741-2CE6-4245-8C99-6FD33446DA1C}"/>
    <cellStyle name="Comma 4 2 4" xfId="953" xr:uid="{00000000-0005-0000-0000-000038010000}"/>
    <cellStyle name="Comma 4 2 4 2" xfId="2103" xr:uid="{7B0EFCEC-7F39-4D5F-8097-965CA32697E6}"/>
    <cellStyle name="Comma 4 2 5" xfId="1634" xr:uid="{A65CE547-C7F1-42F5-950B-F77C82D7289E}"/>
    <cellStyle name="Comma 4 3" xfId="372" xr:uid="{00000000-0005-0000-0000-000039010000}"/>
    <cellStyle name="Comma 4 3 2" xfId="963" xr:uid="{00000000-0005-0000-0000-00003A010000}"/>
    <cellStyle name="Comma 4 3 2 2" xfId="2113" xr:uid="{E6D1160D-3CFA-4B2B-98F9-12ABBB61B088}"/>
    <cellStyle name="Comma 4 3 3" xfId="1644" xr:uid="{A8C8DB8A-FEB6-46A4-B74B-18F1B57E7256}"/>
    <cellStyle name="Comma 4 4" xfId="495" xr:uid="{00000000-0005-0000-0000-00003B010000}"/>
    <cellStyle name="Comma 4 4 2" xfId="1086" xr:uid="{00000000-0005-0000-0000-00003C010000}"/>
    <cellStyle name="Comma 4 4 2 2" xfId="2236" xr:uid="{90601F0F-BED6-4D80-B989-A8B6E6D6791D}"/>
    <cellStyle name="Comma 4 4 3" xfId="1767" xr:uid="{E0C7ACC3-DFCF-494B-92BE-D91E58D0AC12}"/>
    <cellStyle name="Comma 4 5" xfId="172" xr:uid="{00000000-0005-0000-0000-00003D010000}"/>
    <cellStyle name="Comma 4 5 2" xfId="836" xr:uid="{00000000-0005-0000-0000-00003E010000}"/>
    <cellStyle name="Comma 4 5 2 2" xfId="1986" xr:uid="{8AAB7D22-26F2-4C34-8719-FE21BA3D1D8C}"/>
    <cellStyle name="Comma 4 5 3" xfId="1517" xr:uid="{33A32E54-3D01-4CFA-8CDA-A89BBDC13053}"/>
    <cellStyle name="Comma 4 6" xfId="40" xr:uid="{00000000-0005-0000-0000-00003F010000}"/>
    <cellStyle name="Comma 4 7" xfId="772" xr:uid="{00000000-0005-0000-0000-000040010000}"/>
    <cellStyle name="Comma 4 7 2" xfId="1922" xr:uid="{EC8B0F86-9024-42D0-9EEE-F1D8ABA468ED}"/>
    <cellStyle name="Comma 4 8" xfId="1286" xr:uid="{00000000-0005-0000-0000-000041010000}"/>
    <cellStyle name="Comma 4 8 2" xfId="2395" xr:uid="{0BF344CD-01F0-4998-BDCC-15FF103DA383}"/>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2 2 2" xfId="2229" xr:uid="{2F107583-CAB4-4368-BEFA-883711C2C969}"/>
    <cellStyle name="Comma 5 2 2 3" xfId="1760" xr:uid="{9ACB3DC1-A7E7-43C9-BAF0-B95F42C52C43}"/>
    <cellStyle name="Comma 5 2 3" xfId="501" xr:uid="{00000000-0005-0000-0000-000046010000}"/>
    <cellStyle name="Comma 5 2 3 2" xfId="1092" xr:uid="{00000000-0005-0000-0000-000047010000}"/>
    <cellStyle name="Comma 5 2 3 2 2" xfId="2242" xr:uid="{4EB98E6E-088D-4409-AE0F-0E98FB38C807}"/>
    <cellStyle name="Comma 5 2 3 3" xfId="1773" xr:uid="{3D895BFD-C497-4565-AC59-210DC7451425}"/>
    <cellStyle name="Comma 5 2 4" xfId="954" xr:uid="{00000000-0005-0000-0000-000048010000}"/>
    <cellStyle name="Comma 5 2 4 2" xfId="2104" xr:uid="{A0630D49-9DAF-420D-BAE6-A9429E95B474}"/>
    <cellStyle name="Comma 5 2 5" xfId="1635" xr:uid="{26577AAD-9876-4FC5-A8F5-1155385B8D6B}"/>
    <cellStyle name="Comma 5 3" xfId="373" xr:uid="{00000000-0005-0000-0000-000049010000}"/>
    <cellStyle name="Comma 5 3 2" xfId="964" xr:uid="{00000000-0005-0000-0000-00004A010000}"/>
    <cellStyle name="Comma 5 3 2 2" xfId="2114" xr:uid="{4093FA41-2300-4E09-BE14-35E3EA86C49B}"/>
    <cellStyle name="Comma 5 3 3" xfId="1645" xr:uid="{050F8B68-8C41-4D8D-95C4-15F65DEF31D4}"/>
    <cellStyle name="Comma 5 4" xfId="496" xr:uid="{00000000-0005-0000-0000-00004B010000}"/>
    <cellStyle name="Comma 5 4 2" xfId="1087" xr:uid="{00000000-0005-0000-0000-00004C010000}"/>
    <cellStyle name="Comma 5 4 2 2" xfId="2237" xr:uid="{4B85F08C-FE2F-4944-B3EE-6B85663AC68A}"/>
    <cellStyle name="Comma 5 4 3" xfId="1768" xr:uid="{F479A632-6040-4C44-857B-86BC4A08E359}"/>
    <cellStyle name="Comma 5 5" xfId="181" xr:uid="{00000000-0005-0000-0000-00004D010000}"/>
    <cellStyle name="Comma 5 5 2" xfId="838" xr:uid="{00000000-0005-0000-0000-00004E010000}"/>
    <cellStyle name="Comma 5 5 2 2" xfId="1988" xr:uid="{08EA0505-0A4E-487F-9CBA-882433DA3534}"/>
    <cellStyle name="Comma 5 5 3" xfId="1519" xr:uid="{213F48D6-4864-4B4A-BADB-62B638396737}"/>
    <cellStyle name="Comma 5 6" xfId="769" xr:uid="{00000000-0005-0000-0000-00004F010000}"/>
    <cellStyle name="Comma 5 6 2" xfId="1919" xr:uid="{04FFAA4B-BDD5-48E4-926A-0470D18EE58D}"/>
    <cellStyle name="Comma 5 7" xfId="1505" xr:uid="{45788DCD-8CA4-4BDA-99D0-7A6788760888}"/>
    <cellStyle name="Comma 6" xfId="357" xr:uid="{00000000-0005-0000-0000-000050010000}"/>
    <cellStyle name="Comma 6 2" xfId="489" xr:uid="{00000000-0005-0000-0000-000051010000}"/>
    <cellStyle name="Comma 6 2 2" xfId="1080" xr:uid="{00000000-0005-0000-0000-000052010000}"/>
    <cellStyle name="Comma 6 2 2 2" xfId="2230" xr:uid="{2794AC27-C034-4F22-AB0B-ACE281BBE82D}"/>
    <cellStyle name="Comma 6 2 3" xfId="1761" xr:uid="{A7DAF923-27B6-4A24-90AF-4C4D6A97B649}"/>
    <cellStyle name="Comma 6 3" xfId="502" xr:uid="{00000000-0005-0000-0000-000053010000}"/>
    <cellStyle name="Comma 6 3 2" xfId="1093" xr:uid="{00000000-0005-0000-0000-000054010000}"/>
    <cellStyle name="Comma 6 3 2 2" xfId="2243" xr:uid="{42D15EF2-2838-4E1E-9A96-F46AE6415AB4}"/>
    <cellStyle name="Comma 6 3 3" xfId="1774" xr:uid="{E8D15DD0-CB10-4A25-8ABA-D3515B87A4F5}"/>
    <cellStyle name="Comma 6 4" xfId="661" xr:uid="{00000000-0005-0000-0000-000055010000}"/>
    <cellStyle name="Comma 6 4 2" xfId="1230" xr:uid="{00000000-0005-0000-0000-000056010000}"/>
    <cellStyle name="Comma 6 4 2 2" xfId="2380" xr:uid="{B9BE242D-E84F-4311-A65C-AC9DAB3E4F49}"/>
    <cellStyle name="Comma 6 4 3" xfId="1293" xr:uid="{00000000-0005-0000-0000-000057010000}"/>
    <cellStyle name="Comma 6 4 3 2" xfId="2396" xr:uid="{95133FDC-E407-44B5-84CD-051EFF59D18F}"/>
    <cellStyle name="Comma 6 4 4" xfId="1911" xr:uid="{C54491C1-F960-4849-BBA7-A317034DED3D}"/>
    <cellStyle name="Comma 6 5" xfId="955" xr:uid="{00000000-0005-0000-0000-000058010000}"/>
    <cellStyle name="Comma 6 5 2" xfId="2105" xr:uid="{762F273A-5F07-49E9-87EB-5B573E9DE1B2}"/>
    <cellStyle name="Comma 6 6" xfId="1636" xr:uid="{07FA096C-F36E-471D-B1DD-1DAE9D631018}"/>
    <cellStyle name="Comma 7" xfId="358" xr:uid="{00000000-0005-0000-0000-000059010000}"/>
    <cellStyle name="Comma 7 2" xfId="490" xr:uid="{00000000-0005-0000-0000-00005A010000}"/>
    <cellStyle name="Comma 7 2 2" xfId="1081" xr:uid="{00000000-0005-0000-0000-00005B010000}"/>
    <cellStyle name="Comma 7 2 2 2" xfId="2231" xr:uid="{E3E46820-CACC-4B2D-8AAB-A2DB9F4BEC2B}"/>
    <cellStyle name="Comma 7 2 3" xfId="1762" xr:uid="{7D195909-AEDC-4D1D-ADDE-0310EB492A10}"/>
    <cellStyle name="Comma 7 3" xfId="503" xr:uid="{00000000-0005-0000-0000-00005C010000}"/>
    <cellStyle name="Comma 7 3 2" xfId="1094" xr:uid="{00000000-0005-0000-0000-00005D010000}"/>
    <cellStyle name="Comma 7 3 2 2" xfId="2244" xr:uid="{3A2BE912-3A3C-4308-AC87-B154299B7588}"/>
    <cellStyle name="Comma 7 3 3" xfId="1775" xr:uid="{2525AF5D-3FD9-4971-9067-C757BF2D16CF}"/>
    <cellStyle name="Comma 7 4" xfId="956" xr:uid="{00000000-0005-0000-0000-00005E010000}"/>
    <cellStyle name="Comma 7 4 2" xfId="2106" xr:uid="{C8F6893E-F4DF-4B57-87F3-E4FDBAB27048}"/>
    <cellStyle name="Comma 7 5" xfId="1637" xr:uid="{A3C9D844-9DF2-401C-A4AB-30FF8E20B6C7}"/>
    <cellStyle name="Comma 8" xfId="363" xr:uid="{00000000-0005-0000-0000-00005F010000}"/>
    <cellStyle name="Comma 8 2" xfId="662" xr:uid="{00000000-0005-0000-0000-000060010000}"/>
    <cellStyle name="Comma 8 2 2" xfId="1231" xr:uid="{00000000-0005-0000-0000-000061010000}"/>
    <cellStyle name="Comma 8 2 2 2" xfId="2381" xr:uid="{EBA803BF-A58B-48D8-ABA9-C96E5EECB356}"/>
    <cellStyle name="Comma 8 2 3" xfId="1912" xr:uid="{9204A0AE-CC66-4B96-A776-524EA55426F8}"/>
    <cellStyle name="Comma 8 3" xfId="663" xr:uid="{00000000-0005-0000-0000-000062010000}"/>
    <cellStyle name="Comma 8 3 2" xfId="1232" xr:uid="{00000000-0005-0000-0000-000063010000}"/>
    <cellStyle name="Comma 8 3 2 2" xfId="2382" xr:uid="{AC6BFABC-C564-483C-B733-C1BEDC4D6EEC}"/>
    <cellStyle name="Comma 8 3 3" xfId="1913" xr:uid="{64A7600B-4BFA-4590-BCE6-8D227B486DB3}"/>
    <cellStyle name="Comma 8 4" xfId="958" xr:uid="{00000000-0005-0000-0000-000064010000}"/>
    <cellStyle name="Comma 8 4 2" xfId="2108" xr:uid="{40C58EA6-5833-4F95-B302-9EC27EF75E89}"/>
    <cellStyle name="Comma 8 5" xfId="1639" xr:uid="{41E01133-50DD-41FF-908E-527C7CC7D86D}"/>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2 2 2" xfId="2384" xr:uid="{B753327A-5F6E-4794-BC06-7BEA389219F8}"/>
    <cellStyle name="Comma 9 2 2 3" xfId="1915" xr:uid="{905134AB-DB36-4597-A7B2-39EB82A20239}"/>
    <cellStyle name="Comma 9 2 3" xfId="666" xr:uid="{00000000-0005-0000-0000-000069010000}"/>
    <cellStyle name="Comma 9 2 3 2" xfId="1235" xr:uid="{00000000-0005-0000-0000-00006A010000}"/>
    <cellStyle name="Comma 9 2 3 2 2" xfId="2385" xr:uid="{4FF58249-60FD-4689-A248-254405749158}"/>
    <cellStyle name="Comma 9 2 3 3" xfId="1916" xr:uid="{B8AB7028-67F3-4F88-BDCC-3619BEF9B958}"/>
    <cellStyle name="Comma 9 2 4" xfId="1233" xr:uid="{00000000-0005-0000-0000-00006B010000}"/>
    <cellStyle name="Comma 9 2 4 2" xfId="2383" xr:uid="{070EF963-7039-44FC-918A-7ADB9B7F551B}"/>
    <cellStyle name="Comma 9 2 5" xfId="1914" xr:uid="{A9E50357-EEB8-4D17-AD67-F618B8ED266D}"/>
    <cellStyle name="Comma 9 3" xfId="667" xr:uid="{00000000-0005-0000-0000-00006C010000}"/>
    <cellStyle name="Comma 9 3 2" xfId="1236" xr:uid="{00000000-0005-0000-0000-00006D010000}"/>
    <cellStyle name="Comma 9 3 2 2" xfId="2386" xr:uid="{94D2811C-FBE6-4BE3-8BF3-6B7346F466C2}"/>
    <cellStyle name="Comma 9 3 3" xfId="1917" xr:uid="{03CD7431-81B6-4770-9AE9-488FD9F7E9E3}"/>
    <cellStyle name="Comma 9 4" xfId="960" xr:uid="{00000000-0005-0000-0000-00006E010000}"/>
    <cellStyle name="Comma 9 4 2" xfId="2110" xr:uid="{A901B509-78CC-448B-B1A2-AACF51CB094E}"/>
    <cellStyle name="Comma 9 5" xfId="1641" xr:uid="{6316A8D4-0523-42C9-B343-B4400EA606A9}"/>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nput 3 2" xfId="2401" xr:uid="{4AE3F6F3-AC3B-4D90-BDB5-61BAFF4090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2 2 5 2 2" xfId="2387" xr:uid="{69CFB933-A346-459D-8E20-60734EEE016C}"/>
    <cellStyle name="Normal 10 2 2 5 3" xfId="1918" xr:uid="{369E862B-3339-4408-9660-FE02C94FD065}"/>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3 2" xfId="1976" xr:uid="{01586CB9-E253-4429-A849-AAD4421B36B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4 2 2" xfId="1975" xr:uid="{20538935-4B04-4151-BDBD-1AE2DEE07D38}"/>
    <cellStyle name="Normal 5 4 3" xfId="1513" xr:uid="{26053271-54BF-471A-8A2F-E820B1937D0E}"/>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2 2" xfId="1977" xr:uid="{E1E24FC8-6BF1-4737-B0E0-B83671C7A535}"/>
    <cellStyle name="Normal 7 2 3" xfId="1494" xr:uid="{02511FFB-78A9-478A-B67A-73979BFC6CEF}"/>
    <cellStyle name="Normal 7 3" xfId="117" xr:uid="{00000000-0005-0000-0000-0000EB010000}"/>
    <cellStyle name="Normal 7 3 2" xfId="828" xr:uid="{00000000-0005-0000-0000-0000EC010000}"/>
    <cellStyle name="Normal 7 3 2 2" xfId="1978" xr:uid="{411FABA4-889D-4644-AA4A-76B5F9239C3F}"/>
    <cellStyle name="Normal 7 3 3" xfId="1514" xr:uid="{BF9E9D3A-F1CF-45D9-A1AE-81846DB0507E}"/>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Note 3 2" xfId="2402" xr:uid="{9AA59BF7-097F-42B4-9091-E77CDC724DF9}"/>
    <cellStyle name="Obično_List1" xfId="737" xr:uid="{00000000-0005-0000-0000-0000F6010000}"/>
    <cellStyle name="Output 2" xfId="1247" xr:uid="{00000000-0005-0000-0000-0000F7010000}"/>
    <cellStyle name="Output 3" xfId="1368" xr:uid="{F8FAEE12-E4BE-4BF2-A2F3-5633808FA200}"/>
    <cellStyle name="Output 3 2" xfId="2403" xr:uid="{5444B24B-B48D-4BBC-AA2C-221CACD038F6}"/>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4 2" xfId="1979" xr:uid="{D2D1E0CB-D6FE-44B7-9CAC-897508D37504}"/>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4 3 2" xfId="1987" xr:uid="{C030C2C8-C88B-4080-9DC8-880BAC867C38}"/>
    <cellStyle name="Percent 4 4" xfId="1518" xr:uid="{BCF06EC2-67BA-4812-B587-C2C344050E1A}"/>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 5 2" xfId="2410" xr:uid="{11DEB7F5-E5C8-4FCA-94DA-97966FF51AC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2 2 2" xfId="2251" xr:uid="{1BB0F110-5800-45B6-AA71-0C9B9D26EDAD}"/>
    <cellStyle name="הערה 2 2 2 2 2 2 2 3" xfId="1782" xr:uid="{24A819C6-7256-44B7-B819-6B35307BCF45}"/>
    <cellStyle name="הערה 2 2 2 2 2 2 3" xfId="974" xr:uid="{00000000-0005-0000-0000-00004C020000}"/>
    <cellStyle name="הערה 2 2 2 2 2 2 3 2" xfId="2124" xr:uid="{F2966566-99D7-4A22-A776-3A3EFCE6E3C4}"/>
    <cellStyle name="הערה 2 2 2 2 2 2 4" xfId="1655" xr:uid="{FB214432-A56F-4922-A46C-4641A6A00389}"/>
    <cellStyle name="הערה 2 2 2 2 2 3" xfId="849" xr:uid="{00000000-0005-0000-0000-00004D020000}"/>
    <cellStyle name="הערה 2 2 2 2 2 3 2" xfId="1999" xr:uid="{ED08D7A5-7AA8-48C2-B429-5A4CC1910D8A}"/>
    <cellStyle name="הערה 2 2 2 2 2 4" xfId="1530" xr:uid="{33058245-EEDF-4402-A9CF-38E2F085C10B}"/>
    <cellStyle name="הערה 2 2 2 2 3" xfId="382" xr:uid="{00000000-0005-0000-0000-00004E020000}"/>
    <cellStyle name="הערה 2 2 2 2 3 2" xfId="517" xr:uid="{00000000-0005-0000-0000-00004F020000}"/>
    <cellStyle name="הערה 2 2 2 2 3 2 2" xfId="1100" xr:uid="{00000000-0005-0000-0000-000050020000}"/>
    <cellStyle name="הערה 2 2 2 2 3 2 2 2" xfId="2250" xr:uid="{CFF5C3C5-F28F-4F8E-A67E-28BD928DB918}"/>
    <cellStyle name="הערה 2 2 2 2 3 2 3" xfId="1781" xr:uid="{A36B1CB4-BAD5-430A-9A18-2CC59B765861}"/>
    <cellStyle name="הערה 2 2 2 2 3 3" xfId="973" xr:uid="{00000000-0005-0000-0000-000051020000}"/>
    <cellStyle name="הערה 2 2 2 2 3 3 2" xfId="2123" xr:uid="{6C9BB516-FC68-4F0D-9BC3-0A8DCEC85C9D}"/>
    <cellStyle name="הערה 2 2 2 2 3 4" xfId="1654" xr:uid="{9556DB87-A3A1-41A8-935F-979A0B6C7F8A}"/>
    <cellStyle name="הערה 2 2 2 2 4" xfId="848" xr:uid="{00000000-0005-0000-0000-000052020000}"/>
    <cellStyle name="הערה 2 2 2 2 4 2" xfId="1998" xr:uid="{7FA57163-DEDC-41BB-80D4-1156773C0AC4}"/>
    <cellStyle name="הערה 2 2 2 2 5" xfId="1529" xr:uid="{68AE006C-AC74-422E-BFCF-20780640A655}"/>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2 2 2" xfId="2252" xr:uid="{67F5FF6C-97AC-42C8-8C31-EDF855B38DDD}"/>
    <cellStyle name="הערה 2 2 2 3 2 2 3" xfId="1783" xr:uid="{F78123E7-3786-40D4-A959-279237AD2F92}"/>
    <cellStyle name="הערה 2 2 2 3 2 3" xfId="975" xr:uid="{00000000-0005-0000-0000-000057020000}"/>
    <cellStyle name="הערה 2 2 2 3 2 3 2" xfId="2125" xr:uid="{C014D019-5000-4309-99DC-A1BA5F1C2574}"/>
    <cellStyle name="הערה 2 2 2 3 2 4" xfId="1656" xr:uid="{34B5FC37-675D-4AE3-B4C6-2ADE34A7B5D5}"/>
    <cellStyle name="הערה 2 2 2 3 3" xfId="850" xr:uid="{00000000-0005-0000-0000-000058020000}"/>
    <cellStyle name="הערה 2 2 2 3 3 2" xfId="2000" xr:uid="{2E93C047-0A8A-499A-9EE8-EFC9AC223D5F}"/>
    <cellStyle name="הערה 2 2 2 3 4" xfId="1531" xr:uid="{BF1B392F-50D0-4794-B3DE-FE72D19D8355}"/>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2 2 2" xfId="2253" xr:uid="{4A1B0A46-0ABF-4977-9EF8-04F4F187E05D}"/>
    <cellStyle name="הערה 2 2 2 4 2 2 3" xfId="1784" xr:uid="{DAC16CB3-4112-4C0A-9FC8-FC0BF3A8E95E}"/>
    <cellStyle name="הערה 2 2 2 4 2 3" xfId="976" xr:uid="{00000000-0005-0000-0000-00005D020000}"/>
    <cellStyle name="הערה 2 2 2 4 2 3 2" xfId="2126" xr:uid="{B3F8CA56-31CF-4F8C-A155-FBC59BE05D4A}"/>
    <cellStyle name="הערה 2 2 2 4 2 4" xfId="1657" xr:uid="{ACC51235-4288-4DCD-BE2B-4012B478247F}"/>
    <cellStyle name="הערה 2 2 2 4 3" xfId="851" xr:uid="{00000000-0005-0000-0000-00005E020000}"/>
    <cellStyle name="הערה 2 2 2 4 3 2" xfId="2001" xr:uid="{2CD05E01-3D82-4F98-8F81-58EE1AEBF95D}"/>
    <cellStyle name="הערה 2 2 2 4 4" xfId="1532" xr:uid="{8F95E534-968E-4018-938B-FBB075DCD881}"/>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2 2 2" xfId="2254" xr:uid="{2270AE2A-1B09-4038-ADC3-00AEEA14EAAB}"/>
    <cellStyle name="הערה 2 2 2 5 2 2 3" xfId="1785" xr:uid="{BA11E8E1-64AC-495B-9E18-69D647F17EE0}"/>
    <cellStyle name="הערה 2 2 2 5 2 3" xfId="977" xr:uid="{00000000-0005-0000-0000-000063020000}"/>
    <cellStyle name="הערה 2 2 2 5 2 3 2" xfId="2127" xr:uid="{88AD3CD8-72CB-499A-8325-881A72064522}"/>
    <cellStyle name="הערה 2 2 2 5 2 4" xfId="1658" xr:uid="{591FA953-E17B-4F8F-9D51-67D71ED059BA}"/>
    <cellStyle name="הערה 2 2 2 5 3" xfId="852" xr:uid="{00000000-0005-0000-0000-000064020000}"/>
    <cellStyle name="הערה 2 2 2 5 3 2" xfId="2002" xr:uid="{CDA4AAB1-A131-4938-87CF-26BB1DB6F632}"/>
    <cellStyle name="הערה 2 2 2 5 4" xfId="1533" xr:uid="{6AD6B68C-A649-4A63-A9ED-0DB4E4DEE3F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2 2 2" xfId="2255" xr:uid="{25A193CD-ABE3-4968-89DF-0517FE54201A}"/>
    <cellStyle name="הערה 2 2 2 6 2 2 3" xfId="1786" xr:uid="{C76DAAAC-E486-4B46-848C-AF939D0F3E6D}"/>
    <cellStyle name="הערה 2 2 2 6 2 3" xfId="978" xr:uid="{00000000-0005-0000-0000-000069020000}"/>
    <cellStyle name="הערה 2 2 2 6 2 3 2" xfId="2128" xr:uid="{ABBFA379-8BE3-45FC-95CE-D7C4B2C4ED58}"/>
    <cellStyle name="הערה 2 2 2 6 2 4" xfId="1659" xr:uid="{364CC794-F35F-4593-B1D3-42EA7C360751}"/>
    <cellStyle name="הערה 2 2 2 6 3" xfId="853" xr:uid="{00000000-0005-0000-0000-00006A020000}"/>
    <cellStyle name="הערה 2 2 2 6 3 2" xfId="2003" xr:uid="{059D3E1D-66A3-49E6-88DF-1DA16E7AAD8A}"/>
    <cellStyle name="הערה 2 2 2 6 4" xfId="1534" xr:uid="{7702501C-DF43-44F4-ABB6-50A47787878D}"/>
    <cellStyle name="הערה 2 2 2 7" xfId="381" xr:uid="{00000000-0005-0000-0000-00006B020000}"/>
    <cellStyle name="הערה 2 2 2 7 2" xfId="516" xr:uid="{00000000-0005-0000-0000-00006C020000}"/>
    <cellStyle name="הערה 2 2 2 7 2 2" xfId="1099" xr:uid="{00000000-0005-0000-0000-00006D020000}"/>
    <cellStyle name="הערה 2 2 2 7 2 2 2" xfId="2249" xr:uid="{92C26C23-39E9-4808-A6A3-71D1E2D6BA87}"/>
    <cellStyle name="הערה 2 2 2 7 2 3" xfId="1780" xr:uid="{AC80557A-403C-4D5D-8901-1520DB9F491C}"/>
    <cellStyle name="הערה 2 2 2 7 3" xfId="972" xr:uid="{00000000-0005-0000-0000-00006E020000}"/>
    <cellStyle name="הערה 2 2 2 7 3 2" xfId="2122" xr:uid="{4C4CA266-75E7-466B-A100-C5FF1827DC41}"/>
    <cellStyle name="הערה 2 2 2 7 4" xfId="1653" xr:uid="{18458877-3265-476D-995D-1CEE4E7E9C19}"/>
    <cellStyle name="הערה 2 2 2 8" xfId="847" xr:uid="{00000000-0005-0000-0000-00006F020000}"/>
    <cellStyle name="הערה 2 2 2 8 2" xfId="1997" xr:uid="{1D0967E0-BD8D-4DDC-9E2A-209BD558CA89}"/>
    <cellStyle name="הערה 2 2 2 9" xfId="1528" xr:uid="{7F02ABE0-E435-4841-862C-8786819F6B2E}"/>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2 2 2" xfId="2256" xr:uid="{9C56D015-8B77-4848-84B8-1DCE2A3614B0}"/>
    <cellStyle name="הערה 2 2 3 2 2 3" xfId="1787" xr:uid="{E71A69E9-BD28-4060-A527-28F34046D60F}"/>
    <cellStyle name="הערה 2 2 3 2 3" xfId="979" xr:uid="{00000000-0005-0000-0000-000074020000}"/>
    <cellStyle name="הערה 2 2 3 2 3 2" xfId="2129" xr:uid="{DCC93622-B739-4E84-A8CE-CE89F780FC26}"/>
    <cellStyle name="הערה 2 2 3 2 4" xfId="1660" xr:uid="{DD313866-A8FF-4EA9-9DA1-98795299D98B}"/>
    <cellStyle name="הערה 2 2 3 3" xfId="854" xr:uid="{00000000-0005-0000-0000-000075020000}"/>
    <cellStyle name="הערה 2 2 3 3 2" xfId="2004" xr:uid="{E8D1FC7B-CA95-4B6C-B1E7-301727A4459B}"/>
    <cellStyle name="הערה 2 2 3 4" xfId="1535" xr:uid="{E13B214B-D558-4B41-8AAA-841A0F24571E}"/>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2 2 2" xfId="2257" xr:uid="{E0F3797A-3923-4533-871A-A635CC512779}"/>
    <cellStyle name="הערה 2 2 4 2 2 3" xfId="1788" xr:uid="{68DD68B1-7152-4C04-BF9E-B221F5189C8A}"/>
    <cellStyle name="הערה 2 2 4 2 3" xfId="980" xr:uid="{00000000-0005-0000-0000-00007A020000}"/>
    <cellStyle name="הערה 2 2 4 2 3 2" xfId="2130" xr:uid="{F58BCE72-9D8C-47E1-AAED-D992D2850CA9}"/>
    <cellStyle name="הערה 2 2 4 2 4" xfId="1661" xr:uid="{7594DEC6-0545-4AE0-BAB0-0452721E7353}"/>
    <cellStyle name="הערה 2 2 4 3" xfId="855" xr:uid="{00000000-0005-0000-0000-00007B020000}"/>
    <cellStyle name="הערה 2 2 4 3 2" xfId="2005" xr:uid="{22FF21A3-AF81-43FC-9D34-28A41AFA1F6F}"/>
    <cellStyle name="הערה 2 2 4 4" xfId="1536" xr:uid="{A770BB37-F475-4ADE-BB77-2CDBC581FD39}"/>
    <cellStyle name="הערה 2 2 5" xfId="380" xr:uid="{00000000-0005-0000-0000-00007C020000}"/>
    <cellStyle name="הערה 2 2 5 2" xfId="515" xr:uid="{00000000-0005-0000-0000-00007D020000}"/>
    <cellStyle name="הערה 2 2 5 2 2" xfId="1098" xr:uid="{00000000-0005-0000-0000-00007E020000}"/>
    <cellStyle name="הערה 2 2 5 2 2 2" xfId="2248" xr:uid="{1C5FEAE1-5402-432D-8A4D-F16A7E4563A8}"/>
    <cellStyle name="הערה 2 2 5 2 3" xfId="1779" xr:uid="{2E023478-B5FA-40B4-89AA-4B07DB51F581}"/>
    <cellStyle name="הערה 2 2 5 3" xfId="971" xr:uid="{00000000-0005-0000-0000-00007F020000}"/>
    <cellStyle name="הערה 2 2 5 3 2" xfId="2121" xr:uid="{7801E3DA-3347-4CB1-B4B0-93F52927F1EC}"/>
    <cellStyle name="הערה 2 2 5 4" xfId="1652" xr:uid="{3957B4C5-108F-4E1F-AF7E-ECA7892260FB}"/>
    <cellStyle name="הערה 2 2 6" xfId="221" xr:uid="{00000000-0005-0000-0000-000080020000}"/>
    <cellStyle name="הערה 2 2 6 2" xfId="846" xr:uid="{00000000-0005-0000-0000-000081020000}"/>
    <cellStyle name="הערה 2 2 6 2 2" xfId="1996" xr:uid="{E1BE8C78-2F6D-4A79-9AF2-F61E078B11BA}"/>
    <cellStyle name="הערה 2 2 6 3" xfId="1527" xr:uid="{EDF4EBCA-EFAC-4BEA-A18D-4844E8FE8529}"/>
    <cellStyle name="הערה 2 2 7" xfId="831" xr:uid="{00000000-0005-0000-0000-000082020000}"/>
    <cellStyle name="הערה 2 2 7 2" xfId="1981" xr:uid="{D36D5732-91D5-459F-AA28-313F0F826382}"/>
    <cellStyle name="הערה 2 2 8" xfId="1498" xr:uid="{EE5D37B4-9CCB-4DD1-A958-37BB70B08D62}"/>
    <cellStyle name="הערה 2 3" xfId="231" xr:uid="{00000000-0005-0000-0000-000083020000}"/>
    <cellStyle name="הערה 2 3 10" xfId="1537" xr:uid="{AD381806-4EB3-455B-91E0-B9B4EFFAB441}"/>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2 2 2" xfId="2260" xr:uid="{6FC9CE3C-20BD-41BE-80BA-22CBB25B77C1}"/>
    <cellStyle name="הערה 2 3 2 2 2 2 3" xfId="1791" xr:uid="{97B1B94A-6E71-4C78-8588-225384A1CDDA}"/>
    <cellStyle name="הערה 2 3 2 2 2 3" xfId="983" xr:uid="{00000000-0005-0000-0000-000089020000}"/>
    <cellStyle name="הערה 2 3 2 2 2 3 2" xfId="2133" xr:uid="{C8E56FF9-6A39-4BDE-A0E3-1ECFD5481A82}"/>
    <cellStyle name="הערה 2 3 2 2 2 4" xfId="1664" xr:uid="{E9381DFF-2D0E-4AAB-8C78-F59ECB6908EC}"/>
    <cellStyle name="הערה 2 3 2 2 3" xfId="858" xr:uid="{00000000-0005-0000-0000-00008A020000}"/>
    <cellStyle name="הערה 2 3 2 2 3 2" xfId="2008" xr:uid="{02829568-4EA6-4C6E-9855-B44E5711013F}"/>
    <cellStyle name="הערה 2 3 2 2 4" xfId="1539" xr:uid="{1472213F-9EFD-46D5-A05E-1230CD99B549}"/>
    <cellStyle name="הערה 2 3 2 3" xfId="391" xr:uid="{00000000-0005-0000-0000-00008B020000}"/>
    <cellStyle name="הערה 2 3 2 3 2" xfId="526" xr:uid="{00000000-0005-0000-0000-00008C020000}"/>
    <cellStyle name="הערה 2 3 2 3 2 2" xfId="1109" xr:uid="{00000000-0005-0000-0000-00008D020000}"/>
    <cellStyle name="הערה 2 3 2 3 2 2 2" xfId="2259" xr:uid="{C2EF6AC6-491C-4CFC-8474-55BAEAA16324}"/>
    <cellStyle name="הערה 2 3 2 3 2 3" xfId="1790" xr:uid="{60E36348-9810-4A48-A78A-99841B7EFCEC}"/>
    <cellStyle name="הערה 2 3 2 3 3" xfId="982" xr:uid="{00000000-0005-0000-0000-00008E020000}"/>
    <cellStyle name="הערה 2 3 2 3 3 2" xfId="2132" xr:uid="{82C2856B-B377-49E3-937C-3847FD0CB506}"/>
    <cellStyle name="הערה 2 3 2 3 4" xfId="1663" xr:uid="{5D328C31-C906-461E-BD4C-399625CD191E}"/>
    <cellStyle name="הערה 2 3 2 4" xfId="857" xr:uid="{00000000-0005-0000-0000-00008F020000}"/>
    <cellStyle name="הערה 2 3 2 4 2" xfId="2007" xr:uid="{2DCFFCA0-FE7E-4472-A9E6-F33E24670A57}"/>
    <cellStyle name="הערה 2 3 2 5" xfId="1538" xr:uid="{556DC9E3-FB98-44CC-8133-82EB50A36821}"/>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2 2 2" xfId="2262" xr:uid="{B08CC717-3DDB-4EBB-BFE8-E840693DD53A}"/>
    <cellStyle name="הערה 2 3 3 2 2 2 3" xfId="1793" xr:uid="{3CF5809C-486D-469F-9960-BD327523DAF6}"/>
    <cellStyle name="הערה 2 3 3 2 2 3" xfId="985" xr:uid="{00000000-0005-0000-0000-000095020000}"/>
    <cellStyle name="הערה 2 3 3 2 2 3 2" xfId="2135" xr:uid="{ACBE1AFF-1FC0-430F-B1B8-D4D9B2A7742C}"/>
    <cellStyle name="הערה 2 3 3 2 2 4" xfId="1666" xr:uid="{AA9E63A9-B7FF-45B6-94F8-C5AB74D0813B}"/>
    <cellStyle name="הערה 2 3 3 2 3" xfId="860" xr:uid="{00000000-0005-0000-0000-000096020000}"/>
    <cellStyle name="הערה 2 3 3 2 3 2" xfId="2010" xr:uid="{8AC5CB89-0CE5-480F-918F-6A30139EF7FA}"/>
    <cellStyle name="הערה 2 3 3 2 4" xfId="1541" xr:uid="{6FDDFFCC-673F-4BA1-9DCA-1607D1D3FA4B}"/>
    <cellStyle name="הערה 2 3 3 3" xfId="393" xr:uid="{00000000-0005-0000-0000-000097020000}"/>
    <cellStyle name="הערה 2 3 3 3 2" xfId="528" xr:uid="{00000000-0005-0000-0000-000098020000}"/>
    <cellStyle name="הערה 2 3 3 3 2 2" xfId="1111" xr:uid="{00000000-0005-0000-0000-000099020000}"/>
    <cellStyle name="הערה 2 3 3 3 2 2 2" xfId="2261" xr:uid="{82AC415B-7CD9-466A-86EB-57CA18727719}"/>
    <cellStyle name="הערה 2 3 3 3 2 3" xfId="1792" xr:uid="{6E76E7EA-6FC8-4958-A7EC-1A450DB9A621}"/>
    <cellStyle name="הערה 2 3 3 3 3" xfId="984" xr:uid="{00000000-0005-0000-0000-00009A020000}"/>
    <cellStyle name="הערה 2 3 3 3 3 2" xfId="2134" xr:uid="{DF217BCA-80B9-458D-AAA3-F7B62CE45591}"/>
    <cellStyle name="הערה 2 3 3 3 4" xfId="1665" xr:uid="{A36EDD11-4491-4A15-927B-75F36F33FE85}"/>
    <cellStyle name="הערה 2 3 3 4" xfId="859" xr:uid="{00000000-0005-0000-0000-00009B020000}"/>
    <cellStyle name="הערה 2 3 3 4 2" xfId="2009" xr:uid="{F1C11364-2FF6-4DA8-9BFE-93D7E50489DD}"/>
    <cellStyle name="הערה 2 3 3 5" xfId="1540" xr:uid="{6B5849BD-06D7-41A6-86FA-27A51F06CD87}"/>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2 2 2" xfId="2263" xr:uid="{BA0B1E2F-5D51-4EE0-9C8C-FED6A6B8D3BA}"/>
    <cellStyle name="הערה 2 3 4 2 2 3" xfId="1794" xr:uid="{836C1144-A004-4514-AD5B-4BEAC7887AFA}"/>
    <cellStyle name="הערה 2 3 4 2 3" xfId="986" xr:uid="{00000000-0005-0000-0000-0000A0020000}"/>
    <cellStyle name="הערה 2 3 4 2 3 2" xfId="2136" xr:uid="{FB5C8CAB-735A-4BBC-9C9A-37F9B095989C}"/>
    <cellStyle name="הערה 2 3 4 2 4" xfId="1667" xr:uid="{0AEF63B9-8503-480A-8488-C17B0B35A056}"/>
    <cellStyle name="הערה 2 3 4 3" xfId="861" xr:uid="{00000000-0005-0000-0000-0000A1020000}"/>
    <cellStyle name="הערה 2 3 4 3 2" xfId="2011" xr:uid="{3DF76A77-57B8-4DF0-8F33-77828D7CFDBC}"/>
    <cellStyle name="הערה 2 3 4 4" xfId="1542" xr:uid="{53B67891-2CEE-4722-9C2D-4DF284AF928F}"/>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2 2 2" xfId="2264" xr:uid="{33D448A7-FCDF-4646-9A92-CE1BB214B03C}"/>
    <cellStyle name="הערה 2 3 5 2 2 3" xfId="1795" xr:uid="{1E08495C-146C-464E-B1FD-7769D6F52340}"/>
    <cellStyle name="הערה 2 3 5 2 3" xfId="987" xr:uid="{00000000-0005-0000-0000-0000A6020000}"/>
    <cellStyle name="הערה 2 3 5 2 3 2" xfId="2137" xr:uid="{3FE0675A-C8A0-4E57-8A01-79CBDC63361F}"/>
    <cellStyle name="הערה 2 3 5 2 4" xfId="1668" xr:uid="{AC08DF90-B5A8-4ECD-961B-D9A414343057}"/>
    <cellStyle name="הערה 2 3 5 3" xfId="862" xr:uid="{00000000-0005-0000-0000-0000A7020000}"/>
    <cellStyle name="הערה 2 3 5 3 2" xfId="2012" xr:uid="{3F5D39F9-DC31-423A-8A1C-172B7554B5F1}"/>
    <cellStyle name="הערה 2 3 5 4" xfId="1543" xr:uid="{C2124DEB-9887-4B78-BAEB-96AE639FB6DC}"/>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2 2 2" xfId="2265" xr:uid="{5F1025A0-6DD9-4663-9977-4C5CE11E76DB}"/>
    <cellStyle name="הערה 2 3 6 2 2 3" xfId="1796" xr:uid="{CA89E524-6BB5-4192-82EB-EBB046C278E6}"/>
    <cellStyle name="הערה 2 3 6 2 3" xfId="988" xr:uid="{00000000-0005-0000-0000-0000AC020000}"/>
    <cellStyle name="הערה 2 3 6 2 3 2" xfId="2138" xr:uid="{CDE3F449-FF8C-414E-8428-CDFDD4F0D0D0}"/>
    <cellStyle name="הערה 2 3 6 2 4" xfId="1669" xr:uid="{5C2ACD65-4B14-441D-9408-E4C453C7920E}"/>
    <cellStyle name="הערה 2 3 6 3" xfId="863" xr:uid="{00000000-0005-0000-0000-0000AD020000}"/>
    <cellStyle name="הערה 2 3 6 3 2" xfId="2013" xr:uid="{EECF405E-59F8-4A5D-ABFE-CAD80BB769D4}"/>
    <cellStyle name="הערה 2 3 6 4" xfId="1544" xr:uid="{45334202-5656-49CA-9F69-FB703F9B786D}"/>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2 2 2" xfId="2266" xr:uid="{0C7E4716-ACD6-4E6A-AF05-52B56E15285A}"/>
    <cellStyle name="הערה 2 3 7 2 2 3" xfId="1797" xr:uid="{DBFE91E9-792C-4E9E-82C8-118A129DEE0B}"/>
    <cellStyle name="הערה 2 3 7 2 3" xfId="989" xr:uid="{00000000-0005-0000-0000-0000B2020000}"/>
    <cellStyle name="הערה 2 3 7 2 3 2" xfId="2139" xr:uid="{536BEF3D-3517-49FE-A2BF-F226F4E8E656}"/>
    <cellStyle name="הערה 2 3 7 2 4" xfId="1670" xr:uid="{EFD93D94-B774-4E7C-83E8-8211C01E201C}"/>
    <cellStyle name="הערה 2 3 7 3" xfId="864" xr:uid="{00000000-0005-0000-0000-0000B3020000}"/>
    <cellStyle name="הערה 2 3 7 3 2" xfId="2014" xr:uid="{2BFBF762-4119-47D9-97EA-6FA2CEB106DA}"/>
    <cellStyle name="הערה 2 3 7 4" xfId="1545" xr:uid="{909F4DD6-E428-41AE-B7DF-990BC4D2D466}"/>
    <cellStyle name="הערה 2 3 8" xfId="390" xr:uid="{00000000-0005-0000-0000-0000B4020000}"/>
    <cellStyle name="הערה 2 3 8 2" xfId="525" xr:uid="{00000000-0005-0000-0000-0000B5020000}"/>
    <cellStyle name="הערה 2 3 8 2 2" xfId="1108" xr:uid="{00000000-0005-0000-0000-0000B6020000}"/>
    <cellStyle name="הערה 2 3 8 2 2 2" xfId="2258" xr:uid="{B895CA08-F8AB-41E6-B77D-E0FCFF21503E}"/>
    <cellStyle name="הערה 2 3 8 2 3" xfId="1789" xr:uid="{768AEAD3-739F-438C-A49E-F89DA875C675}"/>
    <cellStyle name="הערה 2 3 8 3" xfId="981" xr:uid="{00000000-0005-0000-0000-0000B7020000}"/>
    <cellStyle name="הערה 2 3 8 3 2" xfId="2131" xr:uid="{A90EF7BC-4028-4DCA-86F9-1E3CC2AC36EF}"/>
    <cellStyle name="הערה 2 3 8 4" xfId="1662" xr:uid="{815499FB-CF9F-4018-AE87-41300C7A096B}"/>
    <cellStyle name="הערה 2 3 9" xfId="856" xr:uid="{00000000-0005-0000-0000-0000B8020000}"/>
    <cellStyle name="הערה 2 3 9 2" xfId="2006" xr:uid="{BE11A4A4-7A0D-4E53-974F-8EA8689966E2}"/>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2 2 2" xfId="2267" xr:uid="{8E28E78A-7C72-4F80-9D0A-5802E8A5F882}"/>
    <cellStyle name="הערה 2 4 2 2 3" xfId="1798" xr:uid="{FEDFC4FA-02F7-4666-8194-246319C86257}"/>
    <cellStyle name="הערה 2 4 2 3" xfId="990" xr:uid="{00000000-0005-0000-0000-0000BD020000}"/>
    <cellStyle name="הערה 2 4 2 3 2" xfId="2140" xr:uid="{F400DDF2-2CCA-4130-AF4F-07FE926C5DDC}"/>
    <cellStyle name="הערה 2 4 2 4" xfId="1671" xr:uid="{09AC7651-246D-417B-B7C2-B49866133A25}"/>
    <cellStyle name="הערה 2 4 3" xfId="865" xr:uid="{00000000-0005-0000-0000-0000BE020000}"/>
    <cellStyle name="הערה 2 4 3 2" xfId="2015" xr:uid="{BF104713-9B4A-41EB-A256-6320DB0CB9DA}"/>
    <cellStyle name="הערה 2 4 4" xfId="1546" xr:uid="{ABE68809-3480-4CD1-95B4-58114988CA1D}"/>
    <cellStyle name="הערה 2 5" xfId="379" xr:uid="{00000000-0005-0000-0000-0000BF020000}"/>
    <cellStyle name="הערה 2 5 2" xfId="514" xr:uid="{00000000-0005-0000-0000-0000C0020000}"/>
    <cellStyle name="הערה 2 5 2 2" xfId="1097" xr:uid="{00000000-0005-0000-0000-0000C1020000}"/>
    <cellStyle name="הערה 2 5 2 2 2" xfId="2247" xr:uid="{BDC78F58-7235-4EBB-83E9-424281F97FF5}"/>
    <cellStyle name="הערה 2 5 2 3" xfId="1778" xr:uid="{0CDE0DAD-4B38-43C1-B82E-8CAD58AE1F42}"/>
    <cellStyle name="הערה 2 5 3" xfId="970" xr:uid="{00000000-0005-0000-0000-0000C2020000}"/>
    <cellStyle name="הערה 2 5 3 2" xfId="2120" xr:uid="{C38C5144-61CC-4FE2-B340-F8D20BC8F22C}"/>
    <cellStyle name="הערה 2 5 4" xfId="1651" xr:uid="{8A111D31-0C30-470A-AAC4-0A0939F86475}"/>
    <cellStyle name="הערה 2 6" xfId="220" xr:uid="{00000000-0005-0000-0000-0000C3020000}"/>
    <cellStyle name="הערה 2 6 2" xfId="845" xr:uid="{00000000-0005-0000-0000-0000C4020000}"/>
    <cellStyle name="הערה 2 6 2 2" xfId="1995" xr:uid="{DB0F08A0-967C-4AD7-B587-2713871FFD20}"/>
    <cellStyle name="הערה 2 6 3" xfId="1526" xr:uid="{72F0A60B-C4FD-4AE6-A6EC-3311DD3BC4F8}"/>
    <cellStyle name="הערה 2 7" xfId="830" xr:uid="{00000000-0005-0000-0000-0000C5020000}"/>
    <cellStyle name="הערה 2 7 2" xfId="1980" xr:uid="{798985E7-5E4B-4C5B-AF43-92EF02166808}"/>
    <cellStyle name="הערה 2 8" xfId="1281" xr:uid="{00000000-0005-0000-0000-0000C6020000}"/>
    <cellStyle name="הערה 2 8 2" xfId="2390" xr:uid="{258606C9-9FFF-4091-B155-563108C4ECDC}"/>
    <cellStyle name="הערה 2 9" xfId="1382" xr:uid="{14D73C67-CDB1-4A02-B7EF-B29DFA1F0089}"/>
    <cellStyle name="הערה 2 9 2" xfId="2406" xr:uid="{5A1B7F03-8EE9-4800-B204-6867C031023D}"/>
    <cellStyle name="הערה 3" xfId="136" xr:uid="{00000000-0005-0000-0000-0000C7020000}"/>
    <cellStyle name="הערה 3 2" xfId="137" xr:uid="{00000000-0005-0000-0000-0000C8020000}"/>
    <cellStyle name="הערה 3 2 2" xfId="833" xr:uid="{00000000-0005-0000-0000-0000C9020000}"/>
    <cellStyle name="הערה 3 2 2 2" xfId="1983" xr:uid="{205D9DDA-FC38-4D4F-BE26-3FFEA0B9C0BF}"/>
    <cellStyle name="הערה 3 2 3" xfId="1500" xr:uid="{5DCC7A76-419F-4B0C-B540-A9C2DF211680}"/>
    <cellStyle name="הערה 3 3" xfId="766" xr:uid="{00000000-0005-0000-0000-0000CA020000}"/>
    <cellStyle name="הערה 3 4" xfId="832" xr:uid="{00000000-0005-0000-0000-0000CB020000}"/>
    <cellStyle name="הערה 3 4 2" xfId="1982" xr:uid="{5F484EFF-958B-422C-A15F-CDE5F5025D2D}"/>
    <cellStyle name="הערה 3 5" xfId="1499" xr:uid="{E95129C1-A622-41F6-85F6-54C721EE2745}"/>
    <cellStyle name="הערה 4" xfId="2398" xr:uid="{467C20E5-430C-453E-9F91-05E57289EF9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2 2 2" xfId="2272" xr:uid="{E132BCE3-D06F-424A-AF6D-06817685F68C}"/>
    <cellStyle name="חישוב 2 2 2 2 2 2 2 3" xfId="1803" xr:uid="{6A4E2BC4-06FF-49E4-BC40-27FF9518B69C}"/>
    <cellStyle name="חישוב 2 2 2 2 2 2 3" xfId="995" xr:uid="{00000000-0005-0000-0000-0000D4020000}"/>
    <cellStyle name="חישוב 2 2 2 2 2 2 3 2" xfId="2145" xr:uid="{5B324A1A-658F-4FFC-A057-54C74C0C9519}"/>
    <cellStyle name="חישוב 2 2 2 2 2 2 4" xfId="1676" xr:uid="{8C1A0855-CC0C-4B92-AD4C-ACA9F839C0FC}"/>
    <cellStyle name="חישוב 2 2 2 2 2 3" xfId="870" xr:uid="{00000000-0005-0000-0000-0000D5020000}"/>
    <cellStyle name="חישוב 2 2 2 2 2 3 2" xfId="2020" xr:uid="{276EA835-63BF-4C82-8030-C3E268004F4C}"/>
    <cellStyle name="חישוב 2 2 2 2 2 4" xfId="1551" xr:uid="{1DD81F8B-0BD1-4BC0-A495-39054B0D482A}"/>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2 2 2" xfId="2271" xr:uid="{3D5582C8-98C3-4367-9A90-1FB0E60492A6}"/>
    <cellStyle name="חישוב 2 2 2 2 3 2 3" xfId="1802" xr:uid="{8C918055-283A-4C55-AEFC-AF8C8B18A7EC}"/>
    <cellStyle name="חישוב 2 2 2 2 3 3" xfId="994" xr:uid="{00000000-0005-0000-0000-0000D9020000}"/>
    <cellStyle name="חישוב 2 2 2 2 3 3 2" xfId="2144" xr:uid="{5894B26A-D16A-4CB5-A38D-639E418C4E4C}"/>
    <cellStyle name="חישוב 2 2 2 2 3 4" xfId="1675" xr:uid="{77FC3D87-6019-4017-897C-73761F9D2FB0}"/>
    <cellStyle name="חישוב 2 2 2 2 4" xfId="869" xr:uid="{00000000-0005-0000-0000-0000DA020000}"/>
    <cellStyle name="חישוב 2 2 2 2 4 2" xfId="2019" xr:uid="{A79F629B-98CE-4DA0-8FFD-F4F48D6284EC}"/>
    <cellStyle name="חישוב 2 2 2 2 5" xfId="1550" xr:uid="{41DE40B8-C297-40EF-AADD-ABF9BED61888}"/>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2 2 2" xfId="2274" xr:uid="{AA1A2413-95E6-4F75-B26B-84E668CD1570}"/>
    <cellStyle name="חישוב 2 2 2 3 2 2 2 3" xfId="1805" xr:uid="{878D5023-EFBC-4492-A14A-510C23891D1E}"/>
    <cellStyle name="חישוב 2 2 2 3 2 2 3" xfId="997" xr:uid="{00000000-0005-0000-0000-0000E0020000}"/>
    <cellStyle name="חישוב 2 2 2 3 2 2 3 2" xfId="2147" xr:uid="{9C4F25EA-1A3A-4E84-8892-FB07941863B4}"/>
    <cellStyle name="חישוב 2 2 2 3 2 2 4" xfId="1678" xr:uid="{2338E328-2CCD-46B4-9764-A72B5216C28B}"/>
    <cellStyle name="חישוב 2 2 2 3 2 3" xfId="872" xr:uid="{00000000-0005-0000-0000-0000E1020000}"/>
    <cellStyle name="חישוב 2 2 2 3 2 3 2" xfId="2022" xr:uid="{8D99CF3D-4DEE-45E4-ACDE-0CAA32D5770E}"/>
    <cellStyle name="חישוב 2 2 2 3 2 4" xfId="1553" xr:uid="{CCFE0CFE-9245-4BBB-93B9-F066A763D30F}"/>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2 2 2" xfId="2273" xr:uid="{1C8562F0-C0B1-4F28-B473-BD1908F46FA1}"/>
    <cellStyle name="חישוב 2 2 2 3 3 2 3" xfId="1804" xr:uid="{8434313B-7EE0-43FD-AF09-F7685199EDE9}"/>
    <cellStyle name="חישוב 2 2 2 3 3 3" xfId="996" xr:uid="{00000000-0005-0000-0000-0000E5020000}"/>
    <cellStyle name="חישוב 2 2 2 3 3 3 2" xfId="2146" xr:uid="{0D73E735-1CCB-4B06-AD7E-48E5EC940883}"/>
    <cellStyle name="חישוב 2 2 2 3 3 4" xfId="1677" xr:uid="{4304ACFC-E7D1-4D72-833D-8FF20DB925BE}"/>
    <cellStyle name="חישוב 2 2 2 3 4" xfId="871" xr:uid="{00000000-0005-0000-0000-0000E6020000}"/>
    <cellStyle name="חישוב 2 2 2 3 4 2" xfId="2021" xr:uid="{719F8960-0079-4C5E-8A7D-03BBCEF13DAD}"/>
    <cellStyle name="חישוב 2 2 2 3 5" xfId="1552" xr:uid="{5672EF00-845D-4F4B-A187-5581A22DB5F4}"/>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2 2 2" xfId="2275" xr:uid="{83168419-3FDC-4BC8-AF06-151E5012F725}"/>
    <cellStyle name="חישוב 2 2 2 4 2 2 3" xfId="1806" xr:uid="{F1B25869-A203-41EA-B1F2-DF426BC2639A}"/>
    <cellStyle name="חישוב 2 2 2 4 2 3" xfId="998" xr:uid="{00000000-0005-0000-0000-0000EB020000}"/>
    <cellStyle name="חישוב 2 2 2 4 2 3 2" xfId="2148" xr:uid="{6AB052F4-BC0C-467E-B479-A408EACDDB07}"/>
    <cellStyle name="חישוב 2 2 2 4 2 4" xfId="1679" xr:uid="{F929B57B-39EB-4010-9A4B-8F722019BDE7}"/>
    <cellStyle name="חישוב 2 2 2 4 3" xfId="873" xr:uid="{00000000-0005-0000-0000-0000EC020000}"/>
    <cellStyle name="חישוב 2 2 2 4 3 2" xfId="2023" xr:uid="{A3AF520E-73DA-4FFD-A567-1FFC2E5E1FEE}"/>
    <cellStyle name="חישוב 2 2 2 4 4" xfId="1554" xr:uid="{32FBD877-8BA4-4BC8-832F-FDD593AE8A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2 2 2" xfId="2276" xr:uid="{CE02590D-31CD-45DC-BB78-2050670F468F}"/>
    <cellStyle name="חישוב 2 2 2 5 2 2 3" xfId="1807" xr:uid="{15E0069A-B9F8-4257-A680-C0F4F0D59D1F}"/>
    <cellStyle name="חישוב 2 2 2 5 2 3" xfId="999" xr:uid="{00000000-0005-0000-0000-0000F1020000}"/>
    <cellStyle name="חישוב 2 2 2 5 2 3 2" xfId="2149" xr:uid="{EABD4DD3-996E-4696-B389-3C54F4E2681C}"/>
    <cellStyle name="חישוב 2 2 2 5 2 4" xfId="1680" xr:uid="{6EF4224A-94F2-4107-94AD-84F7AA79E2FB}"/>
    <cellStyle name="חישוב 2 2 2 5 3" xfId="874" xr:uid="{00000000-0005-0000-0000-0000F2020000}"/>
    <cellStyle name="חישוב 2 2 2 5 3 2" xfId="2024" xr:uid="{B90FC772-1B4E-44C4-8ACE-834829663DBF}"/>
    <cellStyle name="חישוב 2 2 2 5 4" xfId="1555" xr:uid="{9D6A2F35-5B3B-461D-B8C7-EE1B4160C919}"/>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2 2 2" xfId="2277" xr:uid="{BE09AE77-1C0C-4F35-8944-166AF4ECD43B}"/>
    <cellStyle name="חישוב 2 2 2 6 2 2 3" xfId="1808" xr:uid="{0FBEA643-5342-41BF-BF44-E3675E8DC26D}"/>
    <cellStyle name="חישוב 2 2 2 6 2 3" xfId="1000" xr:uid="{00000000-0005-0000-0000-0000F7020000}"/>
    <cellStyle name="חישוב 2 2 2 6 2 3 2" xfId="2150" xr:uid="{4725D6CA-7EE1-4D97-880F-868835BA9F32}"/>
    <cellStyle name="חישוב 2 2 2 6 2 4" xfId="1681" xr:uid="{0A723C90-3037-4C8F-9B57-D4E33DBE8D84}"/>
    <cellStyle name="חישוב 2 2 2 6 3" xfId="875" xr:uid="{00000000-0005-0000-0000-0000F8020000}"/>
    <cellStyle name="חישוב 2 2 2 6 3 2" xfId="2025" xr:uid="{8A089BDC-D475-4AC3-A656-993278FD9F35}"/>
    <cellStyle name="חישוב 2 2 2 6 4" xfId="1556" xr:uid="{C7A3D00A-AD02-48CA-94E5-53D3604178F8}"/>
    <cellStyle name="חישוב 2 2 2 7" xfId="402" xr:uid="{00000000-0005-0000-0000-0000F9020000}"/>
    <cellStyle name="חישוב 2 2 2 7 2" xfId="537" xr:uid="{00000000-0005-0000-0000-0000FA020000}"/>
    <cellStyle name="חישוב 2 2 2 7 2 2" xfId="1120" xr:uid="{00000000-0005-0000-0000-0000FB020000}"/>
    <cellStyle name="חישוב 2 2 2 7 2 2 2" xfId="2270" xr:uid="{EE6831F4-EE2F-4876-B7BC-9FDCCE01F0F9}"/>
    <cellStyle name="חישוב 2 2 2 7 2 3" xfId="1801" xr:uid="{C839D8B2-3802-4200-B38B-D6146FB3E286}"/>
    <cellStyle name="חישוב 2 2 2 7 3" xfId="993" xr:uid="{00000000-0005-0000-0000-0000FC020000}"/>
    <cellStyle name="חישוב 2 2 2 7 3 2" xfId="2143" xr:uid="{2AC44117-2EA4-45B9-B88C-EE8BDF5A1494}"/>
    <cellStyle name="חישוב 2 2 2 7 4" xfId="1674" xr:uid="{39795AC1-2F95-4CBE-8360-5BB1F456CB7C}"/>
    <cellStyle name="חישוב 2 2 2 8" xfId="868" xr:uid="{00000000-0005-0000-0000-0000FD020000}"/>
    <cellStyle name="חישוב 2 2 2 8 2" xfId="2018" xr:uid="{E6CCBDBD-3734-476E-AC75-53DCECE56964}"/>
    <cellStyle name="חישוב 2 2 2 9" xfId="1549" xr:uid="{EFA73424-0D3A-4ED1-B2A4-90EA31240588}"/>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2 2 2" xfId="2278" xr:uid="{6B80CDC2-B1D9-4DF3-87AB-989767FABF99}"/>
    <cellStyle name="חישוב 2 2 3 2 2 3" xfId="1809" xr:uid="{EB5AB7F0-419F-4EED-A968-6073B05C6071}"/>
    <cellStyle name="חישוב 2 2 3 2 3" xfId="1001" xr:uid="{00000000-0005-0000-0000-000002030000}"/>
    <cellStyle name="חישוב 2 2 3 2 3 2" xfId="2151" xr:uid="{1E758B8C-D577-46E4-9C54-D97C19EE2E64}"/>
    <cellStyle name="חישוב 2 2 3 2 4" xfId="1682" xr:uid="{818FD0E4-270E-419E-A5FE-C64D36F9E5B8}"/>
    <cellStyle name="חישוב 2 2 3 3" xfId="876" xr:uid="{00000000-0005-0000-0000-000003030000}"/>
    <cellStyle name="חישוב 2 2 3 3 2" xfId="2026" xr:uid="{61DC291C-18A3-48EB-9ED4-989152CB54C2}"/>
    <cellStyle name="חישוב 2 2 3 4" xfId="1557" xr:uid="{87CE0B7F-E059-4D41-AB76-AAE8CA65B47E}"/>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2 2 2" xfId="2279" xr:uid="{3147CAE7-D0EE-4D94-8394-A821BDBAE0F7}"/>
    <cellStyle name="חישוב 2 2 4 2 2 3" xfId="1810" xr:uid="{F51C3745-D7DA-44E0-8F5E-2CAF851CCB43}"/>
    <cellStyle name="חישוב 2 2 4 2 3" xfId="1002" xr:uid="{00000000-0005-0000-0000-000008030000}"/>
    <cellStyle name="חישוב 2 2 4 2 3 2" xfId="2152" xr:uid="{D882EE08-0551-4112-A7B9-4793A02A09F1}"/>
    <cellStyle name="חישוב 2 2 4 2 4" xfId="1683" xr:uid="{8F4482AF-638F-414A-9ED6-3C16C3A7EDFC}"/>
    <cellStyle name="חישוב 2 2 4 3" xfId="877" xr:uid="{00000000-0005-0000-0000-000009030000}"/>
    <cellStyle name="חישוב 2 2 4 3 2" xfId="2027" xr:uid="{497001C8-912E-406F-AD3C-4B8DC503BFD1}"/>
    <cellStyle name="חישוב 2 2 4 4" xfId="1558" xr:uid="{3DCCDBEF-C51D-4895-8D7C-30AF732C6234}"/>
    <cellStyle name="חישוב 2 2 5" xfId="401" xr:uid="{00000000-0005-0000-0000-00000A030000}"/>
    <cellStyle name="חישוב 2 2 5 2" xfId="536" xr:uid="{00000000-0005-0000-0000-00000B030000}"/>
    <cellStyle name="חישוב 2 2 5 2 2" xfId="1119" xr:uid="{00000000-0005-0000-0000-00000C030000}"/>
    <cellStyle name="חישוב 2 2 5 2 2 2" xfId="2269" xr:uid="{A476D1EE-ADAB-4B43-810B-3307565A2524}"/>
    <cellStyle name="חישוב 2 2 5 2 3" xfId="1800" xr:uid="{2101ACA3-5DBE-415B-B1A6-36A5ACA7C0D0}"/>
    <cellStyle name="חישוב 2 2 5 3" xfId="992" xr:uid="{00000000-0005-0000-0000-00000D030000}"/>
    <cellStyle name="חישוב 2 2 5 3 2" xfId="2142" xr:uid="{2BAC9FF0-4745-46B9-8CB7-F443EB70C947}"/>
    <cellStyle name="חישוב 2 2 5 4" xfId="1673" xr:uid="{431B34D3-8744-479E-A87B-B45612A23863}"/>
    <cellStyle name="חישוב 2 2 6" xfId="867" xr:uid="{00000000-0005-0000-0000-00000E030000}"/>
    <cellStyle name="חישוב 2 2 6 2" xfId="2017" xr:uid="{DFC98389-D328-49D5-971C-5A42AA4A5D6B}"/>
    <cellStyle name="חישוב 2 2 7" xfId="1548" xr:uid="{4E49EEAB-7894-41C4-BD7E-EC6C64E988CB}"/>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2 2 2" xfId="2282" xr:uid="{9F5374F9-19AE-414A-875C-4D09E591F19F}"/>
    <cellStyle name="חישוב 2 3 2 2 2 2 3" xfId="1813" xr:uid="{43386DAF-86F1-4A81-84DD-D67821ADDF54}"/>
    <cellStyle name="חישוב 2 3 2 2 2 3" xfId="1005" xr:uid="{00000000-0005-0000-0000-000015030000}"/>
    <cellStyle name="חישוב 2 3 2 2 2 3 2" xfId="2155" xr:uid="{541DDF3E-038C-413D-9FF8-34171C536ACC}"/>
    <cellStyle name="חישוב 2 3 2 2 2 4" xfId="1686" xr:uid="{224617D5-695F-4314-AE17-3F982418020D}"/>
    <cellStyle name="חישוב 2 3 2 2 3" xfId="880" xr:uid="{00000000-0005-0000-0000-000016030000}"/>
    <cellStyle name="חישוב 2 3 2 2 3 2" xfId="2030" xr:uid="{05C59484-D318-4E69-8762-0305324950CD}"/>
    <cellStyle name="חישוב 2 3 2 2 4" xfId="1561" xr:uid="{9530D070-E37E-4ABF-A68C-FEC96800A97D}"/>
    <cellStyle name="חישוב 2 3 2 3" xfId="413" xr:uid="{00000000-0005-0000-0000-000017030000}"/>
    <cellStyle name="חישוב 2 3 2 3 2" xfId="548" xr:uid="{00000000-0005-0000-0000-000018030000}"/>
    <cellStyle name="חישוב 2 3 2 3 2 2" xfId="1131" xr:uid="{00000000-0005-0000-0000-000019030000}"/>
    <cellStyle name="חישוב 2 3 2 3 2 2 2" xfId="2281" xr:uid="{BA6AAFD3-0E0D-4BC6-B1E4-EF554CFA54E9}"/>
    <cellStyle name="חישוב 2 3 2 3 2 3" xfId="1812" xr:uid="{334358C8-75F9-4F84-813A-0EC7D6243303}"/>
    <cellStyle name="חישוב 2 3 2 3 3" xfId="1004" xr:uid="{00000000-0005-0000-0000-00001A030000}"/>
    <cellStyle name="חישוב 2 3 2 3 3 2" xfId="2154" xr:uid="{83129EB0-94A7-4A39-A3BB-3D51657B0449}"/>
    <cellStyle name="חישוב 2 3 2 3 4" xfId="1685" xr:uid="{5ACA1305-41D4-4CF1-BBF5-0866F6378F26}"/>
    <cellStyle name="חישוב 2 3 2 4" xfId="879" xr:uid="{00000000-0005-0000-0000-00001B030000}"/>
    <cellStyle name="חישוב 2 3 2 4 2" xfId="2029" xr:uid="{DDA0FEA6-20E3-447F-8F25-CCAE885D9B5E}"/>
    <cellStyle name="חישוב 2 3 2 5" xfId="1560" xr:uid="{388E9421-AC08-4B10-AF30-1B085AE0C9D3}"/>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2 2 2" xfId="2284" xr:uid="{B33BE143-B67C-4F57-B452-54EC1578DD01}"/>
    <cellStyle name="חישוב 2 3 3 2 2 2 3" xfId="1815" xr:uid="{DFE4100A-66E1-4105-9D33-06A9838425EF}"/>
    <cellStyle name="חישוב 2 3 3 2 2 3" xfId="1007" xr:uid="{00000000-0005-0000-0000-000021030000}"/>
    <cellStyle name="חישוב 2 3 3 2 2 3 2" xfId="2157" xr:uid="{400640AF-3DA3-447B-B8F2-C98E4B13C5EB}"/>
    <cellStyle name="חישוב 2 3 3 2 2 4" xfId="1688" xr:uid="{FB5F598F-3CC4-457D-9E51-0F4BC4D2E967}"/>
    <cellStyle name="חישוב 2 3 3 2 3" xfId="882" xr:uid="{00000000-0005-0000-0000-000022030000}"/>
    <cellStyle name="חישוב 2 3 3 2 3 2" xfId="2032" xr:uid="{90614125-B599-4752-9F37-DA6244986258}"/>
    <cellStyle name="חישוב 2 3 3 2 4" xfId="1563" xr:uid="{5C53AD44-7941-4D67-A347-2800309A9595}"/>
    <cellStyle name="חישוב 2 3 3 3" xfId="415" xr:uid="{00000000-0005-0000-0000-000023030000}"/>
    <cellStyle name="חישוב 2 3 3 3 2" xfId="550" xr:uid="{00000000-0005-0000-0000-000024030000}"/>
    <cellStyle name="חישוב 2 3 3 3 2 2" xfId="1133" xr:uid="{00000000-0005-0000-0000-000025030000}"/>
    <cellStyle name="חישוב 2 3 3 3 2 2 2" xfId="2283" xr:uid="{0909E437-06DC-4ADF-8BA1-6E5FB1329A55}"/>
    <cellStyle name="חישוב 2 3 3 3 2 3" xfId="1814" xr:uid="{8039C48F-A760-4AF0-BDFA-FEA993F1042D}"/>
    <cellStyle name="חישוב 2 3 3 3 3" xfId="1006" xr:uid="{00000000-0005-0000-0000-000026030000}"/>
    <cellStyle name="חישוב 2 3 3 3 3 2" xfId="2156" xr:uid="{0A2CACD1-E7DC-4921-A638-3EDE874D62F3}"/>
    <cellStyle name="חישוב 2 3 3 3 4" xfId="1687" xr:uid="{E62D3483-7ACC-4956-AA36-E98FA154F57A}"/>
    <cellStyle name="חישוב 2 3 3 4" xfId="881" xr:uid="{00000000-0005-0000-0000-000027030000}"/>
    <cellStyle name="חישוב 2 3 3 4 2" xfId="2031" xr:uid="{EA3A3A84-6825-4706-8D66-B64F0C5811D2}"/>
    <cellStyle name="חישוב 2 3 3 5" xfId="1562" xr:uid="{33CD858A-1B8E-4C8E-89E4-8FD032A02D7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2 2 2" xfId="2285" xr:uid="{0FFE25B2-D614-4A79-B5C2-9D152BF9E546}"/>
    <cellStyle name="חישוב 2 3 4 2 2 3" xfId="1816" xr:uid="{24D291F3-AB09-487C-94D6-7509E255D650}"/>
    <cellStyle name="חישוב 2 3 4 2 3" xfId="1008" xr:uid="{00000000-0005-0000-0000-00002C030000}"/>
    <cellStyle name="חישוב 2 3 4 2 3 2" xfId="2158" xr:uid="{B06C1523-212E-4FC7-BE16-9D76B5E0D08B}"/>
    <cellStyle name="חישוב 2 3 4 2 4" xfId="1689" xr:uid="{A50F2A91-F9E0-4DD8-8B76-6DE735C0DA51}"/>
    <cellStyle name="חישוב 2 3 4 3" xfId="883" xr:uid="{00000000-0005-0000-0000-00002D030000}"/>
    <cellStyle name="חישוב 2 3 4 3 2" xfId="2033" xr:uid="{89261673-A8DD-4924-BEAE-13EDA589C958}"/>
    <cellStyle name="חישוב 2 3 4 4" xfId="1564" xr:uid="{FEDADCA4-B451-41EC-AF41-2D0C41AE99F8}"/>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2 2 2" xfId="2286" xr:uid="{9967D95A-36B3-4FA5-A567-551B6FF4E871}"/>
    <cellStyle name="חישוב 2 3 5 2 2 3" xfId="1817" xr:uid="{2491F65C-91E7-4424-A39D-98F8FE813429}"/>
    <cellStyle name="חישוב 2 3 5 2 3" xfId="1009" xr:uid="{00000000-0005-0000-0000-000032030000}"/>
    <cellStyle name="חישוב 2 3 5 2 3 2" xfId="2159" xr:uid="{D620E482-F801-4B04-A31D-504564D71AB6}"/>
    <cellStyle name="חישוב 2 3 5 2 4" xfId="1690" xr:uid="{DF7588C8-0807-478F-A237-F937AFFDF330}"/>
    <cellStyle name="חישוב 2 3 5 3" xfId="884" xr:uid="{00000000-0005-0000-0000-000033030000}"/>
    <cellStyle name="חישוב 2 3 5 3 2" xfId="2034" xr:uid="{A231A467-AD3B-4B82-AF54-98E243DA831E}"/>
    <cellStyle name="חישוב 2 3 5 4" xfId="1565" xr:uid="{9565305A-2C13-44CB-A318-26C5A0738AB2}"/>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2 2 2" xfId="2287" xr:uid="{4A7CB80B-3854-4927-9AB0-D22251B35ADD}"/>
    <cellStyle name="חישוב 2 3 6 2 2 3" xfId="1818" xr:uid="{D7121852-66AD-4708-A360-F92219396B56}"/>
    <cellStyle name="חישוב 2 3 6 2 3" xfId="1010" xr:uid="{00000000-0005-0000-0000-000038030000}"/>
    <cellStyle name="חישוב 2 3 6 2 3 2" xfId="2160" xr:uid="{039BC86E-6806-4913-A626-BBC38BECAE5E}"/>
    <cellStyle name="חישוב 2 3 6 2 4" xfId="1691" xr:uid="{5B2A9465-80AC-4465-AFED-594C1D725518}"/>
    <cellStyle name="חישוב 2 3 6 3" xfId="885" xr:uid="{00000000-0005-0000-0000-000039030000}"/>
    <cellStyle name="חישוב 2 3 6 3 2" xfId="2035" xr:uid="{DE99B6F9-760A-45D6-B14A-CEE7D78E2A48}"/>
    <cellStyle name="חישוב 2 3 6 4" xfId="1566" xr:uid="{2CF80A34-45A4-40C7-8795-F5A741FA7850}"/>
    <cellStyle name="חישוב 2 3 7" xfId="412" xr:uid="{00000000-0005-0000-0000-00003A030000}"/>
    <cellStyle name="חישוב 2 3 7 2" xfId="547" xr:uid="{00000000-0005-0000-0000-00003B030000}"/>
    <cellStyle name="חישוב 2 3 7 2 2" xfId="1130" xr:uid="{00000000-0005-0000-0000-00003C030000}"/>
    <cellStyle name="חישוב 2 3 7 2 2 2" xfId="2280" xr:uid="{762CB7F3-61CB-4B46-B6DF-C5DA6DB5D91D}"/>
    <cellStyle name="חישוב 2 3 7 2 3" xfId="1811" xr:uid="{BC7A4E41-C40E-48EB-BE32-6A6AEBD5A104}"/>
    <cellStyle name="חישוב 2 3 7 3" xfId="1003" xr:uid="{00000000-0005-0000-0000-00003D030000}"/>
    <cellStyle name="חישוב 2 3 7 3 2" xfId="2153" xr:uid="{8AB16069-83E5-44D7-935A-28B5CE8FD9C9}"/>
    <cellStyle name="חישוב 2 3 7 4" xfId="1684" xr:uid="{E1AAB11C-5923-444D-975C-48BB40993BA4}"/>
    <cellStyle name="חישוב 2 3 8" xfId="878" xr:uid="{00000000-0005-0000-0000-00003E030000}"/>
    <cellStyle name="חישוב 2 3 8 2" xfId="2028" xr:uid="{9FC27730-8CC7-4499-83ED-8B65AC0CB39E}"/>
    <cellStyle name="חישוב 2 3 9" xfId="1559" xr:uid="{311C0B24-7658-4733-8380-560F455C4B3F}"/>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2 2 2" xfId="2288" xr:uid="{AD9D6E13-7932-4CDA-8E69-10B5D873F88C}"/>
    <cellStyle name="חישוב 2 4 2 2 3" xfId="1819" xr:uid="{037986FF-891A-4028-B587-B10DE0704C15}"/>
    <cellStyle name="חישוב 2 4 2 3" xfId="1011" xr:uid="{00000000-0005-0000-0000-000043030000}"/>
    <cellStyle name="חישוב 2 4 2 3 2" xfId="2161" xr:uid="{6E0CACDD-2970-406A-8872-5C514C02C0FB}"/>
    <cellStyle name="חישוב 2 4 2 4" xfId="1692" xr:uid="{0CD1086A-F188-4B86-AF42-84EAD7D8C873}"/>
    <cellStyle name="חישוב 2 4 3" xfId="886" xr:uid="{00000000-0005-0000-0000-000044030000}"/>
    <cellStyle name="חישוב 2 4 3 2" xfId="2036" xr:uid="{6B1038FB-F9C2-4CF0-96DB-145D90A6CF74}"/>
    <cellStyle name="חישוב 2 4 4" xfId="1567" xr:uid="{A263B4F1-05D6-4842-B502-8531F184FBBB}"/>
    <cellStyle name="חישוב 2 5" xfId="400" xr:uid="{00000000-0005-0000-0000-000045030000}"/>
    <cellStyle name="חישוב 2 5 2" xfId="535" xr:uid="{00000000-0005-0000-0000-000046030000}"/>
    <cellStyle name="חישוב 2 5 2 2" xfId="1118" xr:uid="{00000000-0005-0000-0000-000047030000}"/>
    <cellStyle name="חישוב 2 5 2 2 2" xfId="2268" xr:uid="{E2D804F9-9E7D-4124-A224-90763F2FDA79}"/>
    <cellStyle name="חישוב 2 5 2 3" xfId="1799" xr:uid="{18B3EE89-4396-4D98-AA3D-7E6BF148540B}"/>
    <cellStyle name="חישוב 2 5 3" xfId="991" xr:uid="{00000000-0005-0000-0000-000048030000}"/>
    <cellStyle name="חישוב 2 5 3 2" xfId="2141" xr:uid="{E8BFE331-C68C-4051-85F8-3A3F1E0D757D}"/>
    <cellStyle name="חישוב 2 5 4" xfId="1672" xr:uid="{1ED44421-02FC-4E27-B33E-04A7179E622C}"/>
    <cellStyle name="חישוב 2 6" xfId="241" xr:uid="{00000000-0005-0000-0000-000049030000}"/>
    <cellStyle name="חישוב 2 6 2" xfId="866" xr:uid="{00000000-0005-0000-0000-00004A030000}"/>
    <cellStyle name="חישוב 2 6 2 2" xfId="2016" xr:uid="{B857552E-5CCC-4DA8-A62D-80EB04B4845C}"/>
    <cellStyle name="חישוב 2 6 3" xfId="1547" xr:uid="{1624A725-421A-44FC-AB84-ECB5EEB73244}"/>
    <cellStyle name="חישוב 2 7" xfId="1282" xr:uid="{00000000-0005-0000-0000-00004B030000}"/>
    <cellStyle name="חישוב 2 7 2" xfId="2391" xr:uid="{A830A4B0-0324-43F9-A68C-D790C79309AE}"/>
    <cellStyle name="חישוב 2 8" xfId="1383" xr:uid="{8E03379F-6FD8-4408-ACC1-3A84386C4ECA}"/>
    <cellStyle name="חישוב 2 8 2" xfId="2407" xr:uid="{1EF3D3EF-FAA9-4AB8-8F28-1CFA9266BE28}"/>
    <cellStyle name="חישוב 3" xfId="139" xr:uid="{00000000-0005-0000-0000-00004C030000}"/>
    <cellStyle name="חישוב 4" xfId="2399" xr:uid="{469DAD7F-83FF-42A4-AC3A-91E8F47E9F9C}"/>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2 2 2" xfId="2293" xr:uid="{DDE3B879-D470-4687-B660-FC7544AA6F84}"/>
    <cellStyle name="סה&quot;כ 2 2 2 2 2 2 2 3" xfId="1824" xr:uid="{2FEE2299-B248-4086-893D-75965ED1F848}"/>
    <cellStyle name="סה&quot;כ 2 2 2 2 2 2 3" xfId="1016" xr:uid="{00000000-0005-0000-0000-00007D030000}"/>
    <cellStyle name="סה&quot;כ 2 2 2 2 2 2 3 2" xfId="2166" xr:uid="{A80FD7BD-8826-4D40-A33D-77921226D21B}"/>
    <cellStyle name="סה&quot;כ 2 2 2 2 2 2 4" xfId="1697" xr:uid="{3EC84E3B-C04D-4CAF-8A58-B360F8E0986D}"/>
    <cellStyle name="סה&quot;כ 2 2 2 2 2 3" xfId="891" xr:uid="{00000000-0005-0000-0000-00007E030000}"/>
    <cellStyle name="סה&quot;כ 2 2 2 2 2 3 2" xfId="2041" xr:uid="{E6396F57-0C4B-4B29-A480-90A72FCE6FEC}"/>
    <cellStyle name="סה&quot;כ 2 2 2 2 2 4" xfId="1572" xr:uid="{38161BB0-ABD5-42DA-B1B2-4259D621EC9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2 2 2" xfId="2292" xr:uid="{37236198-FD17-45DF-9293-7F6996E761C8}"/>
    <cellStyle name="סה&quot;כ 2 2 2 2 3 2 3" xfId="1823" xr:uid="{023E09A6-2CA9-40E8-A789-F0EC59D6DDAA}"/>
    <cellStyle name="סה&quot;כ 2 2 2 2 3 3" xfId="1015" xr:uid="{00000000-0005-0000-0000-000082030000}"/>
    <cellStyle name="סה&quot;כ 2 2 2 2 3 3 2" xfId="2165" xr:uid="{C1711582-82C3-4213-BAD4-43073216AF08}"/>
    <cellStyle name="סה&quot;כ 2 2 2 2 3 4" xfId="1696" xr:uid="{F3CBC1E9-FDC9-477A-A3E2-34A91040C84A}"/>
    <cellStyle name="סה&quot;כ 2 2 2 2 4" xfId="890" xr:uid="{00000000-0005-0000-0000-000083030000}"/>
    <cellStyle name="סה&quot;כ 2 2 2 2 4 2" xfId="2040" xr:uid="{2B81FDB3-D82E-4DB5-B3C9-79CFA344DF82}"/>
    <cellStyle name="סה&quot;כ 2 2 2 2 5" xfId="1571" xr:uid="{B23339DA-23D7-42FC-919A-CD9ACADC0D19}"/>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2 2 2" xfId="2295" xr:uid="{CAE9A0D4-04F3-4210-8808-7F3FF1EC4DDB}"/>
    <cellStyle name="סה&quot;כ 2 2 2 3 2 2 2 3" xfId="1826" xr:uid="{EDED07C5-9677-4722-85EA-8628EA422A87}"/>
    <cellStyle name="סה&quot;כ 2 2 2 3 2 2 3" xfId="1018" xr:uid="{00000000-0005-0000-0000-000089030000}"/>
    <cellStyle name="סה&quot;כ 2 2 2 3 2 2 3 2" xfId="2168" xr:uid="{590782A9-B36A-4969-83BF-1728D0A1CF69}"/>
    <cellStyle name="סה&quot;כ 2 2 2 3 2 2 4" xfId="1699" xr:uid="{9EA26CDA-1232-4D5A-AB91-F22321555103}"/>
    <cellStyle name="סה&quot;כ 2 2 2 3 2 3" xfId="893" xr:uid="{00000000-0005-0000-0000-00008A030000}"/>
    <cellStyle name="סה&quot;כ 2 2 2 3 2 3 2" xfId="2043" xr:uid="{AE9A4131-ADA3-4A52-994A-D26E71D93EC6}"/>
    <cellStyle name="סה&quot;כ 2 2 2 3 2 4" xfId="1574" xr:uid="{5D5C3036-B925-4218-865F-12E1A62524B5}"/>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2 2 2" xfId="2294" xr:uid="{9D836FAB-7412-456F-B537-3AB1EDE36D5A}"/>
    <cellStyle name="סה&quot;כ 2 2 2 3 3 2 3" xfId="1825" xr:uid="{AC2B84AA-E3EE-4511-B862-AD3E015194C8}"/>
    <cellStyle name="סה&quot;כ 2 2 2 3 3 3" xfId="1017" xr:uid="{00000000-0005-0000-0000-00008E030000}"/>
    <cellStyle name="סה&quot;כ 2 2 2 3 3 3 2" xfId="2167" xr:uid="{ED40EBE8-7F6C-47ED-A9C6-45AD8DE26ED2}"/>
    <cellStyle name="סה&quot;כ 2 2 2 3 3 4" xfId="1698" xr:uid="{2A9EA5B2-E873-4EEA-B570-A0BD80EDB0C4}"/>
    <cellStyle name="סה&quot;כ 2 2 2 3 4" xfId="892" xr:uid="{00000000-0005-0000-0000-00008F030000}"/>
    <cellStyle name="סה&quot;כ 2 2 2 3 4 2" xfId="2042" xr:uid="{8A6FB76C-3AD3-4491-95D7-1C86C0D56F88}"/>
    <cellStyle name="סה&quot;כ 2 2 2 3 5" xfId="1573" xr:uid="{35C0030D-C295-4215-96B3-79A1370519E3}"/>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2 2 2" xfId="2296" xr:uid="{5DE8B576-969D-47DC-87BF-DBED83E6EBAD}"/>
    <cellStyle name="סה&quot;כ 2 2 2 4 2 2 3" xfId="1827" xr:uid="{6BB27FBE-7F6F-4A86-9F2D-4D2F8849D189}"/>
    <cellStyle name="סה&quot;כ 2 2 2 4 2 3" xfId="1019" xr:uid="{00000000-0005-0000-0000-000094030000}"/>
    <cellStyle name="סה&quot;כ 2 2 2 4 2 3 2" xfId="2169" xr:uid="{6F4ACBB2-192B-4AA9-A7BD-D3D1FA2229D0}"/>
    <cellStyle name="סה&quot;כ 2 2 2 4 2 4" xfId="1700" xr:uid="{FBF6BEBC-986D-4720-ACBD-B6E5F41CA189}"/>
    <cellStyle name="סה&quot;כ 2 2 2 4 3" xfId="894" xr:uid="{00000000-0005-0000-0000-000095030000}"/>
    <cellStyle name="סה&quot;כ 2 2 2 4 3 2" xfId="2044" xr:uid="{4D986FE2-9AD7-4E35-B6D5-ABFD729E4F20}"/>
    <cellStyle name="סה&quot;כ 2 2 2 4 4" xfId="1575" xr:uid="{233F2DB6-B795-446E-8D01-0F8F65B57F4E}"/>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2 2 2" xfId="2297" xr:uid="{E48BF013-1ADA-4D3B-9167-B6686033EEEF}"/>
    <cellStyle name="סה&quot;כ 2 2 2 5 2 2 3" xfId="1828" xr:uid="{5350A8FE-0E16-4269-A0AD-C32DF20B2520}"/>
    <cellStyle name="סה&quot;כ 2 2 2 5 2 3" xfId="1020" xr:uid="{00000000-0005-0000-0000-00009A030000}"/>
    <cellStyle name="סה&quot;כ 2 2 2 5 2 3 2" xfId="2170" xr:uid="{BD58B9AC-A14C-4AA2-86A4-C1D2494E6E4D}"/>
    <cellStyle name="סה&quot;כ 2 2 2 5 2 4" xfId="1701" xr:uid="{757443A8-5F97-4C6A-853C-38E86C2DE1FD}"/>
    <cellStyle name="סה&quot;כ 2 2 2 5 3" xfId="895" xr:uid="{00000000-0005-0000-0000-00009B030000}"/>
    <cellStyle name="סה&quot;כ 2 2 2 5 3 2" xfId="2045" xr:uid="{A6A2E566-25CB-46F2-870B-D1FD8F4148C2}"/>
    <cellStyle name="סה&quot;כ 2 2 2 5 4" xfId="1576" xr:uid="{5CE72E92-BCAC-43C8-96DA-4F16F8295215}"/>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2 2 2" xfId="2298" xr:uid="{A12AB6CF-E430-486F-9BB1-5B8B353A1A0D}"/>
    <cellStyle name="סה&quot;כ 2 2 2 6 2 2 3" xfId="1829" xr:uid="{62AC39F6-CC19-43F4-8D41-0F0C24AD1A73}"/>
    <cellStyle name="סה&quot;כ 2 2 2 6 2 3" xfId="1021" xr:uid="{00000000-0005-0000-0000-0000A0030000}"/>
    <cellStyle name="סה&quot;כ 2 2 2 6 2 3 2" xfId="2171" xr:uid="{024436C4-81AC-4833-9FFA-6483BB85E7FF}"/>
    <cellStyle name="סה&quot;כ 2 2 2 6 2 4" xfId="1702" xr:uid="{D020FE37-31AB-4C43-B4EB-46F76B8EF85F}"/>
    <cellStyle name="סה&quot;כ 2 2 2 6 3" xfId="896" xr:uid="{00000000-0005-0000-0000-0000A1030000}"/>
    <cellStyle name="סה&quot;כ 2 2 2 6 3 2" xfId="2046" xr:uid="{0B7BC007-3FF1-4379-AAC0-FD73B18FD2A3}"/>
    <cellStyle name="סה&quot;כ 2 2 2 6 4" xfId="1577" xr:uid="{C84E79DE-4656-4F14-AFDC-D2E5124566EF}"/>
    <cellStyle name="סה&quot;כ 2 2 2 7" xfId="423" xr:uid="{00000000-0005-0000-0000-0000A2030000}"/>
    <cellStyle name="סה&quot;כ 2 2 2 7 2" xfId="558" xr:uid="{00000000-0005-0000-0000-0000A3030000}"/>
    <cellStyle name="סה&quot;כ 2 2 2 7 2 2" xfId="1141" xr:uid="{00000000-0005-0000-0000-0000A4030000}"/>
    <cellStyle name="סה&quot;כ 2 2 2 7 2 2 2" xfId="2291" xr:uid="{ECC8EC35-0249-4BC1-A125-1FACD5B0447A}"/>
    <cellStyle name="סה&quot;כ 2 2 2 7 2 3" xfId="1822" xr:uid="{BC161771-FC42-4BF5-BE98-C2BEF3C8D164}"/>
    <cellStyle name="סה&quot;כ 2 2 2 7 3" xfId="1014" xr:uid="{00000000-0005-0000-0000-0000A5030000}"/>
    <cellStyle name="סה&quot;כ 2 2 2 7 3 2" xfId="2164" xr:uid="{8D55A73A-3090-4F36-8838-4340B26AD0CA}"/>
    <cellStyle name="סה&quot;כ 2 2 2 7 4" xfId="1695" xr:uid="{87252FD7-0768-48FE-9EB7-E2AB99DEF4F4}"/>
    <cellStyle name="סה&quot;כ 2 2 2 8" xfId="889" xr:uid="{00000000-0005-0000-0000-0000A6030000}"/>
    <cellStyle name="סה&quot;כ 2 2 2 8 2" xfId="2039" xr:uid="{1877F468-D35B-4F92-9791-F7692290A295}"/>
    <cellStyle name="סה&quot;כ 2 2 2 9" xfId="1570" xr:uid="{A52BB840-6566-4578-A8A4-CA8B6BDB133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2 2 2" xfId="2299" xr:uid="{D3F4C386-3595-44F6-B216-092882E3F97B}"/>
    <cellStyle name="סה&quot;כ 2 2 3 2 2 3" xfId="1830" xr:uid="{5C09C9E7-9466-468D-BDF8-92AEF2C1F44A}"/>
    <cellStyle name="סה&quot;כ 2 2 3 2 3" xfId="1022" xr:uid="{00000000-0005-0000-0000-0000AB030000}"/>
    <cellStyle name="סה&quot;כ 2 2 3 2 3 2" xfId="2172" xr:uid="{093B0597-BED4-4606-AA45-FFEE8E3A094B}"/>
    <cellStyle name="סה&quot;כ 2 2 3 2 4" xfId="1703" xr:uid="{05C72181-6E82-4273-B25D-A4CB395AC692}"/>
    <cellStyle name="סה&quot;כ 2 2 3 3" xfId="897" xr:uid="{00000000-0005-0000-0000-0000AC030000}"/>
    <cellStyle name="סה&quot;כ 2 2 3 3 2" xfId="2047" xr:uid="{6AB0C11E-E926-4166-81A3-802D62CB9670}"/>
    <cellStyle name="סה&quot;כ 2 2 3 4" xfId="1578" xr:uid="{1F4DA987-0E38-4370-942F-DE1AEB73F1F8}"/>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2 2 2" xfId="2300" xr:uid="{32442962-E5EA-40D5-881D-EB13F163327A}"/>
    <cellStyle name="סה&quot;כ 2 2 4 2 2 3" xfId="1831" xr:uid="{0B47D8B5-7C93-43A3-9B27-0FC0D4D47451}"/>
    <cellStyle name="סה&quot;כ 2 2 4 2 3" xfId="1023" xr:uid="{00000000-0005-0000-0000-0000B1030000}"/>
    <cellStyle name="סה&quot;כ 2 2 4 2 3 2" xfId="2173" xr:uid="{2774C2D1-6AA7-43EF-94E1-CFE4263D9691}"/>
    <cellStyle name="סה&quot;כ 2 2 4 2 4" xfId="1704" xr:uid="{DDE7A63B-3148-46F5-BE18-E356739200AF}"/>
    <cellStyle name="סה&quot;כ 2 2 4 3" xfId="898" xr:uid="{00000000-0005-0000-0000-0000B2030000}"/>
    <cellStyle name="סה&quot;כ 2 2 4 3 2" xfId="2048" xr:uid="{2C302A7B-12B9-4603-8FA2-D2856B867C3D}"/>
    <cellStyle name="סה&quot;כ 2 2 4 4" xfId="1579" xr:uid="{C82EB696-7F10-4D04-ADD5-8F8A44AAF47E}"/>
    <cellStyle name="סה&quot;כ 2 2 5" xfId="422" xr:uid="{00000000-0005-0000-0000-0000B3030000}"/>
    <cellStyle name="סה&quot;כ 2 2 5 2" xfId="557" xr:uid="{00000000-0005-0000-0000-0000B4030000}"/>
    <cellStyle name="סה&quot;כ 2 2 5 2 2" xfId="1140" xr:uid="{00000000-0005-0000-0000-0000B5030000}"/>
    <cellStyle name="סה&quot;כ 2 2 5 2 2 2" xfId="2290" xr:uid="{6FCEAE0E-A9B9-49D0-9DF6-A64C961CADD6}"/>
    <cellStyle name="סה&quot;כ 2 2 5 2 3" xfId="1821" xr:uid="{14782705-DD95-4858-A5F9-4EE54C85BD2B}"/>
    <cellStyle name="סה&quot;כ 2 2 5 3" xfId="1013" xr:uid="{00000000-0005-0000-0000-0000B6030000}"/>
    <cellStyle name="סה&quot;כ 2 2 5 3 2" xfId="2163" xr:uid="{B7CD04EB-A70B-4CF5-90FD-810657B98600}"/>
    <cellStyle name="סה&quot;כ 2 2 5 4" xfId="1694" xr:uid="{C596EA22-C37D-46DD-9F53-562D502BD591}"/>
    <cellStyle name="סה&quot;כ 2 2 6" xfId="888" xr:uid="{00000000-0005-0000-0000-0000B7030000}"/>
    <cellStyle name="סה&quot;כ 2 2 6 2" xfId="2038" xr:uid="{AD99A5C6-585F-4DA4-A4DF-7E1385759BD7}"/>
    <cellStyle name="סה&quot;כ 2 2 7" xfId="1569" xr:uid="{5D786D05-227B-41A2-A91B-4A2578B0DFC6}"/>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2 2 2" xfId="2303" xr:uid="{017B8CFC-43F3-49B8-A954-7815C921E98E}"/>
    <cellStyle name="סה&quot;כ 2 3 2 2 2 2 3" xfId="1834" xr:uid="{196B385A-F885-489B-98D3-E2B68AB05DD4}"/>
    <cellStyle name="סה&quot;כ 2 3 2 2 2 3" xfId="1026" xr:uid="{00000000-0005-0000-0000-0000BE030000}"/>
    <cellStyle name="סה&quot;כ 2 3 2 2 2 3 2" xfId="2176" xr:uid="{6BE6CEA8-9CD1-40D9-A830-B1BBF971B419}"/>
    <cellStyle name="סה&quot;כ 2 3 2 2 2 4" xfId="1707" xr:uid="{5487F95F-764C-4BD9-BF6C-E046E68A8C9B}"/>
    <cellStyle name="סה&quot;כ 2 3 2 2 3" xfId="901" xr:uid="{00000000-0005-0000-0000-0000BF030000}"/>
    <cellStyle name="סה&quot;כ 2 3 2 2 3 2" xfId="2051" xr:uid="{47F1C8B1-11BC-41F7-8C51-F28E73379E52}"/>
    <cellStyle name="סה&quot;כ 2 3 2 2 4" xfId="1582" xr:uid="{97C6B14E-78FE-423E-A7A2-43F090A895DA}"/>
    <cellStyle name="סה&quot;כ 2 3 2 3" xfId="434" xr:uid="{00000000-0005-0000-0000-0000C0030000}"/>
    <cellStyle name="סה&quot;כ 2 3 2 3 2" xfId="569" xr:uid="{00000000-0005-0000-0000-0000C1030000}"/>
    <cellStyle name="סה&quot;כ 2 3 2 3 2 2" xfId="1152" xr:uid="{00000000-0005-0000-0000-0000C2030000}"/>
    <cellStyle name="סה&quot;כ 2 3 2 3 2 2 2" xfId="2302" xr:uid="{E45F915D-DF15-4CCB-8846-B10B1BAF14DC}"/>
    <cellStyle name="סה&quot;כ 2 3 2 3 2 3" xfId="1833" xr:uid="{590A456B-0EBC-4862-83AF-AEEC91BA948C}"/>
    <cellStyle name="סה&quot;כ 2 3 2 3 3" xfId="1025" xr:uid="{00000000-0005-0000-0000-0000C3030000}"/>
    <cellStyle name="סה&quot;כ 2 3 2 3 3 2" xfId="2175" xr:uid="{060E9E5D-FBA1-466A-97F5-FA86A84253DC}"/>
    <cellStyle name="סה&quot;כ 2 3 2 3 4" xfId="1706" xr:uid="{9B099E5F-D3FB-4C0D-BEA5-10AB39326297}"/>
    <cellStyle name="סה&quot;כ 2 3 2 4" xfId="900" xr:uid="{00000000-0005-0000-0000-0000C4030000}"/>
    <cellStyle name="סה&quot;כ 2 3 2 4 2" xfId="2050" xr:uid="{B3BB1E62-29FB-45B2-A69C-D5B422BE4EAD}"/>
    <cellStyle name="סה&quot;כ 2 3 2 5" xfId="1581" xr:uid="{481505E2-3B47-4D43-8F51-228747492D5F}"/>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2 2 2" xfId="2305" xr:uid="{6FFFCB44-6F94-4EC5-825A-A5FA39FEA82C}"/>
    <cellStyle name="סה&quot;כ 2 3 3 2 2 2 3" xfId="1836" xr:uid="{E1D3402A-B8C3-4130-8FFB-160D2B7A1E96}"/>
    <cellStyle name="סה&quot;כ 2 3 3 2 2 3" xfId="1028" xr:uid="{00000000-0005-0000-0000-0000CA030000}"/>
    <cellStyle name="סה&quot;כ 2 3 3 2 2 3 2" xfId="2178" xr:uid="{57239609-5605-4034-89A9-86F90F0C5EFB}"/>
    <cellStyle name="סה&quot;כ 2 3 3 2 2 4" xfId="1709" xr:uid="{F71CC248-A782-4CCD-AE16-AF912C8DC537}"/>
    <cellStyle name="סה&quot;כ 2 3 3 2 3" xfId="903" xr:uid="{00000000-0005-0000-0000-0000CB030000}"/>
    <cellStyle name="סה&quot;כ 2 3 3 2 3 2" xfId="2053" xr:uid="{0F0AB50C-CFAF-4FA9-8AE4-91B84BA5EBCF}"/>
    <cellStyle name="סה&quot;כ 2 3 3 2 4" xfId="1584" xr:uid="{88139C76-1701-4E41-BBC4-FC875494093E}"/>
    <cellStyle name="סה&quot;כ 2 3 3 3" xfId="436" xr:uid="{00000000-0005-0000-0000-0000CC030000}"/>
    <cellStyle name="סה&quot;כ 2 3 3 3 2" xfId="571" xr:uid="{00000000-0005-0000-0000-0000CD030000}"/>
    <cellStyle name="סה&quot;כ 2 3 3 3 2 2" xfId="1154" xr:uid="{00000000-0005-0000-0000-0000CE030000}"/>
    <cellStyle name="סה&quot;כ 2 3 3 3 2 2 2" xfId="2304" xr:uid="{4A6417CA-87B5-4D41-8709-41755541B9D2}"/>
    <cellStyle name="סה&quot;כ 2 3 3 3 2 3" xfId="1835" xr:uid="{7BE8406D-B0E6-4DB5-A8D7-4F8FC6945531}"/>
    <cellStyle name="סה&quot;כ 2 3 3 3 3" xfId="1027" xr:uid="{00000000-0005-0000-0000-0000CF030000}"/>
    <cellStyle name="סה&quot;כ 2 3 3 3 3 2" xfId="2177" xr:uid="{4F449D5F-FFD2-4BB6-B6B6-124EA204E796}"/>
    <cellStyle name="סה&quot;כ 2 3 3 3 4" xfId="1708" xr:uid="{F4A95990-DB98-4013-A7B6-32BF70161BBF}"/>
    <cellStyle name="סה&quot;כ 2 3 3 4" xfId="902" xr:uid="{00000000-0005-0000-0000-0000D0030000}"/>
    <cellStyle name="סה&quot;כ 2 3 3 4 2" xfId="2052" xr:uid="{D17483B4-D319-4254-B0DB-BB212763755A}"/>
    <cellStyle name="סה&quot;כ 2 3 3 5" xfId="1583" xr:uid="{08DB2664-84EC-425F-8890-9FC246D22535}"/>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2 2 2" xfId="2306" xr:uid="{680EA5D9-961B-49DA-866C-67A0F5566303}"/>
    <cellStyle name="סה&quot;כ 2 3 4 2 2 3" xfId="1837" xr:uid="{43606A46-4B88-4345-8A98-D8F91B43CFC3}"/>
    <cellStyle name="סה&quot;כ 2 3 4 2 3" xfId="1029" xr:uid="{00000000-0005-0000-0000-0000D5030000}"/>
    <cellStyle name="סה&quot;כ 2 3 4 2 3 2" xfId="2179" xr:uid="{8D08859A-24BE-481D-ACBA-C1BA46A0C53C}"/>
    <cellStyle name="סה&quot;כ 2 3 4 2 4" xfId="1710" xr:uid="{85A481A6-7492-46CB-B996-372FA3C5F30A}"/>
    <cellStyle name="סה&quot;כ 2 3 4 3" xfId="904" xr:uid="{00000000-0005-0000-0000-0000D6030000}"/>
    <cellStyle name="סה&quot;כ 2 3 4 3 2" xfId="2054" xr:uid="{859D4D08-3CC7-4A18-8656-FF5FB32F0600}"/>
    <cellStyle name="סה&quot;כ 2 3 4 4" xfId="1585" xr:uid="{E16ADB1D-15A3-4384-8E52-094513AE4072}"/>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2 2 2" xfId="2307" xr:uid="{7CD0048C-1CB8-4A36-932F-C38211B60020}"/>
    <cellStyle name="סה&quot;כ 2 3 5 2 2 3" xfId="1838" xr:uid="{2ABF5965-6D63-4FA0-92B7-10B3AF217C3D}"/>
    <cellStyle name="סה&quot;כ 2 3 5 2 3" xfId="1030" xr:uid="{00000000-0005-0000-0000-0000DB030000}"/>
    <cellStyle name="סה&quot;כ 2 3 5 2 3 2" xfId="2180" xr:uid="{56023B6C-E66D-4A06-A8E6-8744526C6743}"/>
    <cellStyle name="סה&quot;כ 2 3 5 2 4" xfId="1711" xr:uid="{DCD949DF-2149-42A0-BDCD-E6632E13CF12}"/>
    <cellStyle name="סה&quot;כ 2 3 5 3" xfId="905" xr:uid="{00000000-0005-0000-0000-0000DC030000}"/>
    <cellStyle name="סה&quot;כ 2 3 5 3 2" xfId="2055" xr:uid="{54C1808B-8713-4DBE-937B-738B1DEA958E}"/>
    <cellStyle name="סה&quot;כ 2 3 5 4" xfId="1586" xr:uid="{80E04003-EF72-4A47-9B0A-D3EA37DE447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2 2 2" xfId="2308" xr:uid="{75D704D2-878F-4B01-AC4C-A6C799D8E0F5}"/>
    <cellStyle name="סה&quot;כ 2 3 6 2 2 3" xfId="1839" xr:uid="{995F151B-C222-4068-A66C-3A203F563D9E}"/>
    <cellStyle name="סה&quot;כ 2 3 6 2 3" xfId="1031" xr:uid="{00000000-0005-0000-0000-0000E1030000}"/>
    <cellStyle name="סה&quot;כ 2 3 6 2 3 2" xfId="2181" xr:uid="{A3335B35-62D1-45C6-9767-73CA1790A698}"/>
    <cellStyle name="סה&quot;כ 2 3 6 2 4" xfId="1712" xr:uid="{E2770018-2BDB-4011-9263-DF79DF2B847A}"/>
    <cellStyle name="סה&quot;כ 2 3 6 3" xfId="906" xr:uid="{00000000-0005-0000-0000-0000E2030000}"/>
    <cellStyle name="סה&quot;כ 2 3 6 3 2" xfId="2056" xr:uid="{0BE04046-A15B-4C1E-8B20-E5333F3A03B9}"/>
    <cellStyle name="סה&quot;כ 2 3 6 4" xfId="1587" xr:uid="{BEAE9FA4-187E-46FF-9A55-4C348DAC2FFF}"/>
    <cellStyle name="סה&quot;כ 2 3 7" xfId="433" xr:uid="{00000000-0005-0000-0000-0000E3030000}"/>
    <cellStyle name="סה&quot;כ 2 3 7 2" xfId="568" xr:uid="{00000000-0005-0000-0000-0000E4030000}"/>
    <cellStyle name="סה&quot;כ 2 3 7 2 2" xfId="1151" xr:uid="{00000000-0005-0000-0000-0000E5030000}"/>
    <cellStyle name="סה&quot;כ 2 3 7 2 2 2" xfId="2301" xr:uid="{34B1B99F-0354-4E67-B110-C93880BA3EB1}"/>
    <cellStyle name="סה&quot;כ 2 3 7 2 3" xfId="1832" xr:uid="{FCB75071-2985-4B45-8EC2-468F98CF0D3A}"/>
    <cellStyle name="סה&quot;כ 2 3 7 3" xfId="1024" xr:uid="{00000000-0005-0000-0000-0000E6030000}"/>
    <cellStyle name="סה&quot;כ 2 3 7 3 2" xfId="2174" xr:uid="{0E0F93E9-A9A3-4267-A4EC-F9503355784D}"/>
    <cellStyle name="סה&quot;כ 2 3 7 4" xfId="1705" xr:uid="{9684C30E-8499-4A4F-BA14-95E34D3D30A1}"/>
    <cellStyle name="סה&quot;כ 2 3 8" xfId="899" xr:uid="{00000000-0005-0000-0000-0000E7030000}"/>
    <cellStyle name="סה&quot;כ 2 3 8 2" xfId="2049" xr:uid="{114CA2A4-9E4C-46BB-BD83-51673184A4E4}"/>
    <cellStyle name="סה&quot;כ 2 3 9" xfId="1580" xr:uid="{1170FE22-6FFC-49A1-ACAB-9E657898D7EB}"/>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2 2 2" xfId="2309" xr:uid="{61D88E31-29BE-48A7-A47E-1A9ED1FF504F}"/>
    <cellStyle name="סה&quot;כ 2 4 2 2 3" xfId="1840" xr:uid="{763348A1-291C-46EE-8138-156C0634F418}"/>
    <cellStyle name="סה&quot;כ 2 4 2 3" xfId="1032" xr:uid="{00000000-0005-0000-0000-0000EC030000}"/>
    <cellStyle name="סה&quot;כ 2 4 2 3 2" xfId="2182" xr:uid="{6244B490-1C0E-4E5E-A5C5-3CE389EBEBD8}"/>
    <cellStyle name="סה&quot;כ 2 4 2 4" xfId="1713" xr:uid="{84DE30E0-203A-455A-889A-FEAA7ED7385E}"/>
    <cellStyle name="סה&quot;כ 2 4 3" xfId="907" xr:uid="{00000000-0005-0000-0000-0000ED030000}"/>
    <cellStyle name="סה&quot;כ 2 4 3 2" xfId="2057" xr:uid="{365EA676-9CAC-47DB-8BE1-B7DF06710EC9}"/>
    <cellStyle name="סה&quot;כ 2 4 4" xfId="1588" xr:uid="{DD3B792D-EED6-4F1A-823E-FBB649B957A3}"/>
    <cellStyle name="סה&quot;כ 2 5" xfId="421" xr:uid="{00000000-0005-0000-0000-0000EE030000}"/>
    <cellStyle name="סה&quot;כ 2 5 2" xfId="556" xr:uid="{00000000-0005-0000-0000-0000EF030000}"/>
    <cellStyle name="סה&quot;כ 2 5 2 2" xfId="1139" xr:uid="{00000000-0005-0000-0000-0000F0030000}"/>
    <cellStyle name="סה&quot;כ 2 5 2 2 2" xfId="2289" xr:uid="{001B4CF1-4498-4FDE-81FA-1E8DDBF8AA7A}"/>
    <cellStyle name="סה&quot;כ 2 5 2 3" xfId="1820" xr:uid="{1D93B2FE-D5DC-4B8F-A79A-5DF5527CFD75}"/>
    <cellStyle name="סה&quot;כ 2 5 3" xfId="1012" xr:uid="{00000000-0005-0000-0000-0000F1030000}"/>
    <cellStyle name="סה&quot;כ 2 5 3 2" xfId="2162" xr:uid="{7D3AA4DC-77DB-44A9-A325-E9AA323A323B}"/>
    <cellStyle name="סה&quot;כ 2 5 4" xfId="1693" xr:uid="{7F8CD1B2-C2E8-4A02-BD8B-ADADD2D2A9C7}"/>
    <cellStyle name="סה&quot;כ 2 6" xfId="274" xr:uid="{00000000-0005-0000-0000-0000F2030000}"/>
    <cellStyle name="סה&quot;כ 2 6 2" xfId="887" xr:uid="{00000000-0005-0000-0000-0000F3030000}"/>
    <cellStyle name="סה&quot;כ 2 6 2 2" xfId="2037" xr:uid="{6341867D-2ABC-4474-8914-60A35BE849B2}"/>
    <cellStyle name="סה&quot;כ 2 6 3" xfId="1568" xr:uid="{1F692C19-C061-496F-B6A8-7EC8D64480A7}"/>
    <cellStyle name="סה&quot;כ 2 7" xfId="1283" xr:uid="{00000000-0005-0000-0000-0000F4030000}"/>
    <cellStyle name="סה&quot;כ 2 7 2" xfId="2392" xr:uid="{8860EB9B-8AAD-482F-96D7-E07891BCB09D}"/>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סה&quot;כ 5 2" xfId="2404" xr:uid="{F4020FDB-AA8D-49E6-BD3D-AC3D3B94B1CC}"/>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2 2 2" xfId="2314" xr:uid="{A5735B32-011D-4FD0-AE06-01A96B89221A}"/>
    <cellStyle name="פלט 2 2 2 2 2 2 2 3" xfId="1845" xr:uid="{03513B34-945B-4203-ACAB-D0DBA9BDB2F2}"/>
    <cellStyle name="פלט 2 2 2 2 2 2 3" xfId="1037" xr:uid="{00000000-0005-0000-0000-0000FF030000}"/>
    <cellStyle name="פלט 2 2 2 2 2 2 3 2" xfId="2187" xr:uid="{830D2F6A-A1AA-4B59-A971-AA54E59C7526}"/>
    <cellStyle name="פלט 2 2 2 2 2 2 4" xfId="1718" xr:uid="{45060FE8-F0DD-4347-B5F1-5F1B0AC75B20}"/>
    <cellStyle name="פלט 2 2 2 2 2 3" xfId="912" xr:uid="{00000000-0005-0000-0000-000000040000}"/>
    <cellStyle name="פלט 2 2 2 2 2 3 2" xfId="2062" xr:uid="{9884BB6D-8AF4-409A-A966-F69602DA7E2F}"/>
    <cellStyle name="פלט 2 2 2 2 2 4" xfId="1593" xr:uid="{4B7498CF-8AB8-46A8-A69B-6C4C6A534606}"/>
    <cellStyle name="פלט 2 2 2 2 3" xfId="445" xr:uid="{00000000-0005-0000-0000-000001040000}"/>
    <cellStyle name="פלט 2 2 2 2 3 2" xfId="580" xr:uid="{00000000-0005-0000-0000-000002040000}"/>
    <cellStyle name="פלט 2 2 2 2 3 2 2" xfId="1163" xr:uid="{00000000-0005-0000-0000-000003040000}"/>
    <cellStyle name="פלט 2 2 2 2 3 2 2 2" xfId="2313" xr:uid="{DCFA7255-12D1-42ED-9F89-53A59955B992}"/>
    <cellStyle name="פלט 2 2 2 2 3 2 3" xfId="1844" xr:uid="{D980F742-1F17-46D0-81F3-0C3A44C1806B}"/>
    <cellStyle name="פלט 2 2 2 2 3 3" xfId="1036" xr:uid="{00000000-0005-0000-0000-000004040000}"/>
    <cellStyle name="פלט 2 2 2 2 3 3 2" xfId="2186" xr:uid="{2A0FE9E1-EB56-4787-AB5A-2EBD1D8380C1}"/>
    <cellStyle name="פלט 2 2 2 2 3 4" xfId="1717" xr:uid="{CB737456-65C9-44F3-B068-21BDDAAD7DD8}"/>
    <cellStyle name="פלט 2 2 2 2 4" xfId="911" xr:uid="{00000000-0005-0000-0000-000005040000}"/>
    <cellStyle name="פלט 2 2 2 2 4 2" xfId="2061" xr:uid="{10FA6404-ECE2-424E-8CF1-0B5E3A3B66BA}"/>
    <cellStyle name="פלט 2 2 2 2 5" xfId="1592" xr:uid="{62C61972-6A78-47CD-A907-D6938B3D2CFF}"/>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2 2 2" xfId="2316" xr:uid="{175123F0-2216-4D4B-B512-498A44688A2E}"/>
    <cellStyle name="פלט 2 2 2 3 2 2 2 3" xfId="1847" xr:uid="{0C911E19-D89C-4ADD-B78C-C3AD83C8749E}"/>
    <cellStyle name="פלט 2 2 2 3 2 2 3" xfId="1039" xr:uid="{00000000-0005-0000-0000-00000B040000}"/>
    <cellStyle name="פלט 2 2 2 3 2 2 3 2" xfId="2189" xr:uid="{12003279-032A-49F1-BDE8-E3D36A7CDF7B}"/>
    <cellStyle name="פלט 2 2 2 3 2 2 4" xfId="1720" xr:uid="{8EF19AE9-CD6C-4098-83D9-16DBF6E810CD}"/>
    <cellStyle name="פלט 2 2 2 3 2 3" xfId="914" xr:uid="{00000000-0005-0000-0000-00000C040000}"/>
    <cellStyle name="פלט 2 2 2 3 2 3 2" xfId="2064" xr:uid="{6C4F191E-209C-4AC2-93E8-2266CDEB7CD9}"/>
    <cellStyle name="פלט 2 2 2 3 2 4" xfId="1595" xr:uid="{0897A4BE-16F0-4DBB-89E4-B9B255B4452B}"/>
    <cellStyle name="פלט 2 2 2 3 3" xfId="447" xr:uid="{00000000-0005-0000-0000-00000D040000}"/>
    <cellStyle name="פלט 2 2 2 3 3 2" xfId="582" xr:uid="{00000000-0005-0000-0000-00000E040000}"/>
    <cellStyle name="פלט 2 2 2 3 3 2 2" xfId="1165" xr:uid="{00000000-0005-0000-0000-00000F040000}"/>
    <cellStyle name="פלט 2 2 2 3 3 2 2 2" xfId="2315" xr:uid="{BCB86A17-5DAE-4123-AEE4-DD55D63A77E3}"/>
    <cellStyle name="פלט 2 2 2 3 3 2 3" xfId="1846" xr:uid="{3621B86B-067D-4D40-B8A6-BE3A2AEF7E2C}"/>
    <cellStyle name="פלט 2 2 2 3 3 3" xfId="1038" xr:uid="{00000000-0005-0000-0000-000010040000}"/>
    <cellStyle name="פלט 2 2 2 3 3 3 2" xfId="2188" xr:uid="{B2C30509-561B-44FC-BAB0-32C9BD9F5634}"/>
    <cellStyle name="פלט 2 2 2 3 3 4" xfId="1719" xr:uid="{505CF562-F9A4-4524-B925-E5A960A57CB9}"/>
    <cellStyle name="פלט 2 2 2 3 4" xfId="913" xr:uid="{00000000-0005-0000-0000-000011040000}"/>
    <cellStyle name="פלט 2 2 2 3 4 2" xfId="2063" xr:uid="{E2737594-07A4-4CFF-B1F8-C33945CE9D1D}"/>
    <cellStyle name="פלט 2 2 2 3 5" xfId="1594" xr:uid="{241F15F5-129C-4283-AE43-4F8F121AD2D4}"/>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2 2 2" xfId="2317" xr:uid="{26DE35BA-6B87-4A83-83D6-16A67BABB91A}"/>
    <cellStyle name="פלט 2 2 2 4 2 2 3" xfId="1848" xr:uid="{580A43B5-13C0-43EC-87E4-7AA5191D33FD}"/>
    <cellStyle name="פלט 2 2 2 4 2 3" xfId="1040" xr:uid="{00000000-0005-0000-0000-000016040000}"/>
    <cellStyle name="פלט 2 2 2 4 2 3 2" xfId="2190" xr:uid="{0C77877C-B656-4379-AD2D-87FFF927E00F}"/>
    <cellStyle name="פלט 2 2 2 4 2 4" xfId="1721" xr:uid="{DB9ED04B-4116-4E46-BAFB-4A54B505E86C}"/>
    <cellStyle name="פלט 2 2 2 4 3" xfId="915" xr:uid="{00000000-0005-0000-0000-000017040000}"/>
    <cellStyle name="פלט 2 2 2 4 3 2" xfId="2065" xr:uid="{4870ECD8-D4B1-4AAD-B87D-F939B146D6AA}"/>
    <cellStyle name="פלט 2 2 2 4 4" xfId="1596" xr:uid="{C6E5FFF3-035C-4A5B-8C3A-6CC20DD415D8}"/>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2 2 2" xfId="2318" xr:uid="{D89EA258-F6AA-4F04-8CDD-D0E1E92BAAFE}"/>
    <cellStyle name="פלט 2 2 2 5 2 2 3" xfId="1849" xr:uid="{09C88F75-9628-4562-9C67-B3295972C257}"/>
    <cellStyle name="פלט 2 2 2 5 2 3" xfId="1041" xr:uid="{00000000-0005-0000-0000-00001C040000}"/>
    <cellStyle name="פלט 2 2 2 5 2 3 2" xfId="2191" xr:uid="{6607830A-9906-403D-917D-88256C405AF2}"/>
    <cellStyle name="פלט 2 2 2 5 2 4" xfId="1722" xr:uid="{000FBCD8-4480-4635-9C01-72FEFF1EF730}"/>
    <cellStyle name="פלט 2 2 2 5 3" xfId="916" xr:uid="{00000000-0005-0000-0000-00001D040000}"/>
    <cellStyle name="פלט 2 2 2 5 3 2" xfId="2066" xr:uid="{6D578FC8-3388-4246-9183-7FE59A533528}"/>
    <cellStyle name="פלט 2 2 2 5 4" xfId="1597" xr:uid="{0A0129BB-CCB0-4003-8BBA-B7DACB894742}"/>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2 2 2" xfId="2319" xr:uid="{E5401968-0B1B-44A0-BA38-21E9B860CE47}"/>
    <cellStyle name="פלט 2 2 2 6 2 2 3" xfId="1850" xr:uid="{5944F0ED-7DB2-48FB-8632-DDB1556CFBF2}"/>
    <cellStyle name="פלט 2 2 2 6 2 3" xfId="1042" xr:uid="{00000000-0005-0000-0000-000022040000}"/>
    <cellStyle name="פלט 2 2 2 6 2 3 2" xfId="2192" xr:uid="{0F23CA27-8E25-4A7D-A68F-FB48D82E2A95}"/>
    <cellStyle name="פלט 2 2 2 6 2 4" xfId="1723" xr:uid="{EBBB06D9-C70F-44BF-8D01-903ED44D18A4}"/>
    <cellStyle name="פלט 2 2 2 6 3" xfId="917" xr:uid="{00000000-0005-0000-0000-000023040000}"/>
    <cellStyle name="פלט 2 2 2 6 3 2" xfId="2067" xr:uid="{5DA4D260-EBDA-4506-8066-A6C6C69C26D0}"/>
    <cellStyle name="פלט 2 2 2 6 4" xfId="1598" xr:uid="{A07C7E2D-ED39-4BA9-8185-F4F2DFBBA4E6}"/>
    <cellStyle name="פלט 2 2 2 7" xfId="444" xr:uid="{00000000-0005-0000-0000-000024040000}"/>
    <cellStyle name="פלט 2 2 2 7 2" xfId="579" xr:uid="{00000000-0005-0000-0000-000025040000}"/>
    <cellStyle name="פלט 2 2 2 7 2 2" xfId="1162" xr:uid="{00000000-0005-0000-0000-000026040000}"/>
    <cellStyle name="פלט 2 2 2 7 2 2 2" xfId="2312" xr:uid="{51628F86-844F-46BE-8B82-BDE7B72B8A29}"/>
    <cellStyle name="פלט 2 2 2 7 2 3" xfId="1843" xr:uid="{9D4D256B-CA30-401A-A0F4-863704082271}"/>
    <cellStyle name="פלט 2 2 2 7 3" xfId="1035" xr:uid="{00000000-0005-0000-0000-000027040000}"/>
    <cellStyle name="פלט 2 2 2 7 3 2" xfId="2185" xr:uid="{1532E5A1-E25C-4FCA-A9DF-2BD291A2D532}"/>
    <cellStyle name="פלט 2 2 2 7 4" xfId="1716" xr:uid="{1EA8A9C4-A71B-44CA-BE6F-8C66A3465F58}"/>
    <cellStyle name="פלט 2 2 2 8" xfId="910" xr:uid="{00000000-0005-0000-0000-000028040000}"/>
    <cellStyle name="פלט 2 2 2 8 2" xfId="2060" xr:uid="{7BD45753-7F28-406B-8ADF-97716416E99F}"/>
    <cellStyle name="פלט 2 2 2 9" xfId="1591" xr:uid="{951B6795-34D9-45F1-9D5C-94DF1DB84C14}"/>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2 2 2" xfId="2320" xr:uid="{12411CEC-95E8-402C-A559-250CE433F6EB}"/>
    <cellStyle name="פלט 2 2 3 2 2 3" xfId="1851" xr:uid="{390E4A4D-9D55-4EE0-B42C-C9BC1CD792AF}"/>
    <cellStyle name="פלט 2 2 3 2 3" xfId="1043" xr:uid="{00000000-0005-0000-0000-00002D040000}"/>
    <cellStyle name="פלט 2 2 3 2 3 2" xfId="2193" xr:uid="{419B1EBC-3842-4FDB-9966-500ED847582A}"/>
    <cellStyle name="פלט 2 2 3 2 4" xfId="1724" xr:uid="{4030CB3E-D57B-4045-8864-DC4B2A9A570C}"/>
    <cellStyle name="פלט 2 2 3 3" xfId="918" xr:uid="{00000000-0005-0000-0000-00002E040000}"/>
    <cellStyle name="פלט 2 2 3 3 2" xfId="2068" xr:uid="{EA77E0D2-022C-455D-8C51-8CE9717187CF}"/>
    <cellStyle name="פלט 2 2 3 4" xfId="1599" xr:uid="{8F2189E3-79B2-4B81-823E-73E3784FE13D}"/>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2 2 2" xfId="2321" xr:uid="{5CE0D00B-3B14-4555-98DE-797209C9390E}"/>
    <cellStyle name="פלט 2 2 4 2 2 3" xfId="1852" xr:uid="{BB0401AA-BE00-4ECA-AC0A-64E59C5D5ED3}"/>
    <cellStyle name="פלט 2 2 4 2 3" xfId="1044" xr:uid="{00000000-0005-0000-0000-000033040000}"/>
    <cellStyle name="פלט 2 2 4 2 3 2" xfId="2194" xr:uid="{B465D45E-A9AA-42F2-99D7-6DAE4E734AF8}"/>
    <cellStyle name="פלט 2 2 4 2 4" xfId="1725" xr:uid="{FBA95D39-A15C-4C95-8438-74D6611540AD}"/>
    <cellStyle name="פלט 2 2 4 3" xfId="919" xr:uid="{00000000-0005-0000-0000-000034040000}"/>
    <cellStyle name="פלט 2 2 4 3 2" xfId="2069" xr:uid="{A1287FE7-842D-4BA7-ADBC-E38F34D91771}"/>
    <cellStyle name="פלט 2 2 4 4" xfId="1600" xr:uid="{45E339C5-A748-416D-9F87-0176B9EC4D1F}"/>
    <cellStyle name="פלט 2 2 5" xfId="443" xr:uid="{00000000-0005-0000-0000-000035040000}"/>
    <cellStyle name="פלט 2 2 5 2" xfId="578" xr:uid="{00000000-0005-0000-0000-000036040000}"/>
    <cellStyle name="פלט 2 2 5 2 2" xfId="1161" xr:uid="{00000000-0005-0000-0000-000037040000}"/>
    <cellStyle name="פלט 2 2 5 2 2 2" xfId="2311" xr:uid="{2DE80CE8-36A2-4D62-BFAE-C99E5F8404E6}"/>
    <cellStyle name="פלט 2 2 5 2 3" xfId="1842" xr:uid="{5567D158-F0E9-4FC8-8A4C-8ED3B6DC567C}"/>
    <cellStyle name="פלט 2 2 5 3" xfId="1034" xr:uid="{00000000-0005-0000-0000-000038040000}"/>
    <cellStyle name="פלט 2 2 5 3 2" xfId="2184" xr:uid="{9C8489BC-559B-4B77-92D1-8F247735C1ED}"/>
    <cellStyle name="פלט 2 2 5 4" xfId="1715" xr:uid="{467DA134-A1CB-4D88-88AF-C990505D2FA0}"/>
    <cellStyle name="פלט 2 2 6" xfId="909" xr:uid="{00000000-0005-0000-0000-000039040000}"/>
    <cellStyle name="פלט 2 2 6 2" xfId="2059" xr:uid="{D9417174-E91D-43A0-A9DC-A668E14F9636}"/>
    <cellStyle name="פלט 2 2 7" xfId="1590" xr:uid="{E175C621-3885-4F75-B5D6-9794DCABCD44}"/>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2 2 2" xfId="2324" xr:uid="{92758038-497A-4714-8739-E05936021DC0}"/>
    <cellStyle name="פלט 2 3 2 2 2 2 3" xfId="1855" xr:uid="{63E74EA7-7F6A-4E5A-A18F-C851EA46BF57}"/>
    <cellStyle name="פלט 2 3 2 2 2 3" xfId="1047" xr:uid="{00000000-0005-0000-0000-000040040000}"/>
    <cellStyle name="פלט 2 3 2 2 2 3 2" xfId="2197" xr:uid="{C239F81A-22B4-404C-8B92-890FF4D34460}"/>
    <cellStyle name="פלט 2 3 2 2 2 4" xfId="1728" xr:uid="{83F4E805-0579-469E-8FB1-B3DF8E6127BF}"/>
    <cellStyle name="פלט 2 3 2 2 3" xfId="922" xr:uid="{00000000-0005-0000-0000-000041040000}"/>
    <cellStyle name="פלט 2 3 2 2 3 2" xfId="2072" xr:uid="{4118F633-7308-45F7-84A3-689F4DB207B0}"/>
    <cellStyle name="פלט 2 3 2 2 4" xfId="1603" xr:uid="{4FFD8B39-E1EC-416A-B880-22EEC85B413E}"/>
    <cellStyle name="פלט 2 3 2 3" xfId="455" xr:uid="{00000000-0005-0000-0000-000042040000}"/>
    <cellStyle name="פלט 2 3 2 3 2" xfId="590" xr:uid="{00000000-0005-0000-0000-000043040000}"/>
    <cellStyle name="פלט 2 3 2 3 2 2" xfId="1173" xr:uid="{00000000-0005-0000-0000-000044040000}"/>
    <cellStyle name="פלט 2 3 2 3 2 2 2" xfId="2323" xr:uid="{06C3A9E1-EDD8-4262-866B-5D9D91BE92CE}"/>
    <cellStyle name="פלט 2 3 2 3 2 3" xfId="1854" xr:uid="{A7E02D62-378E-4261-9946-6BAD7D8748C6}"/>
    <cellStyle name="פלט 2 3 2 3 3" xfId="1046" xr:uid="{00000000-0005-0000-0000-000045040000}"/>
    <cellStyle name="פלט 2 3 2 3 3 2" xfId="2196" xr:uid="{9CC0DB2A-377B-4A92-8838-811B0C7C79F6}"/>
    <cellStyle name="פלט 2 3 2 3 4" xfId="1727" xr:uid="{C571FB12-4632-4090-BF72-12203943723E}"/>
    <cellStyle name="פלט 2 3 2 4" xfId="921" xr:uid="{00000000-0005-0000-0000-000046040000}"/>
    <cellStyle name="פלט 2 3 2 4 2" xfId="2071" xr:uid="{C263B6A2-2E9D-4277-969E-72D03187A3DC}"/>
    <cellStyle name="פלט 2 3 2 5" xfId="1602" xr:uid="{1AE7A05A-916A-4FA8-90F4-B2A51564B4FB}"/>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2 2 2" xfId="2326" xr:uid="{2A4C7B29-C9A9-4F50-A1B6-47039C48BBB2}"/>
    <cellStyle name="פלט 2 3 3 2 2 2 3" xfId="1857" xr:uid="{3B3BF28D-D1E5-4305-A823-876C7D6AA0A9}"/>
    <cellStyle name="פלט 2 3 3 2 2 3" xfId="1049" xr:uid="{00000000-0005-0000-0000-00004C040000}"/>
    <cellStyle name="פלט 2 3 3 2 2 3 2" xfId="2199" xr:uid="{3DCEC9CF-0D03-43CF-983D-56BC46CFC84D}"/>
    <cellStyle name="פלט 2 3 3 2 2 4" xfId="1730" xr:uid="{B97AE927-7C2F-4E06-9614-D9ED9AA35733}"/>
    <cellStyle name="פלט 2 3 3 2 3" xfId="924" xr:uid="{00000000-0005-0000-0000-00004D040000}"/>
    <cellStyle name="פלט 2 3 3 2 3 2" xfId="2074" xr:uid="{33C8063A-A47F-42E4-BB72-422769D1C9AC}"/>
    <cellStyle name="פלט 2 3 3 2 4" xfId="1605" xr:uid="{45B2CCA2-6F90-4625-800F-9476D50B6E19}"/>
    <cellStyle name="פלט 2 3 3 3" xfId="457" xr:uid="{00000000-0005-0000-0000-00004E040000}"/>
    <cellStyle name="פלט 2 3 3 3 2" xfId="592" xr:uid="{00000000-0005-0000-0000-00004F040000}"/>
    <cellStyle name="פלט 2 3 3 3 2 2" xfId="1175" xr:uid="{00000000-0005-0000-0000-000050040000}"/>
    <cellStyle name="פלט 2 3 3 3 2 2 2" xfId="2325" xr:uid="{08CD36AC-D555-43CF-85ED-F7EE8B6154EC}"/>
    <cellStyle name="פלט 2 3 3 3 2 3" xfId="1856" xr:uid="{1E36E6E7-DD61-455F-9E0A-317A5FD55559}"/>
    <cellStyle name="פלט 2 3 3 3 3" xfId="1048" xr:uid="{00000000-0005-0000-0000-000051040000}"/>
    <cellStyle name="פלט 2 3 3 3 3 2" xfId="2198" xr:uid="{7C58151E-9C5A-4D64-BF17-13C10667B55F}"/>
    <cellStyle name="פלט 2 3 3 3 4" xfId="1729" xr:uid="{84259505-5E8D-4BF7-B9AD-2AD12370B5ED}"/>
    <cellStyle name="פלט 2 3 3 4" xfId="923" xr:uid="{00000000-0005-0000-0000-000052040000}"/>
    <cellStyle name="פלט 2 3 3 4 2" xfId="2073" xr:uid="{A6DE14DB-DEAB-4FD4-8D5D-36133275E732}"/>
    <cellStyle name="פלט 2 3 3 5" xfId="1604" xr:uid="{17E4A306-2122-492B-9F33-7E2752364D23}"/>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2 2 2" xfId="2327" xr:uid="{5DA1EB72-223E-4A18-8BAE-D1902B926B0A}"/>
    <cellStyle name="פלט 2 3 4 2 2 3" xfId="1858" xr:uid="{027B1600-AE16-4657-BA66-C74DBE626360}"/>
    <cellStyle name="פלט 2 3 4 2 3" xfId="1050" xr:uid="{00000000-0005-0000-0000-000057040000}"/>
    <cellStyle name="פלט 2 3 4 2 3 2" xfId="2200" xr:uid="{0062DD62-B0DE-4867-A4B2-E79985384EB7}"/>
    <cellStyle name="פלט 2 3 4 2 4" xfId="1731" xr:uid="{03F5711D-3B7E-484D-B053-D051EA744BAF}"/>
    <cellStyle name="פלט 2 3 4 3" xfId="925" xr:uid="{00000000-0005-0000-0000-000058040000}"/>
    <cellStyle name="פלט 2 3 4 3 2" xfId="2075" xr:uid="{D7004B55-6D16-49E0-A11C-3819CD4BA54E}"/>
    <cellStyle name="פלט 2 3 4 4" xfId="1606" xr:uid="{FE436E1D-0B32-410E-BA53-5DCEFFC84608}"/>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2 2 2" xfId="2328" xr:uid="{28C8D857-9959-463D-B637-055628E81115}"/>
    <cellStyle name="פלט 2 3 5 2 2 3" xfId="1859" xr:uid="{FCCA88ED-8963-47DE-AB54-490D724F949A}"/>
    <cellStyle name="פלט 2 3 5 2 3" xfId="1051" xr:uid="{00000000-0005-0000-0000-00005D040000}"/>
    <cellStyle name="פלט 2 3 5 2 3 2" xfId="2201" xr:uid="{ABE5C76C-54E9-4233-BB22-93360464C268}"/>
    <cellStyle name="פלט 2 3 5 2 4" xfId="1732" xr:uid="{CFCB6DC6-185E-4F2B-A5C8-4FC5EFEAFE58}"/>
    <cellStyle name="פלט 2 3 5 3" xfId="926" xr:uid="{00000000-0005-0000-0000-00005E040000}"/>
    <cellStyle name="פלט 2 3 5 3 2" xfId="2076" xr:uid="{A0C3DEE2-C1F9-4249-A2C4-ACC327D82312}"/>
    <cellStyle name="פלט 2 3 5 4" xfId="1607" xr:uid="{469FB6B4-E8F5-4AC6-A2CA-8231FB10ADA5}"/>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2 2 2" xfId="2329" xr:uid="{16188A5A-ABC3-4643-A2C6-21317D1A3CA5}"/>
    <cellStyle name="פלט 2 3 6 2 2 3" xfId="1860" xr:uid="{F49AB9F6-2B03-4BF3-B162-868B97FD6731}"/>
    <cellStyle name="פלט 2 3 6 2 3" xfId="1052" xr:uid="{00000000-0005-0000-0000-000063040000}"/>
    <cellStyle name="פלט 2 3 6 2 3 2" xfId="2202" xr:uid="{E6C11C69-341E-487F-A69E-F6E5296EB7D1}"/>
    <cellStyle name="פלט 2 3 6 2 4" xfId="1733" xr:uid="{1E2E5C77-6BAE-40DF-9B6F-4871260BD12D}"/>
    <cellStyle name="פלט 2 3 6 3" xfId="927" xr:uid="{00000000-0005-0000-0000-000064040000}"/>
    <cellStyle name="פלט 2 3 6 3 2" xfId="2077" xr:uid="{CF8D873E-D288-48C2-A90E-7D60FDAE281D}"/>
    <cellStyle name="פלט 2 3 6 4" xfId="1608" xr:uid="{E5397E61-96B8-422E-8A20-55F84D1CFDA7}"/>
    <cellStyle name="פלט 2 3 7" xfId="454" xr:uid="{00000000-0005-0000-0000-000065040000}"/>
    <cellStyle name="פלט 2 3 7 2" xfId="589" xr:uid="{00000000-0005-0000-0000-000066040000}"/>
    <cellStyle name="פלט 2 3 7 2 2" xfId="1172" xr:uid="{00000000-0005-0000-0000-000067040000}"/>
    <cellStyle name="פלט 2 3 7 2 2 2" xfId="2322" xr:uid="{880FB611-B66C-4D1E-A6C2-134EB336CF2C}"/>
    <cellStyle name="פלט 2 3 7 2 3" xfId="1853" xr:uid="{14E6E51F-76F5-46E4-BBE6-7B5441DCC55B}"/>
    <cellStyle name="פלט 2 3 7 3" xfId="1045" xr:uid="{00000000-0005-0000-0000-000068040000}"/>
    <cellStyle name="פלט 2 3 7 3 2" xfId="2195" xr:uid="{B0A5B530-9436-4305-832B-9014BFBD2EEE}"/>
    <cellStyle name="פלט 2 3 7 4" xfId="1726" xr:uid="{8E36A910-0510-4CE2-96ED-925AF5F87C5F}"/>
    <cellStyle name="פלט 2 3 8" xfId="920" xr:uid="{00000000-0005-0000-0000-000069040000}"/>
    <cellStyle name="פלט 2 3 8 2" xfId="2070" xr:uid="{A379E320-C746-438C-97E0-688E26D4946E}"/>
    <cellStyle name="פלט 2 3 9" xfId="1601" xr:uid="{0C4CCBA7-FBF8-4617-B092-B9B336A86046}"/>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2 2 2" xfId="2330" xr:uid="{D799A463-843C-43D0-994A-A22AA6BDD85D}"/>
    <cellStyle name="פלט 2 4 2 2 3" xfId="1861" xr:uid="{A7B8B00F-BB5B-4581-AA91-8C1608842431}"/>
    <cellStyle name="פלט 2 4 2 3" xfId="1053" xr:uid="{00000000-0005-0000-0000-00006E040000}"/>
    <cellStyle name="פלט 2 4 2 3 2" xfId="2203" xr:uid="{A5EFEC19-79D1-46A9-BB17-5A206262E8D8}"/>
    <cellStyle name="פלט 2 4 2 4" xfId="1734" xr:uid="{3E4DB5B5-B64B-41A8-A695-F469DF0B07A3}"/>
    <cellStyle name="פלט 2 4 3" xfId="928" xr:uid="{00000000-0005-0000-0000-00006F040000}"/>
    <cellStyle name="פלט 2 4 3 2" xfId="2078" xr:uid="{D80F0A78-DFFB-427C-9099-861AA20E2148}"/>
    <cellStyle name="פלט 2 4 4" xfId="1609" xr:uid="{470C1DE5-3E57-4067-B022-E00EF15D5ABB}"/>
    <cellStyle name="פלט 2 5" xfId="442" xr:uid="{00000000-0005-0000-0000-000070040000}"/>
    <cellStyle name="פלט 2 5 2" xfId="577" xr:uid="{00000000-0005-0000-0000-000071040000}"/>
    <cellStyle name="פלט 2 5 2 2" xfId="1160" xr:uid="{00000000-0005-0000-0000-000072040000}"/>
    <cellStyle name="פלט 2 5 2 2 2" xfId="2310" xr:uid="{00A19585-89C9-4B85-9379-7A67C7E35A5F}"/>
    <cellStyle name="פלט 2 5 2 3" xfId="1841" xr:uid="{1DA9212C-B233-48FE-AE36-E35F6000B65E}"/>
    <cellStyle name="פלט 2 5 3" xfId="1033" xr:uid="{00000000-0005-0000-0000-000073040000}"/>
    <cellStyle name="פלט 2 5 3 2" xfId="2183" xr:uid="{83D36AE4-7827-430B-AE45-EB5F1B3F650C}"/>
    <cellStyle name="פלט 2 5 4" xfId="1714" xr:uid="{6BC4B9A2-5B46-4908-A62B-CFE175AFA3DC}"/>
    <cellStyle name="פלט 2 6" xfId="295" xr:uid="{00000000-0005-0000-0000-000074040000}"/>
    <cellStyle name="פלט 2 6 2" xfId="908" xr:uid="{00000000-0005-0000-0000-000075040000}"/>
    <cellStyle name="פלט 2 6 2 2" xfId="2058" xr:uid="{6A7CC64E-8822-4D51-B753-4E1C930F8F53}"/>
    <cellStyle name="פלט 2 6 3" xfId="1589" xr:uid="{20196474-A725-4AD5-8C47-78447B56D329}"/>
    <cellStyle name="פלט 2 7" xfId="1284" xr:uid="{00000000-0005-0000-0000-000076040000}"/>
    <cellStyle name="פלט 2 7 2" xfId="2393" xr:uid="{3A93E410-D1DE-4FF1-A4DF-FB9D3BCD9BF7}"/>
    <cellStyle name="פלט 2 8" xfId="1394" xr:uid="{E21C69F8-8CE0-458F-BE40-0BEF1A7C8556}"/>
    <cellStyle name="פלט 2 8 2" xfId="2408" xr:uid="{B7403A37-7C73-4C0A-85DE-93CC8FCB2BA5}"/>
    <cellStyle name="פלט 3" xfId="161" xr:uid="{00000000-0005-0000-0000-000077040000}"/>
    <cellStyle name="פלט 4" xfId="2405" xr:uid="{7099A2FE-1F18-4B88-89D2-C0AD17F4ED2E}"/>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2 2 2" xfId="2335" xr:uid="{19403275-9467-4AA6-8DE2-5AB7A4E46FA6}"/>
    <cellStyle name="קלט 2 2 2 2 2 2 2 3" xfId="1866" xr:uid="{BFD4AB6A-EE6B-44AB-9AA0-FBB06A79285C}"/>
    <cellStyle name="קלט 2 2 2 2 2 2 3" xfId="1058" xr:uid="{00000000-0005-0000-0000-000080040000}"/>
    <cellStyle name="קלט 2 2 2 2 2 2 3 2" xfId="2208" xr:uid="{793746F3-5C49-4F3C-816E-401335DC0070}"/>
    <cellStyle name="קלט 2 2 2 2 2 2 4" xfId="1739" xr:uid="{890FCE81-D099-482E-8C12-A48590F6C955}"/>
    <cellStyle name="קלט 2 2 2 2 2 3" xfId="933" xr:uid="{00000000-0005-0000-0000-000081040000}"/>
    <cellStyle name="קלט 2 2 2 2 2 3 2" xfId="2083" xr:uid="{96742534-D451-4106-9668-D4050E8FC0FE}"/>
    <cellStyle name="קלט 2 2 2 2 2 4" xfId="1614" xr:uid="{0FA4F00E-F5AC-48B2-AEF9-D847B472D14E}"/>
    <cellStyle name="קלט 2 2 2 2 3" xfId="466" xr:uid="{00000000-0005-0000-0000-000082040000}"/>
    <cellStyle name="קלט 2 2 2 2 3 2" xfId="601" xr:uid="{00000000-0005-0000-0000-000083040000}"/>
    <cellStyle name="קלט 2 2 2 2 3 2 2" xfId="1184" xr:uid="{00000000-0005-0000-0000-000084040000}"/>
    <cellStyle name="קלט 2 2 2 2 3 2 2 2" xfId="2334" xr:uid="{35051DF8-D545-4B45-B013-A2279536436B}"/>
    <cellStyle name="קלט 2 2 2 2 3 2 3" xfId="1865" xr:uid="{C3202D52-3A35-43F9-8BB2-1EBF75907254}"/>
    <cellStyle name="קלט 2 2 2 2 3 3" xfId="1057" xr:uid="{00000000-0005-0000-0000-000085040000}"/>
    <cellStyle name="קלט 2 2 2 2 3 3 2" xfId="2207" xr:uid="{C0F65810-70A3-43D2-8BAE-EFB8BCCE4DF4}"/>
    <cellStyle name="קלט 2 2 2 2 3 4" xfId="1738" xr:uid="{C2699818-FDA2-4A49-9FC5-DCDD7DE4E2C4}"/>
    <cellStyle name="קלט 2 2 2 2 4" xfId="932" xr:uid="{00000000-0005-0000-0000-000086040000}"/>
    <cellStyle name="קלט 2 2 2 2 4 2" xfId="2082" xr:uid="{6EED21AB-FAF0-42A7-A512-F237E05F7708}"/>
    <cellStyle name="קלט 2 2 2 2 5" xfId="1613" xr:uid="{7D5214ED-7D01-41B8-A512-C153375FF8DA}"/>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2 2 2" xfId="2337" xr:uid="{558C9D87-0182-4CBC-A63F-AC1B415DA065}"/>
    <cellStyle name="קלט 2 2 2 3 2 2 2 3" xfId="1868" xr:uid="{863EC658-21BD-46A3-870A-C65FBB25FBF6}"/>
    <cellStyle name="קלט 2 2 2 3 2 2 3" xfId="1060" xr:uid="{00000000-0005-0000-0000-00008C040000}"/>
    <cellStyle name="קלט 2 2 2 3 2 2 3 2" xfId="2210" xr:uid="{D641B21D-A82E-4DD5-BA5C-1BAD469AFCF3}"/>
    <cellStyle name="קלט 2 2 2 3 2 2 4" xfId="1741" xr:uid="{E3741AB5-1D34-4BAC-B3F4-110652C32144}"/>
    <cellStyle name="קלט 2 2 2 3 2 3" xfId="935" xr:uid="{00000000-0005-0000-0000-00008D040000}"/>
    <cellStyle name="קלט 2 2 2 3 2 3 2" xfId="2085" xr:uid="{040BB7D6-2DF4-4A1C-AD34-1A5FEB554BE0}"/>
    <cellStyle name="קלט 2 2 2 3 2 4" xfId="1616" xr:uid="{F5177F4D-66B6-4DB6-B8D9-2023A5F0859C}"/>
    <cellStyle name="קלט 2 2 2 3 3" xfId="468" xr:uid="{00000000-0005-0000-0000-00008E040000}"/>
    <cellStyle name="קלט 2 2 2 3 3 2" xfId="603" xr:uid="{00000000-0005-0000-0000-00008F040000}"/>
    <cellStyle name="קלט 2 2 2 3 3 2 2" xfId="1186" xr:uid="{00000000-0005-0000-0000-000090040000}"/>
    <cellStyle name="קלט 2 2 2 3 3 2 2 2" xfId="2336" xr:uid="{2C97BA4D-5B76-460E-A58C-6029F16A98F4}"/>
    <cellStyle name="קלט 2 2 2 3 3 2 3" xfId="1867" xr:uid="{0DFC9DAF-A75B-46C3-AA5B-74951C05E027}"/>
    <cellStyle name="קלט 2 2 2 3 3 3" xfId="1059" xr:uid="{00000000-0005-0000-0000-000091040000}"/>
    <cellStyle name="קלט 2 2 2 3 3 3 2" xfId="2209" xr:uid="{35AD5C3A-646E-4468-862C-0C52458CE047}"/>
    <cellStyle name="קלט 2 2 2 3 3 4" xfId="1740" xr:uid="{00770916-7997-4857-80E9-F98C9314D4FC}"/>
    <cellStyle name="קלט 2 2 2 3 4" xfId="934" xr:uid="{00000000-0005-0000-0000-000092040000}"/>
    <cellStyle name="קלט 2 2 2 3 4 2" xfId="2084" xr:uid="{02208E3D-E90B-4940-B4FB-82377123E91D}"/>
    <cellStyle name="קלט 2 2 2 3 5" xfId="1615" xr:uid="{74CB7DA5-07F8-42AC-8035-91BEFC2BD3EE}"/>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2 2 2" xfId="2338" xr:uid="{6169E85F-43D3-4900-AA03-44FA61A4C454}"/>
    <cellStyle name="קלט 2 2 2 4 2 2 3" xfId="1869" xr:uid="{B150CB7F-9217-4CD5-B912-87DC5E58994D}"/>
    <cellStyle name="קלט 2 2 2 4 2 3" xfId="1061" xr:uid="{00000000-0005-0000-0000-000097040000}"/>
    <cellStyle name="קלט 2 2 2 4 2 3 2" xfId="2211" xr:uid="{4925535D-5913-4BAF-8E45-74B4FEB16198}"/>
    <cellStyle name="קלט 2 2 2 4 2 4" xfId="1742" xr:uid="{ECF17E70-A6C1-4F38-8740-95D2970255A3}"/>
    <cellStyle name="קלט 2 2 2 4 3" xfId="936" xr:uid="{00000000-0005-0000-0000-000098040000}"/>
    <cellStyle name="קלט 2 2 2 4 3 2" xfId="2086" xr:uid="{FEEBB015-8DB7-47E6-A9E6-6CF53299E1C9}"/>
    <cellStyle name="קלט 2 2 2 4 4" xfId="1617" xr:uid="{D0EAB2E1-37C2-48AA-A289-3B7D7CCB2F39}"/>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2 2 2" xfId="2339" xr:uid="{D6B05E70-DFBF-4050-B465-BDB18F75CF17}"/>
    <cellStyle name="קלט 2 2 2 5 2 2 3" xfId="1870" xr:uid="{9845EA87-56B9-4384-9D5A-AB9F9270EB28}"/>
    <cellStyle name="קלט 2 2 2 5 2 3" xfId="1062" xr:uid="{00000000-0005-0000-0000-00009D040000}"/>
    <cellStyle name="קלט 2 2 2 5 2 3 2" xfId="2212" xr:uid="{6502ED85-244A-4F3E-9011-33DA7C88F734}"/>
    <cellStyle name="קלט 2 2 2 5 2 4" xfId="1743" xr:uid="{5A3909F8-86E0-4997-80D5-312D87D74F95}"/>
    <cellStyle name="קלט 2 2 2 5 3" xfId="937" xr:uid="{00000000-0005-0000-0000-00009E040000}"/>
    <cellStyle name="קלט 2 2 2 5 3 2" xfId="2087" xr:uid="{E7BB85F8-9829-4FE1-9D3E-BA9278EE99A5}"/>
    <cellStyle name="קלט 2 2 2 5 4" xfId="1618" xr:uid="{41D4A3C4-8A37-4095-A689-CF3CC53DA85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2 2 2" xfId="2340" xr:uid="{62B032A2-C0A6-4C83-80D5-3DE67ECF577E}"/>
    <cellStyle name="קלט 2 2 2 6 2 2 3" xfId="1871" xr:uid="{12AD5B9B-0379-41C1-B2F2-8B5C56CA6BA5}"/>
    <cellStyle name="קלט 2 2 2 6 2 3" xfId="1063" xr:uid="{00000000-0005-0000-0000-0000A3040000}"/>
    <cellStyle name="קלט 2 2 2 6 2 3 2" xfId="2213" xr:uid="{8950A4D5-C314-45D1-BF0D-9FBE122C4BCF}"/>
    <cellStyle name="קלט 2 2 2 6 2 4" xfId="1744" xr:uid="{1F65F96A-FDFC-4B1B-A44B-132B4BEA6BFB}"/>
    <cellStyle name="קלט 2 2 2 6 3" xfId="938" xr:uid="{00000000-0005-0000-0000-0000A4040000}"/>
    <cellStyle name="קלט 2 2 2 6 3 2" xfId="2088" xr:uid="{02CCC9B8-8137-4266-89E1-D68F4E8B28FF}"/>
    <cellStyle name="קלט 2 2 2 6 4" xfId="1619" xr:uid="{7F8E24C2-72C6-4B4C-B2C3-2C37251BA6DD}"/>
    <cellStyle name="קלט 2 2 2 7" xfId="465" xr:uid="{00000000-0005-0000-0000-0000A5040000}"/>
    <cellStyle name="קלט 2 2 2 7 2" xfId="600" xr:uid="{00000000-0005-0000-0000-0000A6040000}"/>
    <cellStyle name="קלט 2 2 2 7 2 2" xfId="1183" xr:uid="{00000000-0005-0000-0000-0000A7040000}"/>
    <cellStyle name="קלט 2 2 2 7 2 2 2" xfId="2333" xr:uid="{19726E0A-6DE9-4F4B-8BD7-2A2330CC9BC1}"/>
    <cellStyle name="קלט 2 2 2 7 2 3" xfId="1864" xr:uid="{8A888FC6-7F70-4C65-811B-0703223E5E5A}"/>
    <cellStyle name="קלט 2 2 2 7 3" xfId="1056" xr:uid="{00000000-0005-0000-0000-0000A8040000}"/>
    <cellStyle name="קלט 2 2 2 7 3 2" xfId="2206" xr:uid="{FF44FD78-423B-445C-9542-EC3B1EB302F4}"/>
    <cellStyle name="קלט 2 2 2 7 4" xfId="1737" xr:uid="{C2319ED2-C8D6-4EBC-AC4D-69E8E6533609}"/>
    <cellStyle name="קלט 2 2 2 8" xfId="931" xr:uid="{00000000-0005-0000-0000-0000A9040000}"/>
    <cellStyle name="קלט 2 2 2 8 2" xfId="2081" xr:uid="{BE6BD159-40F1-4D1B-BF79-4734192182ED}"/>
    <cellStyle name="קלט 2 2 2 9" xfId="1612" xr:uid="{8E575A43-6FC4-4DBC-B6D9-9BDA27FCD364}"/>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2 2 2" xfId="2341" xr:uid="{0FD5E11B-1575-4BA9-B150-6F6967415460}"/>
    <cellStyle name="קלט 2 2 3 2 2 3" xfId="1872" xr:uid="{609D6E1E-CC4E-4B28-9288-E04E3E5609AE}"/>
    <cellStyle name="קלט 2 2 3 2 3" xfId="1064" xr:uid="{00000000-0005-0000-0000-0000AE040000}"/>
    <cellStyle name="קלט 2 2 3 2 3 2" xfId="2214" xr:uid="{0857036C-1063-4068-8D1B-1917A52EE4A7}"/>
    <cellStyle name="קלט 2 2 3 2 4" xfId="1745" xr:uid="{FAD2D2BB-AFFA-42F3-8C59-0F0C21EFCB4E}"/>
    <cellStyle name="קלט 2 2 3 3" xfId="939" xr:uid="{00000000-0005-0000-0000-0000AF040000}"/>
    <cellStyle name="קלט 2 2 3 3 2" xfId="2089" xr:uid="{C7F7E101-B73A-4FC7-8AB8-72E5D4ED49F7}"/>
    <cellStyle name="קלט 2 2 3 4" xfId="1620" xr:uid="{51A01FEF-4830-4DA3-962A-3289A4527C5B}"/>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2 2 2" xfId="2342" xr:uid="{FF09720E-AF80-4A68-9310-2CF8D24C8752}"/>
    <cellStyle name="קלט 2 2 4 2 2 3" xfId="1873" xr:uid="{001F56E1-C9D6-4570-8CCD-6C34569A24D6}"/>
    <cellStyle name="קלט 2 2 4 2 3" xfId="1065" xr:uid="{00000000-0005-0000-0000-0000B4040000}"/>
    <cellStyle name="קלט 2 2 4 2 3 2" xfId="2215" xr:uid="{AE4964F7-55C9-4116-85EE-BE6A75A63D0B}"/>
    <cellStyle name="קלט 2 2 4 2 4" xfId="1746" xr:uid="{484B0AAD-31A6-46EC-AB00-0B9643ECE093}"/>
    <cellStyle name="קלט 2 2 4 3" xfId="940" xr:uid="{00000000-0005-0000-0000-0000B5040000}"/>
    <cellStyle name="קלט 2 2 4 3 2" xfId="2090" xr:uid="{1354DE6B-0070-4B49-8570-1921B39E2304}"/>
    <cellStyle name="קלט 2 2 4 4" xfId="1621" xr:uid="{AC62BE77-FA2E-483D-A1C6-29166205B09A}"/>
    <cellStyle name="קלט 2 2 5" xfId="464" xr:uid="{00000000-0005-0000-0000-0000B6040000}"/>
    <cellStyle name="קלט 2 2 5 2" xfId="599" xr:uid="{00000000-0005-0000-0000-0000B7040000}"/>
    <cellStyle name="קלט 2 2 5 2 2" xfId="1182" xr:uid="{00000000-0005-0000-0000-0000B8040000}"/>
    <cellStyle name="קלט 2 2 5 2 2 2" xfId="2332" xr:uid="{7D4CAD55-BE8E-4791-92E5-E93E052AC6F5}"/>
    <cellStyle name="קלט 2 2 5 2 3" xfId="1863" xr:uid="{52DC2897-5BDB-4025-8537-210352B50354}"/>
    <cellStyle name="קלט 2 2 5 3" xfId="1055" xr:uid="{00000000-0005-0000-0000-0000B9040000}"/>
    <cellStyle name="קלט 2 2 5 3 2" xfId="2205" xr:uid="{063E2D07-C459-41B1-B0C8-4B1E63803AC4}"/>
    <cellStyle name="קלט 2 2 5 4" xfId="1736" xr:uid="{A657C2C8-8359-4245-87D7-43946192A95E}"/>
    <cellStyle name="קלט 2 2 6" xfId="930" xr:uid="{00000000-0005-0000-0000-0000BA040000}"/>
    <cellStyle name="קלט 2 2 6 2" xfId="2080" xr:uid="{A4D595E8-D324-4A36-B8E8-6C06C0BAF8BC}"/>
    <cellStyle name="קלט 2 2 7" xfId="1611" xr:uid="{E1365B63-6146-46C7-BD4F-84B782E1E102}"/>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2 2 2" xfId="2345" xr:uid="{00BA626C-57E6-4282-921A-CC480721F793}"/>
    <cellStyle name="קלט 2 3 2 2 2 2 3" xfId="1876" xr:uid="{42DE8AAF-7FE1-47E1-ADFE-8FD1FD189921}"/>
    <cellStyle name="קלט 2 3 2 2 2 3" xfId="1068" xr:uid="{00000000-0005-0000-0000-0000C1040000}"/>
    <cellStyle name="קלט 2 3 2 2 2 3 2" xfId="2218" xr:uid="{15EC7809-09B6-457D-A5C5-7A7F03CF803E}"/>
    <cellStyle name="קלט 2 3 2 2 2 4" xfId="1749" xr:uid="{BAB4A987-9FC6-4D10-9650-B84BA4671787}"/>
    <cellStyle name="קלט 2 3 2 2 3" xfId="943" xr:uid="{00000000-0005-0000-0000-0000C2040000}"/>
    <cellStyle name="קלט 2 3 2 2 3 2" xfId="2093" xr:uid="{B213BF55-0BC2-41FD-B6D0-F2E7D7880BBA}"/>
    <cellStyle name="קלט 2 3 2 2 4" xfId="1624" xr:uid="{F51B72C7-6972-478E-A9ED-12DEB4F39EFC}"/>
    <cellStyle name="קלט 2 3 2 3" xfId="476" xr:uid="{00000000-0005-0000-0000-0000C3040000}"/>
    <cellStyle name="קלט 2 3 2 3 2" xfId="611" xr:uid="{00000000-0005-0000-0000-0000C4040000}"/>
    <cellStyle name="קלט 2 3 2 3 2 2" xfId="1194" xr:uid="{00000000-0005-0000-0000-0000C5040000}"/>
    <cellStyle name="קלט 2 3 2 3 2 2 2" xfId="2344" xr:uid="{3FC8E4CA-6469-4C21-83B2-4AE69417C7A5}"/>
    <cellStyle name="קלט 2 3 2 3 2 3" xfId="1875" xr:uid="{0D493E43-366E-46F2-BC43-65CC623BEDBD}"/>
    <cellStyle name="קלט 2 3 2 3 3" xfId="1067" xr:uid="{00000000-0005-0000-0000-0000C6040000}"/>
    <cellStyle name="קלט 2 3 2 3 3 2" xfId="2217" xr:uid="{7CD3F00C-0C54-4F01-8D09-959AA357D213}"/>
    <cellStyle name="קלט 2 3 2 3 4" xfId="1748" xr:uid="{8D86A8DD-1594-4E79-95B6-F81FB6595037}"/>
    <cellStyle name="קלט 2 3 2 4" xfId="942" xr:uid="{00000000-0005-0000-0000-0000C7040000}"/>
    <cellStyle name="קלט 2 3 2 4 2" xfId="2092" xr:uid="{F0DF5960-C35B-42BF-8B9B-558AC575F8DA}"/>
    <cellStyle name="קלט 2 3 2 5" xfId="1623" xr:uid="{2A3E97E3-DE86-4E78-A454-A1FE72CD86CB}"/>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2 2 2" xfId="2347" xr:uid="{06D5C419-BC5E-4861-B3A0-A0D3B682C350}"/>
    <cellStyle name="קלט 2 3 3 2 2 2 3" xfId="1878" xr:uid="{1826C453-A1E5-46BB-8A39-683F4F50FFC1}"/>
    <cellStyle name="קלט 2 3 3 2 2 3" xfId="1070" xr:uid="{00000000-0005-0000-0000-0000CD040000}"/>
    <cellStyle name="קלט 2 3 3 2 2 3 2" xfId="2220" xr:uid="{CBB84479-7C68-4281-8A7D-BAF26238303E}"/>
    <cellStyle name="קלט 2 3 3 2 2 4" xfId="1751" xr:uid="{03DF42DF-A9EF-48B9-86CB-7A290536F786}"/>
    <cellStyle name="קלט 2 3 3 2 3" xfId="945" xr:uid="{00000000-0005-0000-0000-0000CE040000}"/>
    <cellStyle name="קלט 2 3 3 2 3 2" xfId="2095" xr:uid="{0EF3095B-0E0A-4CEE-A5C9-D09BFEA585AF}"/>
    <cellStyle name="קלט 2 3 3 2 4" xfId="1626" xr:uid="{2865EA03-209F-4F9A-BA03-9FE13BDF9424}"/>
    <cellStyle name="קלט 2 3 3 3" xfId="478" xr:uid="{00000000-0005-0000-0000-0000CF040000}"/>
    <cellStyle name="קלט 2 3 3 3 2" xfId="613" xr:uid="{00000000-0005-0000-0000-0000D0040000}"/>
    <cellStyle name="קלט 2 3 3 3 2 2" xfId="1196" xr:uid="{00000000-0005-0000-0000-0000D1040000}"/>
    <cellStyle name="קלט 2 3 3 3 2 2 2" xfId="2346" xr:uid="{8887F092-7B01-440D-84D3-BBFF97309063}"/>
    <cellStyle name="קלט 2 3 3 3 2 3" xfId="1877" xr:uid="{E0CCEC87-1113-44CC-A387-81DB2F91E0E1}"/>
    <cellStyle name="קלט 2 3 3 3 3" xfId="1069" xr:uid="{00000000-0005-0000-0000-0000D2040000}"/>
    <cellStyle name="קלט 2 3 3 3 3 2" xfId="2219" xr:uid="{548AB1A1-356B-430A-BA79-EE74D0695DD8}"/>
    <cellStyle name="קלט 2 3 3 3 4" xfId="1750" xr:uid="{152589AC-42D1-4B69-9040-59870511233F}"/>
    <cellStyle name="קלט 2 3 3 4" xfId="944" xr:uid="{00000000-0005-0000-0000-0000D3040000}"/>
    <cellStyle name="קלט 2 3 3 4 2" xfId="2094" xr:uid="{1E69291D-EA07-473A-B3F7-26DBFFD08150}"/>
    <cellStyle name="קלט 2 3 3 5" xfId="1625" xr:uid="{58EBF562-B3DC-4CEF-A1D3-6B9E8AEC6B76}"/>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2 2 2" xfId="2348" xr:uid="{A8690CC0-82A5-450E-BEA2-B506D8BE3251}"/>
    <cellStyle name="קלט 2 3 4 2 2 3" xfId="1879" xr:uid="{81078379-82EF-4CC2-8356-4A65794E8E98}"/>
    <cellStyle name="קלט 2 3 4 2 3" xfId="1071" xr:uid="{00000000-0005-0000-0000-0000D8040000}"/>
    <cellStyle name="קלט 2 3 4 2 3 2" xfId="2221" xr:uid="{F233B52B-818C-435F-81B7-3C8B6F601D95}"/>
    <cellStyle name="קלט 2 3 4 2 4" xfId="1752" xr:uid="{37D7D8DB-79E5-4C87-BCA5-F49C4082BC70}"/>
    <cellStyle name="קלט 2 3 4 3" xfId="946" xr:uid="{00000000-0005-0000-0000-0000D9040000}"/>
    <cellStyle name="קלט 2 3 4 3 2" xfId="2096" xr:uid="{50C8DD4D-2E94-4688-A18A-BA6B9E747281}"/>
    <cellStyle name="קלט 2 3 4 4" xfId="1627" xr:uid="{0976A3DA-8401-498C-ADD5-20504476AE1D}"/>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2 2 2" xfId="2349" xr:uid="{3F422E9B-6F4F-4FD5-8030-AAF05DAA3A32}"/>
    <cellStyle name="קלט 2 3 5 2 2 3" xfId="1880" xr:uid="{BFC8CA0B-B3FF-4902-A6E2-5D18A5F633A4}"/>
    <cellStyle name="קלט 2 3 5 2 3" xfId="1072" xr:uid="{00000000-0005-0000-0000-0000DE040000}"/>
    <cellStyle name="קלט 2 3 5 2 3 2" xfId="2222" xr:uid="{90EE142D-3F74-417C-A8FF-3193F1F5C438}"/>
    <cellStyle name="קלט 2 3 5 2 4" xfId="1753" xr:uid="{D210A8CA-9EE1-4673-AF6B-402B1B7D5F39}"/>
    <cellStyle name="קלט 2 3 5 3" xfId="947" xr:uid="{00000000-0005-0000-0000-0000DF040000}"/>
    <cellStyle name="קלט 2 3 5 3 2" xfId="2097" xr:uid="{4B2A4EB4-3522-43DB-A7F4-C6A05D6571FE}"/>
    <cellStyle name="קלט 2 3 5 4" xfId="1628" xr:uid="{756D9925-8847-493F-A780-C9CAD8DA69DB}"/>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2 2 2" xfId="2350" xr:uid="{A69F6D97-904B-4F4E-8375-ED49342D5B36}"/>
    <cellStyle name="קלט 2 3 6 2 2 3" xfId="1881" xr:uid="{64BC1C8E-9DC8-40E3-B877-C3364EBAF0D7}"/>
    <cellStyle name="קלט 2 3 6 2 3" xfId="1073" xr:uid="{00000000-0005-0000-0000-0000E4040000}"/>
    <cellStyle name="קלט 2 3 6 2 3 2" xfId="2223" xr:uid="{EC9840A3-4C66-45A6-B7E1-58644A1697BB}"/>
    <cellStyle name="קלט 2 3 6 2 4" xfId="1754" xr:uid="{8C4E8CF8-368A-4E5B-8167-2CBEC757DF67}"/>
    <cellStyle name="קלט 2 3 6 3" xfId="948" xr:uid="{00000000-0005-0000-0000-0000E5040000}"/>
    <cellStyle name="קלט 2 3 6 3 2" xfId="2098" xr:uid="{7DBF20B2-C922-40F8-99F1-03920025D35D}"/>
    <cellStyle name="קלט 2 3 6 4" xfId="1629" xr:uid="{599DB24D-0970-49B5-9FD2-BD9D4B41BFA3}"/>
    <cellStyle name="קלט 2 3 7" xfId="475" xr:uid="{00000000-0005-0000-0000-0000E6040000}"/>
    <cellStyle name="קלט 2 3 7 2" xfId="610" xr:uid="{00000000-0005-0000-0000-0000E7040000}"/>
    <cellStyle name="קלט 2 3 7 2 2" xfId="1193" xr:uid="{00000000-0005-0000-0000-0000E8040000}"/>
    <cellStyle name="קלט 2 3 7 2 2 2" xfId="2343" xr:uid="{7B1A858E-5F6E-47E4-A5A7-EDBA97E15907}"/>
    <cellStyle name="קלט 2 3 7 2 3" xfId="1874" xr:uid="{7B57DD4B-A508-4197-8BC8-FDB96FF34500}"/>
    <cellStyle name="קלט 2 3 7 3" xfId="1066" xr:uid="{00000000-0005-0000-0000-0000E9040000}"/>
    <cellStyle name="קלט 2 3 7 3 2" xfId="2216" xr:uid="{776EC8EA-A085-4F5D-8FFF-A3A7E45A763E}"/>
    <cellStyle name="קלט 2 3 7 4" xfId="1747" xr:uid="{171F58CD-0DD7-428C-BF48-7AE7141D7257}"/>
    <cellStyle name="קלט 2 3 8" xfId="941" xr:uid="{00000000-0005-0000-0000-0000EA040000}"/>
    <cellStyle name="קלט 2 3 8 2" xfId="2091" xr:uid="{8E98ECAE-0694-4BC8-A33A-6ACBE058971D}"/>
    <cellStyle name="קלט 2 3 9" xfId="1622" xr:uid="{7CFE4774-D45F-49C2-9987-3594CE4BD502}"/>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2 2 2" xfId="2351" xr:uid="{4D5658B9-4284-498D-BD81-031151BE0717}"/>
    <cellStyle name="קלט 2 4 2 2 3" xfId="1882" xr:uid="{CFD67666-B30E-4190-84F9-CBF333527EC6}"/>
    <cellStyle name="קלט 2 4 2 3" xfId="1074" xr:uid="{00000000-0005-0000-0000-0000EF040000}"/>
    <cellStyle name="קלט 2 4 2 3 2" xfId="2224" xr:uid="{A7B92438-F6EF-4405-A916-9396FD62B21B}"/>
    <cellStyle name="קלט 2 4 2 4" xfId="1755" xr:uid="{024BFD4C-4F08-4FBF-B2BE-562552B2D9D0}"/>
    <cellStyle name="קלט 2 4 3" xfId="949" xr:uid="{00000000-0005-0000-0000-0000F0040000}"/>
    <cellStyle name="קלט 2 4 3 2" xfId="2099" xr:uid="{2F9CF688-CCAD-444A-8A96-A3DB607B2DE9}"/>
    <cellStyle name="קלט 2 4 4" xfId="1630" xr:uid="{1BB31D30-1F0E-4888-BF8D-57C30EB13E4F}"/>
    <cellStyle name="קלט 2 5" xfId="463" xr:uid="{00000000-0005-0000-0000-0000F1040000}"/>
    <cellStyle name="קלט 2 5 2" xfId="598" xr:uid="{00000000-0005-0000-0000-0000F2040000}"/>
    <cellStyle name="קלט 2 5 2 2" xfId="1181" xr:uid="{00000000-0005-0000-0000-0000F3040000}"/>
    <cellStyle name="קלט 2 5 2 2 2" xfId="2331" xr:uid="{6204886B-14E1-420E-B0CC-C4DE33E174A2}"/>
    <cellStyle name="קלט 2 5 2 3" xfId="1862" xr:uid="{E6CF5163-7483-4A6C-9B49-B6AB6A23D06B}"/>
    <cellStyle name="קלט 2 5 3" xfId="1054" xr:uid="{00000000-0005-0000-0000-0000F4040000}"/>
    <cellStyle name="קלט 2 5 3 2" xfId="2204" xr:uid="{C2F5E266-C90F-4C01-B8A9-2D9AA4F0164D}"/>
    <cellStyle name="קלט 2 5 4" xfId="1735" xr:uid="{5DF98E17-EF4D-4F10-9FE8-D2CF9C2390CC}"/>
    <cellStyle name="קלט 2 6" xfId="316" xr:uid="{00000000-0005-0000-0000-0000F5040000}"/>
    <cellStyle name="קלט 2 6 2" xfId="929" xr:uid="{00000000-0005-0000-0000-0000F6040000}"/>
    <cellStyle name="קלט 2 6 2 2" xfId="2079" xr:uid="{4E6945AC-8E42-400F-88A1-6E915A14225F}"/>
    <cellStyle name="קלט 2 6 3" xfId="1610" xr:uid="{91EA31E9-293E-4E36-B8A1-EC4DF2FC3151}"/>
    <cellStyle name="קלט 2 7" xfId="1285" xr:uid="{00000000-0005-0000-0000-0000F7040000}"/>
    <cellStyle name="קלט 2 7 2" xfId="2394" xr:uid="{B641DB6B-AEFB-457D-BA8F-91D4E1E1BC16}"/>
    <cellStyle name="קלט 2 8" xfId="1395" xr:uid="{81A21F47-24EF-4771-97F8-D4CC98E24AD0}"/>
    <cellStyle name="קלט 2 8 2" xfId="2409" xr:uid="{CE1070C8-8FD8-4F50-A04D-D0931D1E7792}"/>
    <cellStyle name="קלט 3" xfId="163" xr:uid="{00000000-0005-0000-0000-0000F8040000}"/>
    <cellStyle name="קלט 4" xfId="2411" xr:uid="{19DF29A6-03C4-4AD5-9CF3-E75AB39FDB66}"/>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2 2 2" xfId="2246" xr:uid="{72512BA7-B973-44E3-831C-0D239BD65BDF}"/>
    <cellStyle name="רון 2 2 3" xfId="1777" xr:uid="{0CC71259-1C03-43AB-949F-F8A9779E822D}"/>
    <cellStyle name="רון 2 3" xfId="959" xr:uid="{00000000-0005-0000-0000-0000FD040000}"/>
    <cellStyle name="רון 2 3 2" xfId="2109" xr:uid="{5CC2F7DA-574F-49B5-84D1-7A3CBA191F6C}"/>
    <cellStyle name="רון 2 4" xfId="1640" xr:uid="{999A0C80-F7A2-4A15-BB7F-509AE168EEF8}"/>
    <cellStyle name="רון 3" xfId="491" xr:uid="{00000000-0005-0000-0000-0000FE040000}"/>
    <cellStyle name="רון 3 2" xfId="619" xr:uid="{00000000-0005-0000-0000-0000FF040000}"/>
    <cellStyle name="רון 3 2 2" xfId="1202" xr:uid="{00000000-0005-0000-0000-000000050000}"/>
    <cellStyle name="רון 3 2 2 2" xfId="2352" xr:uid="{B384FF21-4828-4629-9560-CEA38A7E444A}"/>
    <cellStyle name="רון 3 2 3" xfId="1883" xr:uid="{D3DC117E-AE84-4AFF-952A-6F3E78418FFF}"/>
    <cellStyle name="רון 3 3" xfId="1082" xr:uid="{00000000-0005-0000-0000-000001050000}"/>
    <cellStyle name="רון 3 3 2" xfId="2232" xr:uid="{D1D96D34-0682-4BAB-A28F-D45EA4DCE98D}"/>
    <cellStyle name="רון 3 4" xfId="1763" xr:uid="{07FF893A-0E2E-4BBA-9E53-CBF3BF9145D2}"/>
    <cellStyle name="רון 4" xfId="504" xr:uid="{00000000-0005-0000-0000-000002050000}"/>
    <cellStyle name="רון 4 2" xfId="620" xr:uid="{00000000-0005-0000-0000-000003050000}"/>
    <cellStyle name="רון 4 2 2" xfId="1203" xr:uid="{00000000-0005-0000-0000-000004050000}"/>
    <cellStyle name="רון 4 2 2 2" xfId="2353" xr:uid="{8CF46533-00A9-45C9-BC2F-3730449D3A80}"/>
    <cellStyle name="רון 4 2 3" xfId="1884" xr:uid="{17DD131A-4C84-4823-B8C0-24E61F187C83}"/>
    <cellStyle name="רון 4 3" xfId="1095" xr:uid="{00000000-0005-0000-0000-000005050000}"/>
    <cellStyle name="רון 4 3 2" xfId="2245" xr:uid="{116FC3D7-DCDC-4C98-8BD4-5787064D0D54}"/>
    <cellStyle name="רון 4 4" xfId="1776" xr:uid="{90FB2677-2625-468D-A3E5-35A0DE0B0DC1}"/>
    <cellStyle name="רון 5" xfId="957" xr:uid="{00000000-0005-0000-0000-000006050000}"/>
    <cellStyle name="רון 5 2" xfId="2107" xr:uid="{94001326-6D53-4BF7-A62B-97D9985667BC}"/>
    <cellStyle name="רון 6" xfId="1638" xr:uid="{40FCB03C-959A-4E4C-89C5-DDEDE84C758B}"/>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4"/>
  <cols>
    <col min="1" max="1" width="24.33203125" customWidth="1"/>
    <col min="2" max="2" width="18.88671875" bestFit="1" customWidth="1"/>
    <col min="3" max="3" width="18" bestFit="1" customWidth="1"/>
    <col min="4" max="4" width="22.33203125" bestFit="1" customWidth="1"/>
    <col min="5" max="6" width="18" bestFit="1" customWidth="1"/>
    <col min="7" max="7" width="14.109375" bestFit="1" customWidth="1"/>
    <col min="8" max="8" width="13.109375" bestFit="1" customWidth="1"/>
    <col min="9" max="9" width="22.88671875" customWidth="1"/>
    <col min="10" max="10" width="14.21875" bestFit="1" customWidth="1"/>
    <col min="11" max="11" width="57" bestFit="1" customWidth="1"/>
    <col min="12" max="14" width="14.21875" bestFit="1" customWidth="1"/>
    <col min="15" max="15" width="15.77734375" bestFit="1" customWidth="1"/>
    <col min="16" max="16" width="10.21875" bestFit="1" customWidth="1"/>
    <col min="17" max="17" width="35.109375" customWidth="1"/>
  </cols>
  <sheetData>
    <row r="1" spans="1:23" ht="19.5" customHeight="1" thickBot="1">
      <c r="A1" s="877" t="s">
        <v>17</v>
      </c>
      <c r="B1" s="878"/>
      <c r="C1" s="878"/>
      <c r="D1" s="878"/>
      <c r="E1" s="878"/>
      <c r="F1" s="878"/>
      <c r="G1" s="878"/>
      <c r="H1" s="878"/>
      <c r="I1" s="878"/>
      <c r="J1" s="878"/>
      <c r="K1" s="878"/>
      <c r="L1" s="878"/>
      <c r="M1" s="878"/>
      <c r="N1" s="878"/>
      <c r="O1" s="878"/>
    </row>
    <row r="2" spans="1:23">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2"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8">
        <v>1.1000000000000001</v>
      </c>
    </row>
    <row r="6" spans="1:23" ht="15" thickBot="1">
      <c r="A6" s="8" t="s">
        <v>18</v>
      </c>
      <c r="B6" s="815">
        <v>3469587396.934247</v>
      </c>
      <c r="C6" s="9">
        <v>0</v>
      </c>
      <c r="D6" s="9">
        <v>0</v>
      </c>
      <c r="E6" s="9">
        <v>0</v>
      </c>
      <c r="F6" s="9">
        <v>0</v>
      </c>
      <c r="G6" s="9">
        <v>0</v>
      </c>
      <c r="H6" s="9">
        <v>0</v>
      </c>
      <c r="I6" s="9">
        <v>0</v>
      </c>
      <c r="J6" s="9">
        <v>0</v>
      </c>
      <c r="K6" s="9">
        <v>0</v>
      </c>
      <c r="L6" s="9">
        <v>0</v>
      </c>
      <c r="M6" s="9">
        <v>0</v>
      </c>
      <c r="N6" s="9">
        <v>0</v>
      </c>
      <c r="O6" s="9">
        <v>0</v>
      </c>
    </row>
    <row r="7" spans="1:23">
      <c r="A7" s="8" t="s">
        <v>19</v>
      </c>
      <c r="B7" s="9">
        <v>0</v>
      </c>
      <c r="C7" s="9">
        <v>0</v>
      </c>
      <c r="D7" s="9">
        <v>0</v>
      </c>
      <c r="E7" s="9">
        <v>0</v>
      </c>
      <c r="F7" s="9">
        <v>0</v>
      </c>
      <c r="G7" s="9">
        <v>0</v>
      </c>
      <c r="H7" s="9">
        <v>0</v>
      </c>
      <c r="I7" s="9">
        <v>0</v>
      </c>
      <c r="J7" s="9">
        <v>0</v>
      </c>
      <c r="K7" s="9">
        <v>0</v>
      </c>
      <c r="L7" s="9">
        <v>0</v>
      </c>
      <c r="M7" s="9">
        <v>0</v>
      </c>
      <c r="N7" s="9">
        <v>0</v>
      </c>
      <c r="O7" s="9">
        <v>0</v>
      </c>
    </row>
    <row r="8" spans="1:23" ht="29.4"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899999999999999" customHeight="1" thickBot="1">
      <c r="A11" s="879" t="s">
        <v>49</v>
      </c>
      <c r="B11" s="880"/>
      <c r="C11" s="880"/>
      <c r="D11" s="880"/>
      <c r="E11" s="880"/>
      <c r="F11" s="881"/>
      <c r="G11" s="11"/>
      <c r="H11" s="882" t="s">
        <v>64</v>
      </c>
      <c r="I11" s="883"/>
      <c r="J11" s="883"/>
      <c r="K11" s="883"/>
      <c r="L11" s="883"/>
      <c r="M11" s="883"/>
      <c r="N11" s="883"/>
      <c r="O11" s="883"/>
      <c r="P11" s="884"/>
    </row>
    <row r="12" spans="1:23" ht="28.8">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29.4"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28.8">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899999999999999"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29.4"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79">
        <v>2017</v>
      </c>
      <c r="B21" s="880"/>
      <c r="C21" s="880"/>
      <c r="D21" s="880"/>
      <c r="E21" s="880"/>
      <c r="F21" s="881"/>
      <c r="H21" s="885" t="s">
        <v>451</v>
      </c>
      <c r="I21" s="886"/>
      <c r="K21" s="837" t="s">
        <v>1616</v>
      </c>
    </row>
    <row r="22" spans="1:16" ht="28.8">
      <c r="A22" s="5"/>
      <c r="B22" s="6" t="s">
        <v>51</v>
      </c>
      <c r="C22" s="6" t="s">
        <v>52</v>
      </c>
      <c r="D22" s="6" t="s">
        <v>53</v>
      </c>
      <c r="E22" s="6" t="s">
        <v>54</v>
      </c>
      <c r="F22" s="7" t="s">
        <v>55</v>
      </c>
      <c r="H22" s="462" t="s">
        <v>24</v>
      </c>
      <c r="I22" s="661">
        <v>0.20150000000000001</v>
      </c>
      <c r="K22">
        <v>35</v>
      </c>
    </row>
    <row r="23" spans="1:16">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452</v>
      </c>
      <c r="I23">
        <v>0.9</v>
      </c>
    </row>
    <row r="24" spans="1:16">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76" t="s">
        <v>64</v>
      </c>
      <c r="I27" s="876"/>
      <c r="J27" s="876"/>
      <c r="K27" s="876"/>
      <c r="L27" s="876"/>
    </row>
    <row r="28" spans="1:16" ht="28.8">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29.4"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4"/>
  <cols>
    <col min="1" max="1" width="12.77734375" bestFit="1" customWidth="1"/>
    <col min="2" max="2" width="13.6640625" customWidth="1"/>
    <col min="3" max="3" width="13.109375" bestFit="1" customWidth="1"/>
    <col min="4" max="4" width="12" bestFit="1" customWidth="1"/>
    <col min="5" max="5" width="16.88671875" bestFit="1" customWidth="1"/>
    <col min="6" max="6" width="28.21875" customWidth="1"/>
    <col min="8" max="8" width="28.33203125" bestFit="1" customWidth="1"/>
    <col min="9" max="9" width="9.88671875" customWidth="1"/>
    <col min="14" max="14" width="52.88671875" bestFit="1" customWidth="1"/>
    <col min="15" max="15" width="34" bestFit="1" customWidth="1"/>
    <col min="16" max="16" width="22.6640625" customWidth="1"/>
  </cols>
  <sheetData>
    <row r="1" spans="1:16" ht="29.4" thickBot="1">
      <c r="A1" s="730"/>
      <c r="B1" s="731" t="s">
        <v>1527</v>
      </c>
      <c r="C1" s="732" t="s">
        <v>1526</v>
      </c>
      <c r="D1" t="s">
        <v>44</v>
      </c>
      <c r="E1" t="s">
        <v>45</v>
      </c>
      <c r="H1" s="759"/>
      <c r="I1" s="760" t="s">
        <v>1527</v>
      </c>
      <c r="J1" s="760" t="s">
        <v>1526</v>
      </c>
      <c r="K1" t="s">
        <v>1567</v>
      </c>
      <c r="N1" t="s">
        <v>1570</v>
      </c>
      <c r="O1" t="s">
        <v>1604</v>
      </c>
      <c r="P1" t="s">
        <v>1571</v>
      </c>
    </row>
    <row r="2" spans="1:16">
      <c r="A2" s="733">
        <v>2017</v>
      </c>
      <c r="B2" s="728">
        <v>11</v>
      </c>
      <c r="C2" s="734">
        <v>9</v>
      </c>
      <c r="D2">
        <f>$O$15</f>
        <v>0.68063608294695532</v>
      </c>
      <c r="E2">
        <f t="shared" ref="E2:E16" si="0">(($O$5+$O$11)*$S$41+$O$19*$S$39+$O$14*$S$42+$O$29*$S$43)</f>
        <v>0.19413595038571463</v>
      </c>
      <c r="H2" s="761" t="s">
        <v>1558</v>
      </c>
      <c r="I2" s="762">
        <v>0.80164874544682474</v>
      </c>
      <c r="J2" s="763">
        <v>0.53718040604259099</v>
      </c>
      <c r="K2" t="s">
        <v>1568</v>
      </c>
      <c r="N2" t="s">
        <v>1572</v>
      </c>
      <c r="O2" s="802">
        <v>3.5051527600166668</v>
      </c>
      <c r="P2">
        <v>0</v>
      </c>
    </row>
    <row r="3" spans="1:16">
      <c r="A3" s="733">
        <v>2018</v>
      </c>
      <c r="B3" s="728">
        <v>11</v>
      </c>
      <c r="C3" s="734">
        <v>9</v>
      </c>
      <c r="D3">
        <f t="shared" ref="D3:D35" si="1">$O$15</f>
        <v>0.68063608294695532</v>
      </c>
      <c r="E3">
        <f t="shared" si="0"/>
        <v>0.19413595038571463</v>
      </c>
      <c r="H3" s="764" t="s">
        <v>1559</v>
      </c>
      <c r="I3" s="765">
        <v>4.6396038926480053E-2</v>
      </c>
      <c r="J3" s="766">
        <v>0.10825742416178678</v>
      </c>
      <c r="K3" t="s">
        <v>1569</v>
      </c>
      <c r="N3" t="s">
        <v>1573</v>
      </c>
      <c r="O3" s="802">
        <v>0.98910470428571429</v>
      </c>
      <c r="P3">
        <v>0</v>
      </c>
    </row>
    <row r="4" spans="1:16">
      <c r="A4" s="733">
        <v>2019</v>
      </c>
      <c r="B4" s="728">
        <v>11</v>
      </c>
      <c r="C4" s="734">
        <v>9</v>
      </c>
      <c r="D4">
        <f t="shared" si="1"/>
        <v>0.68063608294695532</v>
      </c>
      <c r="E4">
        <f t="shared" si="0"/>
        <v>0.19413595038571463</v>
      </c>
      <c r="H4" s="764" t="s">
        <v>1560</v>
      </c>
      <c r="I4" s="765">
        <v>4.6396038926480053E-2</v>
      </c>
      <c r="J4" s="766">
        <v>0.10825742416178678</v>
      </c>
      <c r="K4" t="s">
        <v>1569</v>
      </c>
      <c r="N4" t="s">
        <v>1574</v>
      </c>
      <c r="O4" s="802">
        <v>0.50803224630769228</v>
      </c>
      <c r="P4">
        <v>0</v>
      </c>
    </row>
    <row r="5" spans="1:16">
      <c r="A5" s="733">
        <v>2020</v>
      </c>
      <c r="B5" s="728">
        <v>11</v>
      </c>
      <c r="C5" s="734">
        <v>9</v>
      </c>
      <c r="D5">
        <f t="shared" si="1"/>
        <v>0.68063608294695532</v>
      </c>
      <c r="E5">
        <f t="shared" si="0"/>
        <v>0.19413595038571463</v>
      </c>
      <c r="H5" s="764" t="s">
        <v>1561</v>
      </c>
      <c r="I5" s="765">
        <v>4.6396038926480053E-2</v>
      </c>
      <c r="J5" s="766">
        <v>0.10825742416178678</v>
      </c>
      <c r="K5" t="s">
        <v>1569</v>
      </c>
      <c r="N5" s="801" t="s">
        <v>1575</v>
      </c>
      <c r="O5" s="802">
        <v>0.92310915834399054</v>
      </c>
      <c r="P5" s="801">
        <v>367.21999999999997</v>
      </c>
    </row>
    <row r="6" spans="1:16">
      <c r="A6" s="733">
        <v>2021</v>
      </c>
      <c r="B6" s="729">
        <v>10.826771653543307</v>
      </c>
      <c r="C6" s="725">
        <v>8.8582677165354333</v>
      </c>
      <c r="D6">
        <f t="shared" si="1"/>
        <v>0.68063608294695532</v>
      </c>
      <c r="E6">
        <f t="shared" si="0"/>
        <v>0.19413595038571463</v>
      </c>
      <c r="H6" s="764" t="s">
        <v>1562</v>
      </c>
      <c r="I6" s="765">
        <v>5.9163137773735094E-2</v>
      </c>
      <c r="J6" s="766">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I8">
        <f>0.7*I2</f>
        <v>0.56115412181277724</v>
      </c>
      <c r="J8">
        <f>0.7*J2</f>
        <v>0.37602628422981366</v>
      </c>
      <c r="N8" t="s">
        <v>1578</v>
      </c>
      <c r="O8">
        <v>4.5562195754851598E-2</v>
      </c>
      <c r="P8">
        <v>0</v>
      </c>
    </row>
    <row r="9" spans="1:16">
      <c r="A9" s="733">
        <v>2024</v>
      </c>
      <c r="B9" s="729">
        <v>10.323283480592629</v>
      </c>
      <c r="C9" s="725">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3">
        <v>2025</v>
      </c>
      <c r="B10" s="729">
        <v>10.160712087197469</v>
      </c>
      <c r="C10" s="725">
        <v>8.313309889525204</v>
      </c>
      <c r="D10">
        <f t="shared" si="1"/>
        <v>0.68063608294695532</v>
      </c>
      <c r="E10">
        <f t="shared" si="0"/>
        <v>0.19413595038571463</v>
      </c>
      <c r="I10">
        <f t="shared" si="2"/>
        <v>3.2477227248536036E-2</v>
      </c>
      <c r="J10">
        <f t="shared" si="2"/>
        <v>7.5780196913250747E-2</v>
      </c>
      <c r="N10" t="s">
        <v>1580</v>
      </c>
      <c r="P10">
        <v>0</v>
      </c>
    </row>
    <row r="11" spans="1:16">
      <c r="A11" s="733">
        <v>2026</v>
      </c>
      <c r="B11" s="729">
        <v>10.000700873225854</v>
      </c>
      <c r="C11" s="725">
        <v>8.1823916235484297</v>
      </c>
      <c r="D11">
        <f t="shared" si="1"/>
        <v>0.68063608294695532</v>
      </c>
      <c r="E11">
        <f t="shared" si="0"/>
        <v>0.19413595038571463</v>
      </c>
      <c r="I11">
        <f t="shared" si="2"/>
        <v>3.2477227248536036E-2</v>
      </c>
      <c r="J11">
        <f t="shared" si="2"/>
        <v>7.5780196913250747E-2</v>
      </c>
      <c r="N11" s="801" t="s">
        <v>1581</v>
      </c>
      <c r="O11" s="802">
        <v>0.55464907316176471</v>
      </c>
      <c r="P11" s="801">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c r="A14" s="733">
        <v>2029</v>
      </c>
      <c r="B14" s="729">
        <v>9.5356282946203166</v>
      </c>
      <c r="C14" s="725">
        <v>7.8018776955984439</v>
      </c>
      <c r="D14">
        <f t="shared" si="1"/>
        <v>0.68063608294695532</v>
      </c>
      <c r="E14">
        <f t="shared" si="0"/>
        <v>0.19413595038571463</v>
      </c>
      <c r="N14" s="801" t="s">
        <v>1584</v>
      </c>
      <c r="O14" s="802">
        <v>0.63751326028738309</v>
      </c>
      <c r="P14" s="801">
        <v>4.8</v>
      </c>
    </row>
    <row r="15" spans="1:16">
      <c r="A15" s="733">
        <v>2030</v>
      </c>
      <c r="B15" s="729">
        <v>9.3854609199018864</v>
      </c>
      <c r="C15" s="725">
        <v>7.6790134799197283</v>
      </c>
      <c r="D15">
        <f t="shared" si="1"/>
        <v>0.68063608294695532</v>
      </c>
      <c r="E15">
        <f t="shared" si="0"/>
        <v>0.19413595038571463</v>
      </c>
      <c r="N15" t="s">
        <v>1585</v>
      </c>
      <c r="O15" s="802">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3">(($O$5+$O$11)*$S$41+$O$19*$S$39+$O$14*$S$42+$O$29*$S$43)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3"/>
        <v>0.19413595038571463</v>
      </c>
      <c r="N18" t="s">
        <v>1588</v>
      </c>
      <c r="O18">
        <v>0.11760626242009133</v>
      </c>
      <c r="P18">
        <v>89.933333333333337</v>
      </c>
    </row>
    <row r="19" spans="1:16" ht="15" thickBot="1">
      <c r="A19" s="733">
        <v>2034</v>
      </c>
      <c r="B19" s="736">
        <v>9.237658385730203</v>
      </c>
      <c r="C19" s="726">
        <v>7.5580841337792597</v>
      </c>
      <c r="D19">
        <f t="shared" si="1"/>
        <v>0.68063608294695532</v>
      </c>
      <c r="E19">
        <f t="shared" si="3"/>
        <v>0.19413595038571463</v>
      </c>
      <c r="N19" s="801" t="s">
        <v>1589</v>
      </c>
      <c r="O19" s="802">
        <v>0.13907325831749173</v>
      </c>
      <c r="P19" s="801">
        <v>218.67777777777778</v>
      </c>
    </row>
    <row r="20" spans="1:16" ht="15" thickBot="1">
      <c r="A20" s="733">
        <v>2035</v>
      </c>
      <c r="B20" s="736">
        <v>9.237658385730203</v>
      </c>
      <c r="C20" s="726">
        <v>7.5580841337792597</v>
      </c>
      <c r="D20">
        <f t="shared" si="1"/>
        <v>0.68063608294695532</v>
      </c>
      <c r="E20">
        <f t="shared" si="3"/>
        <v>0.19413595038571463</v>
      </c>
      <c r="N20" t="s">
        <v>1590</v>
      </c>
      <c r="O20">
        <v>1.2577542030141036E-2</v>
      </c>
      <c r="P20">
        <v>442.2</v>
      </c>
    </row>
    <row r="21" spans="1:16" ht="15" thickBot="1">
      <c r="A21" s="733">
        <v>2036</v>
      </c>
      <c r="B21" s="736">
        <v>9.237658385730203</v>
      </c>
      <c r="C21" s="726">
        <v>7.5580841337792597</v>
      </c>
      <c r="D21">
        <f t="shared" si="1"/>
        <v>0.68063608294695532</v>
      </c>
      <c r="E21">
        <f t="shared" si="3"/>
        <v>0.19413595038571463</v>
      </c>
      <c r="N21" t="s">
        <v>1591</v>
      </c>
      <c r="O21">
        <v>1.2296446583391874E-2</v>
      </c>
      <c r="P21">
        <v>1200.8</v>
      </c>
    </row>
    <row r="22" spans="1:16" ht="15" thickBot="1">
      <c r="A22" s="733">
        <v>2037</v>
      </c>
      <c r="B22" s="736">
        <v>9.237658385730203</v>
      </c>
      <c r="C22" s="726">
        <v>7.5580841337792597</v>
      </c>
      <c r="D22">
        <f t="shared" si="1"/>
        <v>0.68063608294695532</v>
      </c>
      <c r="E22">
        <f t="shared" si="3"/>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3"/>
        <v>0.19413595038571463</v>
      </c>
      <c r="N23" t="s">
        <v>1593</v>
      </c>
      <c r="O23">
        <v>6.7512796088542489E-3</v>
      </c>
      <c r="P23">
        <v>0</v>
      </c>
    </row>
    <row r="24" spans="1:16" ht="15" thickBot="1">
      <c r="A24" s="733">
        <v>2039</v>
      </c>
      <c r="B24" s="736">
        <v>9.237658385730203</v>
      </c>
      <c r="C24" s="726">
        <v>7.5580841337792597</v>
      </c>
      <c r="D24">
        <f t="shared" si="1"/>
        <v>0.68063608294695532</v>
      </c>
      <c r="E24">
        <f t="shared" si="3"/>
        <v>0.19413595038571463</v>
      </c>
      <c r="N24" t="s">
        <v>1594</v>
      </c>
      <c r="O24">
        <v>1.7340537136635963E-2</v>
      </c>
      <c r="P24">
        <v>0</v>
      </c>
    </row>
    <row r="25" spans="1:16" ht="15" thickBot="1">
      <c r="A25" s="733">
        <v>2040</v>
      </c>
      <c r="B25" s="736">
        <v>9.237658385730203</v>
      </c>
      <c r="C25" s="726">
        <v>7.5580841337792597</v>
      </c>
      <c r="D25">
        <f t="shared" si="1"/>
        <v>0.68063608294695532</v>
      </c>
      <c r="E25">
        <f t="shared" si="3"/>
        <v>0.19413595038571463</v>
      </c>
      <c r="N25" t="s">
        <v>1595</v>
      </c>
      <c r="O25">
        <v>3.5686034961125504E-2</v>
      </c>
      <c r="P25">
        <v>0</v>
      </c>
    </row>
    <row r="26" spans="1:16" ht="15" thickBot="1">
      <c r="A26" s="733">
        <v>2041</v>
      </c>
      <c r="B26" s="736">
        <v>9.237658385730203</v>
      </c>
      <c r="C26" s="726">
        <v>7.5580841337792597</v>
      </c>
      <c r="D26">
        <f t="shared" si="1"/>
        <v>0.68063608294695532</v>
      </c>
      <c r="E26">
        <f t="shared" si="3"/>
        <v>0.19413595038571463</v>
      </c>
      <c r="N26" t="s">
        <v>1596</v>
      </c>
      <c r="O26">
        <v>2.0116670107632094E-2</v>
      </c>
      <c r="P26">
        <v>0</v>
      </c>
    </row>
    <row r="27" spans="1:16" ht="15" thickBot="1">
      <c r="A27" s="733">
        <v>2042</v>
      </c>
      <c r="B27" s="736">
        <v>9.237658385730203</v>
      </c>
      <c r="C27" s="726">
        <v>7.5580841337792597</v>
      </c>
      <c r="D27">
        <f t="shared" si="1"/>
        <v>0.68063608294695532</v>
      </c>
      <c r="E27">
        <f t="shared" si="3"/>
        <v>0.19413595038571463</v>
      </c>
      <c r="N27" t="s">
        <v>1597</v>
      </c>
      <c r="O27">
        <v>1.2235091939046405E-2</v>
      </c>
      <c r="P27">
        <v>42.5</v>
      </c>
    </row>
    <row r="28" spans="1:16" ht="15" thickBot="1">
      <c r="A28" s="733">
        <v>2043</v>
      </c>
      <c r="B28" s="736">
        <v>9.237658385730203</v>
      </c>
      <c r="C28" s="726">
        <v>7.5580841337792597</v>
      </c>
      <c r="D28">
        <f t="shared" si="1"/>
        <v>0.68063608294695532</v>
      </c>
      <c r="E28">
        <f t="shared" si="3"/>
        <v>0.19413595038571463</v>
      </c>
      <c r="N28" t="s">
        <v>1598</v>
      </c>
      <c r="O28">
        <v>8.1897541486421529E-3</v>
      </c>
      <c r="P28">
        <v>0</v>
      </c>
    </row>
    <row r="29" spans="1:16" ht="15" thickBot="1">
      <c r="A29" s="733">
        <v>2044</v>
      </c>
      <c r="B29" s="736">
        <v>9.237658385730203</v>
      </c>
      <c r="C29" s="726">
        <v>7.5580841337792597</v>
      </c>
      <c r="D29">
        <f t="shared" si="1"/>
        <v>0.68063608294695532</v>
      </c>
      <c r="E29">
        <f t="shared" si="3"/>
        <v>0.19413595038571463</v>
      </c>
      <c r="N29" s="801" t="s">
        <v>1599</v>
      </c>
      <c r="O29" s="802">
        <v>0.22875196250283836</v>
      </c>
      <c r="P29" s="801">
        <v>0</v>
      </c>
    </row>
    <row r="30" spans="1:16" ht="15" thickBot="1">
      <c r="A30" s="733">
        <v>2045</v>
      </c>
      <c r="B30" s="736">
        <v>9.237658385730203</v>
      </c>
      <c r="C30" s="726">
        <v>7.5580841337792597</v>
      </c>
      <c r="D30">
        <f t="shared" si="1"/>
        <v>0.68063608294695532</v>
      </c>
      <c r="E30">
        <f t="shared" si="3"/>
        <v>0.19413595038571463</v>
      </c>
      <c r="N30" t="s">
        <v>1600</v>
      </c>
      <c r="O30">
        <v>1.6229729075922217</v>
      </c>
      <c r="P30">
        <v>0</v>
      </c>
    </row>
    <row r="31" spans="1:16" ht="15" thickBot="1">
      <c r="A31" s="735">
        <v>2046</v>
      </c>
      <c r="B31" s="736">
        <v>9.237658385730203</v>
      </c>
      <c r="C31" s="726">
        <v>7.5580841337792597</v>
      </c>
      <c r="D31">
        <f t="shared" si="1"/>
        <v>0.68063608294695532</v>
      </c>
      <c r="E31">
        <f t="shared" si="3"/>
        <v>0.19413595038571463</v>
      </c>
      <c r="N31" t="s">
        <v>1601</v>
      </c>
      <c r="O31">
        <v>0.1826849249069491</v>
      </c>
      <c r="P31">
        <v>0</v>
      </c>
    </row>
    <row r="32" spans="1:16" ht="15" thickBot="1">
      <c r="A32" s="733">
        <v>2047</v>
      </c>
      <c r="B32" s="736">
        <v>9.237658385730203</v>
      </c>
      <c r="C32" s="726">
        <v>7.5580841337792597</v>
      </c>
      <c r="D32">
        <f t="shared" si="1"/>
        <v>0.68063608294695532</v>
      </c>
      <c r="E32">
        <f t="shared" si="3"/>
        <v>0.19413595038571463</v>
      </c>
      <c r="N32" t="s">
        <v>1602</v>
      </c>
      <c r="O32">
        <v>2.9890430339490939</v>
      </c>
      <c r="P32">
        <v>0</v>
      </c>
    </row>
    <row r="33" spans="1:19" ht="15" thickBot="1">
      <c r="A33" s="733">
        <v>2048</v>
      </c>
      <c r="B33" s="736">
        <v>9.237658385730203</v>
      </c>
      <c r="C33" s="726">
        <v>7.5580841337792597</v>
      </c>
      <c r="D33">
        <f t="shared" si="1"/>
        <v>0.68063608294695532</v>
      </c>
      <c r="E33">
        <f t="shared" si="3"/>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3"/>
        <v>0.19413595038571463</v>
      </c>
    </row>
    <row r="35" spans="1:19" ht="15" thickBot="1">
      <c r="A35" s="733">
        <v>2050</v>
      </c>
      <c r="B35" s="736">
        <v>9.237658385730203</v>
      </c>
      <c r="C35" s="726">
        <v>7.5580841337792597</v>
      </c>
      <c r="D35">
        <f t="shared" si="1"/>
        <v>0.68063608294695532</v>
      </c>
      <c r="E35">
        <f t="shared" si="3"/>
        <v>0.19413595038571463</v>
      </c>
    </row>
    <row r="37" spans="1:19" ht="15" thickBot="1"/>
    <row r="38" spans="1:19">
      <c r="N38" s="887" t="s">
        <v>1541</v>
      </c>
      <c r="O38" s="888"/>
      <c r="R38" s="889" t="s">
        <v>1605</v>
      </c>
      <c r="S38" s="889"/>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4"/>
  <cols>
    <col min="1" max="1" width="25.6640625" bestFit="1" customWidth="1"/>
    <col min="2" max="2" width="15.33203125" bestFit="1" customWidth="1"/>
    <col min="3" max="3" width="10.33203125" bestFit="1" customWidth="1"/>
    <col min="4" max="5" width="15" bestFit="1" customWidth="1"/>
    <col min="6" max="6" width="18.88671875" bestFit="1" customWidth="1"/>
    <col min="7" max="7" width="20" bestFit="1" customWidth="1"/>
    <col min="8" max="8" width="12.77734375" bestFit="1" customWidth="1"/>
    <col min="9" max="9" width="20" bestFit="1" customWidth="1"/>
    <col min="11" max="11" width="7.6640625" bestFit="1" customWidth="1"/>
    <col min="12" max="12" width="25.6640625" bestFit="1" customWidth="1"/>
    <col min="13" max="13" width="19.6640625" customWidth="1"/>
    <col min="14" max="14" width="13.6640625" customWidth="1"/>
    <col min="15" max="16" width="13" customWidth="1"/>
    <col min="17" max="17" width="13.77734375" bestFit="1" customWidth="1"/>
    <col min="18" max="18" width="17.33203125" bestFit="1" customWidth="1"/>
    <col min="19" max="19" width="16.88671875" bestFit="1" customWidth="1"/>
  </cols>
  <sheetData>
    <row r="1" spans="1:23" ht="18.600000000000001" thickBot="1">
      <c r="A1" s="893" t="s">
        <v>1532</v>
      </c>
      <c r="B1" s="894"/>
      <c r="C1" s="894"/>
      <c r="D1" s="894"/>
      <c r="E1" s="894"/>
      <c r="F1" s="894"/>
      <c r="G1" s="894"/>
      <c r="H1" s="894"/>
      <c r="I1" s="895"/>
      <c r="L1" s="759"/>
      <c r="M1" s="760" t="s">
        <v>1527</v>
      </c>
      <c r="N1" s="760" t="s">
        <v>1526</v>
      </c>
      <c r="Q1" s="890" t="s">
        <v>1540</v>
      </c>
      <c r="R1" s="891"/>
      <c r="S1" s="891"/>
      <c r="T1" s="891"/>
      <c r="U1" s="891"/>
      <c r="V1" s="891"/>
      <c r="W1" s="892"/>
    </row>
    <row r="2" spans="1:23">
      <c r="A2" s="548" t="s">
        <v>1531</v>
      </c>
      <c r="B2" s="307" t="s">
        <v>1524</v>
      </c>
      <c r="C2" s="307" t="s">
        <v>1543</v>
      </c>
      <c r="D2" s="307" t="s">
        <v>1527</v>
      </c>
      <c r="E2" s="307" t="s">
        <v>1526</v>
      </c>
      <c r="F2" s="307" t="s">
        <v>1528</v>
      </c>
      <c r="G2" s="307" t="s">
        <v>1529</v>
      </c>
      <c r="H2" s="307" t="s">
        <v>1530</v>
      </c>
      <c r="I2" s="308" t="s">
        <v>1533</v>
      </c>
      <c r="L2" s="761" t="s">
        <v>1545</v>
      </c>
      <c r="M2" s="762">
        <v>0.80164874544682474</v>
      </c>
      <c r="N2" s="763">
        <v>0.5371804060425911</v>
      </c>
      <c r="Q2" s="548" t="s">
        <v>1535</v>
      </c>
      <c r="R2" s="307" t="s">
        <v>1536</v>
      </c>
      <c r="S2" s="307" t="s">
        <v>1537</v>
      </c>
      <c r="T2" s="307" t="s">
        <v>1538</v>
      </c>
      <c r="U2" s="307" t="s">
        <v>1539</v>
      </c>
      <c r="V2" s="307" t="s">
        <v>18</v>
      </c>
      <c r="W2" s="308" t="s">
        <v>16</v>
      </c>
    </row>
    <row r="3" spans="1:23" ht="15.6">
      <c r="A3" s="733">
        <v>2017</v>
      </c>
      <c r="B3" s="746">
        <v>3864.0711600000004</v>
      </c>
      <c r="C3" s="746">
        <v>3100.1669999999999</v>
      </c>
      <c r="D3" s="740">
        <v>3264.817719779961</v>
      </c>
      <c r="E3" s="740">
        <v>3610.2658267913857</v>
      </c>
      <c r="F3" s="740">
        <v>5082.9091073354357</v>
      </c>
      <c r="G3" s="740">
        <v>5082.9091073354357</v>
      </c>
      <c r="H3" s="740">
        <v>5082.9091073354357</v>
      </c>
      <c r="I3" s="741">
        <v>0</v>
      </c>
      <c r="L3" s="764" t="s">
        <v>1546</v>
      </c>
      <c r="M3" s="765">
        <v>4.6396038926480053E-2</v>
      </c>
      <c r="N3" s="766">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6">
      <c r="A4" s="733">
        <v>2018</v>
      </c>
      <c r="B4" s="746">
        <v>3864.0711600000004</v>
      </c>
      <c r="C4" s="746">
        <v>3100.1669999999999</v>
      </c>
      <c r="D4" s="740">
        <v>3264.817719779961</v>
      </c>
      <c r="E4" s="740">
        <v>3610.2658267913857</v>
      </c>
      <c r="F4" s="740">
        <v>5082.9091073354357</v>
      </c>
      <c r="G4" s="740">
        <v>5082.9091073354357</v>
      </c>
      <c r="H4" s="740">
        <v>5082.9091073354357</v>
      </c>
      <c r="I4" s="741">
        <v>0</v>
      </c>
      <c r="L4" s="764" t="s">
        <v>1547</v>
      </c>
      <c r="M4" s="765">
        <v>4.6396038926480053E-2</v>
      </c>
      <c r="N4" s="766">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6">
      <c r="A5" s="733">
        <v>2019</v>
      </c>
      <c r="B5" s="746">
        <v>3864.0711600000004</v>
      </c>
      <c r="C5" s="746">
        <v>3100.1669999999999</v>
      </c>
      <c r="D5" s="740">
        <v>3264.817719779961</v>
      </c>
      <c r="E5" s="740">
        <v>3610.2658267913857</v>
      </c>
      <c r="F5" s="740">
        <v>5082.9091073354357</v>
      </c>
      <c r="G5" s="740">
        <v>5082.9091073354357</v>
      </c>
      <c r="H5" s="740">
        <v>5082.9091073354357</v>
      </c>
      <c r="I5" s="741">
        <v>0</v>
      </c>
      <c r="L5" s="764" t="s">
        <v>1548</v>
      </c>
      <c r="M5" s="765">
        <v>4.6396038926480053E-2</v>
      </c>
      <c r="N5" s="766">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6">
      <c r="A6" s="754">
        <v>2020</v>
      </c>
      <c r="B6" s="746">
        <v>3864.0711600000004</v>
      </c>
      <c r="C6" s="746">
        <v>3100.1669999999999</v>
      </c>
      <c r="D6" s="746">
        <v>3264.817719779961</v>
      </c>
      <c r="E6" s="746">
        <v>3610.2658267913857</v>
      </c>
      <c r="F6" s="746">
        <v>5082.9091073354357</v>
      </c>
      <c r="G6" s="746">
        <v>5082.9091073354357</v>
      </c>
      <c r="H6" s="746">
        <v>5082.9091073354357</v>
      </c>
      <c r="I6" s="753">
        <v>0</v>
      </c>
      <c r="L6" s="764" t="s">
        <v>1549</v>
      </c>
      <c r="M6" s="765">
        <v>5.9163137773735094E-2</v>
      </c>
      <c r="N6" s="766">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6">
      <c r="A7" s="754">
        <v>2021</v>
      </c>
      <c r="B7" s="746">
        <v>3864.0711600000004</v>
      </c>
      <c r="C7" s="746">
        <v>3100.1669999999999</v>
      </c>
      <c r="D7" s="746">
        <v>3143.4095733288982</v>
      </c>
      <c r="E7" s="746">
        <v>3489.8584794413268</v>
      </c>
      <c r="F7" s="746">
        <v>4484.7739336164905</v>
      </c>
      <c r="G7" s="746">
        <v>4484.7739336164905</v>
      </c>
      <c r="H7" s="746">
        <v>4484.7739336164905</v>
      </c>
      <c r="I7" s="753">
        <v>0</v>
      </c>
      <c r="L7" s="764" t="s">
        <v>1550</v>
      </c>
      <c r="M7" s="767">
        <v>0</v>
      </c>
      <c r="N7" s="768">
        <v>0</v>
      </c>
      <c r="Q7" s="733">
        <v>2021</v>
      </c>
      <c r="R7" s="742">
        <v>0.21655393843196472</v>
      </c>
      <c r="S7" s="742">
        <v>3.5107301597607173E-2</v>
      </c>
      <c r="T7" s="742">
        <v>0.17389513886563568</v>
      </c>
      <c r="U7" s="742">
        <v>0.21036679855085688</v>
      </c>
      <c r="V7" s="742">
        <v>0.1012877178207829</v>
      </c>
      <c r="W7" s="652">
        <f t="shared" si="0"/>
        <v>0.73721089526684747</v>
      </c>
    </row>
    <row r="8" spans="1:23" ht="16.2"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69" t="s">
        <v>1551</v>
      </c>
      <c r="M8" s="770">
        <v>0</v>
      </c>
      <c r="N8" s="771">
        <v>0</v>
      </c>
      <c r="Q8" s="733">
        <v>2022</v>
      </c>
      <c r="R8" s="742">
        <v>0.20449712503397666</v>
      </c>
      <c r="S8" s="742">
        <v>3.3496117151772045E-2</v>
      </c>
      <c r="T8" s="742">
        <v>0.16795725607510179</v>
      </c>
      <c r="U8" s="742">
        <v>0.20113118300472171</v>
      </c>
      <c r="V8" s="742">
        <v>9.6840939965236336E-2</v>
      </c>
      <c r="W8" s="652">
        <f t="shared" si="0"/>
        <v>0.70392262123080851</v>
      </c>
    </row>
    <row r="9" spans="1:23" ht="15.6">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6">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6">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6">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6">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6">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6">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6.2"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2" thickBot="1">
      <c r="A17" s="733">
        <v>2031</v>
      </c>
      <c r="B17" s="756">
        <v>3864.0711600000004</v>
      </c>
      <c r="C17" s="756">
        <v>3100.1669999999999</v>
      </c>
      <c r="D17" s="794">
        <v>2031.876500227469</v>
      </c>
      <c r="E17" s="772">
        <v>2896.8333404790869</v>
      </c>
      <c r="F17" s="772">
        <v>2896.8333404790869</v>
      </c>
      <c r="G17" s="772">
        <v>2896.8333404790869</v>
      </c>
      <c r="H17" s="772">
        <v>3911.3920151562879</v>
      </c>
      <c r="I17" s="772">
        <v>0</v>
      </c>
      <c r="J17" s="773"/>
      <c r="Q17" s="733">
        <v>2031</v>
      </c>
      <c r="R17" s="803">
        <v>0.14026584317140237</v>
      </c>
      <c r="S17" s="742">
        <v>5.5065431558326473E-2</v>
      </c>
      <c r="T17" s="742">
        <v>0.17582204761280287</v>
      </c>
      <c r="U17" s="742">
        <v>0.24615086665792399</v>
      </c>
      <c r="V17" s="652">
        <v>0.16175628380377863</v>
      </c>
      <c r="W17" s="804">
        <f t="shared" ref="W17:W26" si="1">SUM(R17:V17)</f>
        <v>0.77906047280423429</v>
      </c>
    </row>
    <row r="18" spans="1:23" ht="16.2" thickBot="1">
      <c r="A18" s="733">
        <v>2032</v>
      </c>
      <c r="B18" s="756">
        <v>3864.0711600000004</v>
      </c>
      <c r="C18" s="756">
        <v>3100.1669999999999</v>
      </c>
      <c r="D18" s="794">
        <v>1971.4832297931762</v>
      </c>
      <c r="E18" s="772">
        <v>2836.2894068716637</v>
      </c>
      <c r="F18" s="772">
        <v>2836.2894068716637</v>
      </c>
      <c r="G18" s="772">
        <v>2836.2894068716637</v>
      </c>
      <c r="H18" s="772">
        <v>3805.239096510049</v>
      </c>
      <c r="I18" s="772">
        <v>0</v>
      </c>
      <c r="J18" s="773"/>
      <c r="L18" t="s">
        <v>1557</v>
      </c>
      <c r="M18" s="841" t="s">
        <v>1619</v>
      </c>
      <c r="O18" s="841" t="s">
        <v>19</v>
      </c>
      <c r="Q18" s="733">
        <v>2032</v>
      </c>
      <c r="R18" s="803">
        <v>0.13393589708566694</v>
      </c>
      <c r="S18" s="742">
        <v>5.3078589157169197E-2</v>
      </c>
      <c r="T18" s="742">
        <v>0.17321082908389987</v>
      </c>
      <c r="U18" s="742">
        <v>0.2424951607174598</v>
      </c>
      <c r="V18" s="652">
        <v>0.15935396275718788</v>
      </c>
      <c r="W18" s="804">
        <f t="shared" si="1"/>
        <v>0.76207443880138359</v>
      </c>
    </row>
    <row r="19" spans="1:23" ht="18.75" customHeight="1" thickBot="1">
      <c r="A19" s="733">
        <v>2033</v>
      </c>
      <c r="B19" s="756">
        <v>3864.0711600000004</v>
      </c>
      <c r="C19" s="756">
        <v>3100.1669999999999</v>
      </c>
      <c r="D19" s="794">
        <v>1915.2463831669324</v>
      </c>
      <c r="E19" s="772">
        <v>2780.4258698908839</v>
      </c>
      <c r="F19" s="772">
        <v>2780.4258698908839</v>
      </c>
      <c r="G19" s="772">
        <v>2780.4258698908839</v>
      </c>
      <c r="H19" s="772">
        <v>3705.2131840386141</v>
      </c>
      <c r="I19" s="772">
        <v>0</v>
      </c>
      <c r="J19" s="773"/>
      <c r="L19" t="s">
        <v>44</v>
      </c>
      <c r="M19" s="782">
        <f>L32*M26</f>
        <v>224.28</v>
      </c>
      <c r="N19" t="s">
        <v>48</v>
      </c>
      <c r="O19" s="840">
        <v>3987.8256999999999</v>
      </c>
      <c r="Q19" s="733">
        <v>2033</v>
      </c>
      <c r="R19" s="803">
        <v>0.12854337076252187</v>
      </c>
      <c r="S19" s="742">
        <v>5.1338694602590877E-2</v>
      </c>
      <c r="T19" s="742">
        <v>0.17063839102819836</v>
      </c>
      <c r="U19" s="742">
        <v>0.23889374743947767</v>
      </c>
      <c r="V19" s="652">
        <v>0.15698731974594249</v>
      </c>
      <c r="W19" s="804">
        <f t="shared" si="1"/>
        <v>0.74640152357873124</v>
      </c>
    </row>
    <row r="20" spans="1:23" ht="15.75" customHeight="1" thickBot="1">
      <c r="A20" s="754">
        <v>2034</v>
      </c>
      <c r="B20" s="756">
        <v>3864.0711600000004</v>
      </c>
      <c r="C20" s="756">
        <v>3100.1669999999999</v>
      </c>
      <c r="D20" s="794">
        <v>1860.9839253243376</v>
      </c>
      <c r="E20" s="772">
        <v>2725.956640611857</v>
      </c>
      <c r="F20" s="772">
        <v>2725.956640611857</v>
      </c>
      <c r="G20" s="772">
        <v>2725.956640611857</v>
      </c>
      <c r="H20" s="772">
        <v>3607.9867368654168</v>
      </c>
      <c r="I20" s="772">
        <v>0</v>
      </c>
      <c r="J20" s="773"/>
      <c r="L20" t="s">
        <v>45</v>
      </c>
      <c r="M20" s="662">
        <f>M28/M25</f>
        <v>66.353534443056276</v>
      </c>
      <c r="N20" t="s">
        <v>108</v>
      </c>
      <c r="O20" s="840">
        <v>5885.1205499999996</v>
      </c>
      <c r="Q20" s="733">
        <v>2034</v>
      </c>
      <c r="R20" s="803">
        <v>0.12335975130657542</v>
      </c>
      <c r="S20" s="742">
        <v>4.9654237163355777E-2</v>
      </c>
      <c r="T20" s="742">
        <v>0.16810415749807658</v>
      </c>
      <c r="U20" s="742">
        <v>0.23534582049730721</v>
      </c>
      <c r="V20" s="652">
        <v>0.15465582489823046</v>
      </c>
      <c r="W20" s="804">
        <f t="shared" si="1"/>
        <v>0.73111979136354555</v>
      </c>
    </row>
    <row r="21" spans="1:23" ht="16.2" thickBot="1">
      <c r="A21" s="754">
        <v>2035</v>
      </c>
      <c r="B21" s="756">
        <v>3864.0711600000004</v>
      </c>
      <c r="C21" s="756">
        <v>3100.1669999999999</v>
      </c>
      <c r="D21" s="794">
        <v>1809.3704188260726</v>
      </c>
      <c r="E21" s="772">
        <v>2674.1866575956442</v>
      </c>
      <c r="F21" s="772">
        <v>2674.1866575956442</v>
      </c>
      <c r="G21" s="772">
        <v>2674.1866575956442</v>
      </c>
      <c r="H21" s="772">
        <v>3514.83972487447</v>
      </c>
      <c r="I21" s="772">
        <v>0</v>
      </c>
      <c r="J21" s="773"/>
      <c r="L21" t="s">
        <v>48</v>
      </c>
      <c r="M21" s="840">
        <v>3987.8256999999999</v>
      </c>
      <c r="N21" t="s">
        <v>123</v>
      </c>
      <c r="O21">
        <v>0</v>
      </c>
      <c r="Q21" s="733">
        <v>2035</v>
      </c>
      <c r="R21" s="803">
        <v>0.11867424825986093</v>
      </c>
      <c r="S21" s="742">
        <v>4.8104000900584656E-2</v>
      </c>
      <c r="T21" s="742">
        <v>0.16560756109959029</v>
      </c>
      <c r="U21" s="742">
        <v>0.23185058553942642</v>
      </c>
      <c r="V21" s="652">
        <v>0.15235895621162307</v>
      </c>
      <c r="W21" s="804">
        <f t="shared" si="1"/>
        <v>0.71659535201108537</v>
      </c>
    </row>
    <row r="22" spans="1:23" ht="16.2" thickBot="1">
      <c r="A22" s="754">
        <v>2036</v>
      </c>
      <c r="B22" s="756">
        <v>3864.0711600000004</v>
      </c>
      <c r="C22" s="756">
        <v>3100.1669999999999</v>
      </c>
      <c r="D22" s="794">
        <v>1760.5608166620782</v>
      </c>
      <c r="E22" s="772">
        <v>2625.1991551570914</v>
      </c>
      <c r="F22" s="772">
        <v>2625.1991551570914</v>
      </c>
      <c r="G22" s="772">
        <v>2625.1991551570914</v>
      </c>
      <c r="H22" s="772">
        <v>3425.829648062253</v>
      </c>
      <c r="I22" s="772">
        <v>0</v>
      </c>
      <c r="J22" s="773"/>
      <c r="L22" t="s">
        <v>108</v>
      </c>
      <c r="M22" s="840">
        <v>5885.1205499999996</v>
      </c>
      <c r="N22" t="s">
        <v>107</v>
      </c>
      <c r="O22" s="840">
        <v>5519.5247999999992</v>
      </c>
      <c r="Q22" s="733">
        <v>2036</v>
      </c>
      <c r="R22" s="803">
        <v>0.11450513574312547</v>
      </c>
      <c r="S22" s="742">
        <v>4.6694919447869077E-2</v>
      </c>
      <c r="T22" s="742">
        <v>0.16314804286543796</v>
      </c>
      <c r="U22" s="742">
        <v>0.22840726001161316</v>
      </c>
      <c r="V22" s="652">
        <v>0.15009619943620295</v>
      </c>
      <c r="W22" s="804">
        <f t="shared" si="1"/>
        <v>0.70285155750424866</v>
      </c>
    </row>
    <row r="23" spans="1:23" ht="16.2" thickBot="1">
      <c r="A23" s="754">
        <v>2037</v>
      </c>
      <c r="B23" s="756">
        <v>3864.0711600000004</v>
      </c>
      <c r="C23" s="756">
        <v>3100.1669999999999</v>
      </c>
      <c r="D23" s="794">
        <v>1715.5024963648434</v>
      </c>
      <c r="E23" s="772">
        <v>2580.278209116218</v>
      </c>
      <c r="F23" s="772">
        <v>2580.278209116218</v>
      </c>
      <c r="G23" s="772">
        <v>2580.278209116218</v>
      </c>
      <c r="H23" s="772">
        <v>3342.2382886577047</v>
      </c>
      <c r="I23" s="772">
        <v>0</v>
      </c>
      <c r="J23" s="773"/>
      <c r="L23" t="s">
        <v>107</v>
      </c>
      <c r="M23" s="840">
        <v>5519.5247999999992</v>
      </c>
      <c r="N23" t="s">
        <v>459</v>
      </c>
      <c r="O23" s="840">
        <v>0</v>
      </c>
      <c r="Q23" s="733">
        <v>2037</v>
      </c>
      <c r="R23" s="803">
        <v>0.11113521139072643</v>
      </c>
      <c r="S23" s="742">
        <v>4.5506280045235943E-2</v>
      </c>
      <c r="T23" s="742">
        <v>0.16072505212981264</v>
      </c>
      <c r="U23" s="742">
        <v>0.2250150729817377</v>
      </c>
      <c r="V23" s="652">
        <v>0.14786704795942762</v>
      </c>
      <c r="W23" s="804">
        <f t="shared" si="1"/>
        <v>0.69024866450694033</v>
      </c>
    </row>
    <row r="24" spans="1:23" ht="16.2" thickBot="1">
      <c r="A24" s="754">
        <v>2038</v>
      </c>
      <c r="B24" s="756">
        <v>3864.0711600000004</v>
      </c>
      <c r="C24" s="756">
        <v>3100.1669999999999</v>
      </c>
      <c r="D24" s="794">
        <v>1672.6930415935767</v>
      </c>
      <c r="E24" s="772">
        <v>2537.2876942321791</v>
      </c>
      <c r="F24" s="772">
        <v>2537.2876942321791</v>
      </c>
      <c r="G24" s="772">
        <v>2537.2876942321791</v>
      </c>
      <c r="H24" s="772">
        <v>3261.8709353344243</v>
      </c>
      <c r="I24" s="772">
        <v>0</v>
      </c>
      <c r="J24" s="773"/>
      <c r="Q24" s="733">
        <v>2038</v>
      </c>
      <c r="R24" s="803">
        <v>0.1080939157803511</v>
      </c>
      <c r="S24" s="742">
        <v>4.441113794516334E-2</v>
      </c>
      <c r="T24" s="742">
        <v>0.15833804640511248</v>
      </c>
      <c r="U24" s="742">
        <v>0.22167326496715742</v>
      </c>
      <c r="V24" s="652">
        <v>0.14567100269270344</v>
      </c>
      <c r="W24" s="804">
        <f t="shared" si="1"/>
        <v>0.67818736779048772</v>
      </c>
    </row>
    <row r="25" spans="1:23" ht="16.2" thickBot="1">
      <c r="A25" s="754">
        <v>2039</v>
      </c>
      <c r="B25" s="756">
        <v>3864.0711600000004</v>
      </c>
      <c r="C25" s="756">
        <v>3100.1669999999999</v>
      </c>
      <c r="D25" s="794">
        <v>1631.2488757360766</v>
      </c>
      <c r="E25" s="772">
        <v>2495.3203767709251</v>
      </c>
      <c r="F25" s="772">
        <v>2495.3203767709251</v>
      </c>
      <c r="G25" s="772">
        <v>2495.3203767709251</v>
      </c>
      <c r="H25" s="772">
        <v>3183.7691557849662</v>
      </c>
      <c r="I25" s="772">
        <v>0</v>
      </c>
      <c r="J25" s="773"/>
      <c r="L25" s="780" t="s">
        <v>1552</v>
      </c>
      <c r="M25" s="780">
        <v>0.25216441204589002</v>
      </c>
      <c r="Q25" s="733">
        <v>2039</v>
      </c>
      <c r="R25" s="803">
        <v>0.10518258921885963</v>
      </c>
      <c r="S25" s="742">
        <v>4.3355396232327502E-2</v>
      </c>
      <c r="T25" s="742">
        <v>0.15598649126048209</v>
      </c>
      <c r="U25" s="742">
        <v>0.21838108776467491</v>
      </c>
      <c r="V25" s="652">
        <v>0.14350757195964353</v>
      </c>
      <c r="W25" s="804">
        <f t="shared" si="1"/>
        <v>0.66641313643598754</v>
      </c>
    </row>
    <row r="26" spans="1:23" ht="16.2" thickBot="1">
      <c r="A26" s="754">
        <v>2040</v>
      </c>
      <c r="B26" s="756">
        <v>3864.0711600000004</v>
      </c>
      <c r="C26" s="756">
        <v>3100.1669999999999</v>
      </c>
      <c r="D26" s="795">
        <v>1590.6792573000998</v>
      </c>
      <c r="E26" s="774">
        <v>2453.8480027922087</v>
      </c>
      <c r="F26" s="774">
        <v>2453.8480027922087</v>
      </c>
      <c r="G26" s="774">
        <v>2453.8480027922087</v>
      </c>
      <c r="H26" s="774">
        <v>3107.3556320957841</v>
      </c>
      <c r="I26" s="774">
        <v>0</v>
      </c>
      <c r="J26" s="775"/>
      <c r="L26" s="778" t="s">
        <v>1553</v>
      </c>
      <c r="M26" s="782">
        <v>3.56</v>
      </c>
      <c r="Q26" s="733">
        <v>2040</v>
      </c>
      <c r="R26" s="805">
        <v>0.10228640612682199</v>
      </c>
      <c r="S26" s="743">
        <v>4.2307423020788423E-2</v>
      </c>
      <c r="T26" s="743">
        <v>0.15366986020215812</v>
      </c>
      <c r="U26" s="743">
        <v>0.21513780428302132</v>
      </c>
      <c r="V26" s="744">
        <v>0.14137627138598544</v>
      </c>
      <c r="W26" s="804">
        <f t="shared" si="1"/>
        <v>0.65477776501877527</v>
      </c>
    </row>
    <row r="27" spans="1:23" ht="16.2" thickBot="1">
      <c r="A27" s="754">
        <v>2041</v>
      </c>
      <c r="B27" s="756">
        <v>3864.0711600000004</v>
      </c>
      <c r="C27" s="756">
        <v>3100.1669999999999</v>
      </c>
      <c r="D27" s="795">
        <v>1590.6792573000998</v>
      </c>
      <c r="E27" s="774">
        <v>2453.8480027922087</v>
      </c>
      <c r="F27" s="774">
        <v>2453.8480027922087</v>
      </c>
      <c r="G27" s="774">
        <v>2453.8480027922087</v>
      </c>
      <c r="H27" s="774">
        <v>3107.3556320957841</v>
      </c>
      <c r="I27" s="774">
        <v>0</v>
      </c>
      <c r="J27" s="775"/>
      <c r="L27" s="778" t="s">
        <v>1554</v>
      </c>
      <c r="M27" s="781">
        <v>4.7</v>
      </c>
      <c r="Q27" s="733">
        <v>2041</v>
      </c>
      <c r="R27" s="805">
        <v>0.10228640612682199</v>
      </c>
      <c r="S27" s="743">
        <v>4.2307423020788423E-2</v>
      </c>
      <c r="T27" s="743">
        <v>0.15366986020215812</v>
      </c>
      <c r="U27" s="743">
        <v>0.21513780428302132</v>
      </c>
      <c r="V27" s="744">
        <v>0.14137627138598544</v>
      </c>
      <c r="W27" s="804">
        <f t="shared" ref="W27:W36" si="2">SUM(R27:V27)</f>
        <v>0.65477776501877527</v>
      </c>
    </row>
    <row r="28" spans="1:23" ht="16.2" thickBot="1">
      <c r="A28" s="754">
        <v>2042</v>
      </c>
      <c r="B28" s="756">
        <v>3864.0711600000004</v>
      </c>
      <c r="C28" s="756">
        <v>3100.1669999999999</v>
      </c>
      <c r="D28" s="795">
        <v>1590.6792573000998</v>
      </c>
      <c r="E28" s="774">
        <v>2453.8480027922087</v>
      </c>
      <c r="F28" s="774">
        <v>2453.8480027922087</v>
      </c>
      <c r="G28" s="774">
        <v>2453.8480027922087</v>
      </c>
      <c r="H28" s="774">
        <v>3107.3556320957841</v>
      </c>
      <c r="I28" s="774">
        <v>0</v>
      </c>
      <c r="J28" s="775"/>
      <c r="L28" s="778" t="s">
        <v>1555</v>
      </c>
      <c r="M28" s="782">
        <f>M27*M26</f>
        <v>16.731999999999999</v>
      </c>
      <c r="Q28" s="733">
        <v>2042</v>
      </c>
      <c r="R28" s="805">
        <v>0.10228640612682199</v>
      </c>
      <c r="S28" s="743">
        <v>4.2307423020788423E-2</v>
      </c>
      <c r="T28" s="743">
        <v>0.15366986020215812</v>
      </c>
      <c r="U28" s="743">
        <v>0.21513780428302132</v>
      </c>
      <c r="V28" s="744">
        <v>0.14137627138598544</v>
      </c>
      <c r="W28" s="804">
        <f t="shared" si="2"/>
        <v>0.65477776501877527</v>
      </c>
    </row>
    <row r="29" spans="1:23" ht="16.2" thickBot="1">
      <c r="A29" s="754">
        <v>2043</v>
      </c>
      <c r="B29" s="756">
        <v>3864.0711600000004</v>
      </c>
      <c r="C29" s="756">
        <v>3100.1669999999999</v>
      </c>
      <c r="D29" s="795">
        <v>1590.6792573000998</v>
      </c>
      <c r="E29" s="774">
        <v>2453.8480027922087</v>
      </c>
      <c r="F29" s="774">
        <v>2453.8480027922087</v>
      </c>
      <c r="G29" s="774">
        <v>2453.8480027922087</v>
      </c>
      <c r="H29" s="774">
        <v>3107.3556320957841</v>
      </c>
      <c r="I29" s="774">
        <v>0</v>
      </c>
      <c r="J29" s="775"/>
      <c r="L29" s="778" t="s">
        <v>1556</v>
      </c>
      <c r="Q29" s="733">
        <v>2043</v>
      </c>
      <c r="R29" s="805">
        <v>0.10228640612682199</v>
      </c>
      <c r="S29" s="743">
        <v>4.2307423020788423E-2</v>
      </c>
      <c r="T29" s="743">
        <v>0.15366986020215812</v>
      </c>
      <c r="U29" s="743">
        <v>0.21513780428302132</v>
      </c>
      <c r="V29" s="744">
        <v>0.14137627138598544</v>
      </c>
      <c r="W29" s="804">
        <f t="shared" si="2"/>
        <v>0.65477776501877527</v>
      </c>
    </row>
    <row r="30" spans="1:23" ht="16.2" thickBot="1">
      <c r="A30" s="755">
        <v>2044</v>
      </c>
      <c r="B30" s="756">
        <v>3864.0711600000004</v>
      </c>
      <c r="C30" s="756">
        <v>3100.1669999999999</v>
      </c>
      <c r="D30" s="795">
        <v>1590.6792573000998</v>
      </c>
      <c r="E30" s="774">
        <v>2453.8480027922087</v>
      </c>
      <c r="F30" s="774">
        <v>2453.8480027922087</v>
      </c>
      <c r="G30" s="774">
        <v>2453.8480027922087</v>
      </c>
      <c r="H30" s="774">
        <v>3107.3556320957841</v>
      </c>
      <c r="I30" s="774">
        <v>0</v>
      </c>
      <c r="J30" s="775"/>
      <c r="L30" s="778"/>
      <c r="M30" s="779"/>
      <c r="Q30" s="735">
        <v>2044</v>
      </c>
      <c r="R30" s="805">
        <v>0.10228640612682199</v>
      </c>
      <c r="S30" s="743">
        <v>4.2307423020788423E-2</v>
      </c>
      <c r="T30" s="743">
        <v>0.15366986020215812</v>
      </c>
      <c r="U30" s="743">
        <v>0.21513780428302132</v>
      </c>
      <c r="V30" s="744">
        <v>0.14137627138598544</v>
      </c>
      <c r="W30" s="804">
        <f t="shared" si="2"/>
        <v>0.65477776501877527</v>
      </c>
    </row>
    <row r="31" spans="1:23" ht="16.2" thickBot="1">
      <c r="A31" s="733">
        <v>2045</v>
      </c>
      <c r="B31" s="756">
        <v>3864.0711600000004</v>
      </c>
      <c r="C31" s="756">
        <v>3100.1669999999999</v>
      </c>
      <c r="D31" s="795">
        <v>1590.6792573000998</v>
      </c>
      <c r="E31" s="774">
        <v>2453.8480027922087</v>
      </c>
      <c r="F31" s="774">
        <v>2453.8480027922087</v>
      </c>
      <c r="G31" s="774">
        <v>2453.8480027922087</v>
      </c>
      <c r="H31" s="774">
        <v>3107.3556320957841</v>
      </c>
      <c r="I31" s="774">
        <v>0</v>
      </c>
      <c r="J31" s="775"/>
      <c r="L31" s="778"/>
      <c r="M31" s="779"/>
      <c r="Q31" s="733">
        <v>2045</v>
      </c>
      <c r="R31" s="805">
        <v>0.10228640612682199</v>
      </c>
      <c r="S31" s="743">
        <v>4.2307423020788423E-2</v>
      </c>
      <c r="T31" s="743">
        <v>0.15366986020215812</v>
      </c>
      <c r="U31" s="743">
        <v>0.21513780428302132</v>
      </c>
      <c r="V31" s="744">
        <v>0.14137627138598544</v>
      </c>
      <c r="W31" s="804">
        <f>SUM(R31:V31)</f>
        <v>0.65477776501877527</v>
      </c>
    </row>
    <row r="32" spans="1:23" ht="16.2" thickBot="1">
      <c r="A32" s="733">
        <v>2046</v>
      </c>
      <c r="B32" s="756">
        <v>3864.0711600000004</v>
      </c>
      <c r="C32" s="756">
        <v>3100.1669999999999</v>
      </c>
      <c r="D32" s="795">
        <v>1590.6792573000998</v>
      </c>
      <c r="E32" s="774">
        <v>2453.8480027922087</v>
      </c>
      <c r="F32" s="774">
        <v>2453.8480027922087</v>
      </c>
      <c r="G32" s="774">
        <v>2453.8480027922087</v>
      </c>
      <c r="H32" s="774">
        <v>3107.3556320957841</v>
      </c>
      <c r="I32" s="774">
        <v>0</v>
      </c>
      <c r="J32" s="775"/>
      <c r="L32" s="783">
        <v>63</v>
      </c>
      <c r="M32" s="779"/>
      <c r="Q32" s="733">
        <v>2046</v>
      </c>
      <c r="R32" s="805">
        <v>0.10228640612682199</v>
      </c>
      <c r="S32" s="743">
        <v>4.2307423020788423E-2</v>
      </c>
      <c r="T32" s="743">
        <v>0.15366986020215812</v>
      </c>
      <c r="U32" s="743">
        <v>0.21513780428302132</v>
      </c>
      <c r="V32" s="744">
        <v>0.14137627138598544</v>
      </c>
      <c r="W32" s="804">
        <f t="shared" si="2"/>
        <v>0.65477776501877527</v>
      </c>
    </row>
    <row r="33" spans="1:26" ht="16.2" thickBot="1">
      <c r="A33" s="733">
        <v>2047</v>
      </c>
      <c r="B33" s="756">
        <v>3864.0711600000004</v>
      </c>
      <c r="C33" s="756">
        <v>3100.1669999999999</v>
      </c>
      <c r="D33" s="795">
        <v>1590.6792573000998</v>
      </c>
      <c r="E33" s="774">
        <v>2453.8480027922087</v>
      </c>
      <c r="F33" s="774">
        <v>2453.8480027922087</v>
      </c>
      <c r="G33" s="774">
        <v>2453.8480027922087</v>
      </c>
      <c r="H33" s="774">
        <v>3107.3556320957841</v>
      </c>
      <c r="I33" s="774">
        <v>0</v>
      </c>
      <c r="J33" s="775"/>
      <c r="L33" s="778"/>
      <c r="M33" s="779"/>
      <c r="Q33" s="733">
        <v>2047</v>
      </c>
      <c r="R33" s="805">
        <v>0.10228640612682199</v>
      </c>
      <c r="S33" s="743">
        <v>4.2307423020788423E-2</v>
      </c>
      <c r="T33" s="743">
        <v>0.15366986020215812</v>
      </c>
      <c r="U33" s="743">
        <v>0.21513780428302132</v>
      </c>
      <c r="V33" s="744">
        <v>0.14137627138598544</v>
      </c>
      <c r="W33" s="804">
        <f t="shared" si="2"/>
        <v>0.65477776501877527</v>
      </c>
    </row>
    <row r="34" spans="1:26" ht="16.2" thickBot="1">
      <c r="A34" s="754">
        <v>2048</v>
      </c>
      <c r="B34" s="756">
        <v>3864.0711600000004</v>
      </c>
      <c r="C34" s="756">
        <v>3100.1669999999999</v>
      </c>
      <c r="D34" s="795">
        <v>1590.6792573000998</v>
      </c>
      <c r="E34" s="774">
        <v>2453.8480027922087</v>
      </c>
      <c r="F34" s="774">
        <v>2453.8480027922087</v>
      </c>
      <c r="G34" s="774">
        <v>2453.8480027922087</v>
      </c>
      <c r="H34" s="774">
        <v>3107.3556320957841</v>
      </c>
      <c r="I34" s="774">
        <v>0</v>
      </c>
      <c r="J34" s="775"/>
      <c r="L34" s="778"/>
      <c r="M34" s="781"/>
      <c r="Q34" s="733">
        <v>2048</v>
      </c>
      <c r="R34" s="805">
        <v>0.10228640612682199</v>
      </c>
      <c r="S34" s="743">
        <v>4.2307423020788423E-2</v>
      </c>
      <c r="T34" s="743">
        <v>0.15366986020215812</v>
      </c>
      <c r="U34" s="743">
        <v>0.21513780428302132</v>
      </c>
      <c r="V34" s="744">
        <v>0.14137627138598544</v>
      </c>
      <c r="W34" s="804">
        <f t="shared" si="2"/>
        <v>0.65477776501877527</v>
      </c>
    </row>
    <row r="35" spans="1:26" ht="16.2" thickBot="1">
      <c r="A35" s="754">
        <v>2049</v>
      </c>
      <c r="B35" s="756">
        <v>3864.0711600000004</v>
      </c>
      <c r="C35" s="756">
        <v>3100.1669999999999</v>
      </c>
      <c r="D35" s="795">
        <v>1590.6792573000998</v>
      </c>
      <c r="E35" s="774">
        <v>2453.8480027922087</v>
      </c>
      <c r="F35" s="774">
        <v>2453.8480027922087</v>
      </c>
      <c r="G35" s="774">
        <v>2453.8480027922087</v>
      </c>
      <c r="H35" s="774">
        <v>3107.3556320957841</v>
      </c>
      <c r="I35" s="774">
        <v>0</v>
      </c>
      <c r="J35" s="775"/>
      <c r="Q35" s="733">
        <v>2049</v>
      </c>
      <c r="R35" s="805">
        <v>0.10228640612682199</v>
      </c>
      <c r="S35" s="743">
        <v>4.2307423020788423E-2</v>
      </c>
      <c r="T35" s="743">
        <v>0.15366986020215812</v>
      </c>
      <c r="U35" s="743">
        <v>0.21513780428302132</v>
      </c>
      <c r="V35" s="744">
        <v>0.14137627138598544</v>
      </c>
      <c r="W35" s="804">
        <f t="shared" si="2"/>
        <v>0.65477776501877527</v>
      </c>
    </row>
    <row r="36" spans="1:26" ht="16.2" thickBot="1">
      <c r="A36" s="754">
        <v>2050</v>
      </c>
      <c r="B36" s="756">
        <v>3864.0711600000004</v>
      </c>
      <c r="C36" s="756">
        <v>3100.1669999999999</v>
      </c>
      <c r="D36" s="795">
        <v>1590.6792573000998</v>
      </c>
      <c r="E36" s="774">
        <v>2453.8480027922087</v>
      </c>
      <c r="F36" s="774">
        <v>2453.8480027922087</v>
      </c>
      <c r="G36" s="774">
        <v>2453.8480027922087</v>
      </c>
      <c r="H36" s="774">
        <v>3107.3556320957841</v>
      </c>
      <c r="I36" s="774">
        <v>0</v>
      </c>
      <c r="J36" s="775"/>
      <c r="Q36" s="733">
        <v>2050</v>
      </c>
      <c r="R36" s="805">
        <v>0.10228640612682199</v>
      </c>
      <c r="S36" s="743">
        <v>4.2307423020788423E-2</v>
      </c>
      <c r="T36" s="743">
        <v>0.15366986020215812</v>
      </c>
      <c r="U36" s="743">
        <v>0.21513780428302132</v>
      </c>
      <c r="V36" s="744">
        <v>0.14137627138598544</v>
      </c>
      <c r="W36" s="804">
        <f t="shared" si="2"/>
        <v>0.65477776501877527</v>
      </c>
    </row>
    <row r="37" spans="1:26" ht="72">
      <c r="E37" s="806"/>
      <c r="F37" s="807"/>
      <c r="G37" s="807"/>
      <c r="H37" s="807"/>
      <c r="I37" s="807"/>
      <c r="J37" s="807"/>
      <c r="K37" s="807"/>
      <c r="L37" s="807"/>
      <c r="N37" s="792" t="s">
        <v>1531</v>
      </c>
      <c r="O37" s="793" t="s">
        <v>1563</v>
      </c>
      <c r="P37" s="793" t="s">
        <v>1565</v>
      </c>
      <c r="Q37" s="793" t="s">
        <v>1564</v>
      </c>
      <c r="S37" s="784" t="s">
        <v>1531</v>
      </c>
      <c r="T37" s="785" t="s">
        <v>1545</v>
      </c>
      <c r="U37" s="785" t="s">
        <v>1546</v>
      </c>
      <c r="V37" s="785" t="s">
        <v>1547</v>
      </c>
      <c r="W37" s="785" t="s">
        <v>1548</v>
      </c>
      <c r="X37" s="785" t="s">
        <v>1549</v>
      </c>
      <c r="Y37" s="785" t="s">
        <v>1550</v>
      </c>
      <c r="Z37" s="786" t="s">
        <v>1551</v>
      </c>
    </row>
    <row r="38" spans="1:26">
      <c r="E38" s="801"/>
      <c r="F38" s="808"/>
      <c r="G38" s="808"/>
      <c r="H38" s="808"/>
      <c r="I38" s="808"/>
      <c r="J38" s="808"/>
      <c r="K38" s="808"/>
      <c r="L38" s="808"/>
      <c r="N38" s="794">
        <v>2017</v>
      </c>
      <c r="O38" s="788">
        <v>260</v>
      </c>
      <c r="P38" s="788">
        <v>120</v>
      </c>
      <c r="Q38" s="789">
        <v>270</v>
      </c>
      <c r="S38" s="787">
        <v>2017</v>
      </c>
      <c r="T38" s="772">
        <v>3005.7316395213925</v>
      </c>
      <c r="U38" s="772">
        <v>3911.0548763414886</v>
      </c>
      <c r="V38" s="772">
        <v>3911.0548763414886</v>
      </c>
      <c r="W38" s="772">
        <v>3911.0548763414886</v>
      </c>
      <c r="X38" s="772">
        <v>5255.0349871202061</v>
      </c>
      <c r="Y38" s="772">
        <v>0</v>
      </c>
      <c r="Z38" s="773">
        <v>0</v>
      </c>
    </row>
    <row r="39" spans="1:26">
      <c r="E39" s="801"/>
      <c r="F39" s="808"/>
      <c r="G39" s="808"/>
      <c r="H39" s="808"/>
      <c r="I39" s="808"/>
      <c r="J39" s="808"/>
      <c r="K39" s="808"/>
      <c r="L39" s="808"/>
      <c r="N39" s="794">
        <v>2018</v>
      </c>
      <c r="O39" s="788">
        <v>260</v>
      </c>
      <c r="P39" s="788">
        <v>120</v>
      </c>
      <c r="Q39" s="789">
        <v>270</v>
      </c>
      <c r="S39" s="787">
        <v>2018</v>
      </c>
      <c r="T39" s="772">
        <v>3005.7316395213925</v>
      </c>
      <c r="U39" s="772">
        <v>3911.0548763414886</v>
      </c>
      <c r="V39" s="772">
        <v>3911.0548763414886</v>
      </c>
      <c r="W39" s="772">
        <v>3911.0548763414886</v>
      </c>
      <c r="X39" s="772">
        <v>5255.0349871202061</v>
      </c>
      <c r="Y39" s="772">
        <v>0</v>
      </c>
      <c r="Z39" s="773">
        <v>0</v>
      </c>
    </row>
    <row r="40" spans="1:26" ht="18">
      <c r="A40" s="896" t="s">
        <v>1534</v>
      </c>
      <c r="B40" s="897"/>
      <c r="C40" s="897"/>
      <c r="D40" s="897"/>
      <c r="E40" s="897"/>
      <c r="F40" s="897"/>
      <c r="G40" s="897"/>
      <c r="H40" s="897"/>
      <c r="I40" s="897"/>
      <c r="J40" s="808"/>
      <c r="K40" s="808"/>
      <c r="L40" s="808"/>
      <c r="N40" s="794">
        <v>2019</v>
      </c>
      <c r="O40" s="788">
        <v>260</v>
      </c>
      <c r="P40" s="788">
        <v>120</v>
      </c>
      <c r="Q40" s="789">
        <v>270</v>
      </c>
      <c r="S40" s="787">
        <v>2019</v>
      </c>
      <c r="T40" s="772">
        <v>3005.7316395213925</v>
      </c>
      <c r="U40" s="772">
        <v>3911.0548763414886</v>
      </c>
      <c r="V40" s="772">
        <v>3911.0548763414886</v>
      </c>
      <c r="W40" s="772">
        <v>3911.0548763414886</v>
      </c>
      <c r="X40" s="772">
        <v>5255.0349871202061</v>
      </c>
      <c r="Y40" s="772">
        <v>0</v>
      </c>
      <c r="Z40" s="773">
        <v>0</v>
      </c>
    </row>
    <row r="41" spans="1:26" ht="15" thickBot="1">
      <c r="A41" s="548" t="s">
        <v>1531</v>
      </c>
      <c r="B41" t="s">
        <v>1524</v>
      </c>
      <c r="C41" t="s">
        <v>1543</v>
      </c>
      <c r="D41" s="307" t="s">
        <v>1527</v>
      </c>
      <c r="E41" s="307" t="s">
        <v>1526</v>
      </c>
      <c r="F41" s="307" t="s">
        <v>1528</v>
      </c>
      <c r="G41" s="307" t="s">
        <v>1529</v>
      </c>
      <c r="H41" s="307" t="s">
        <v>1530</v>
      </c>
      <c r="I41" s="308" t="s">
        <v>1533</v>
      </c>
      <c r="J41" s="808"/>
      <c r="K41" s="808"/>
      <c r="L41" s="808"/>
      <c r="N41" s="794">
        <v>2020</v>
      </c>
      <c r="O41" s="788">
        <v>260</v>
      </c>
      <c r="P41" s="788">
        <v>120</v>
      </c>
      <c r="Q41" s="789">
        <v>270</v>
      </c>
      <c r="S41" s="776">
        <v>2020</v>
      </c>
      <c r="T41" s="772">
        <v>3005.7316395213925</v>
      </c>
      <c r="U41" s="772">
        <v>3911.0548763414886</v>
      </c>
      <c r="V41" s="772">
        <v>3911.0548763414886</v>
      </c>
      <c r="W41" s="772">
        <v>3911.0548763414886</v>
      </c>
      <c r="X41" s="772">
        <v>5255.0349871202061</v>
      </c>
      <c r="Y41" s="772">
        <v>0</v>
      </c>
      <c r="Z41" s="773">
        <v>0</v>
      </c>
    </row>
    <row r="42" spans="1:26" ht="16.2"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08"/>
      <c r="K42" s="808"/>
      <c r="L42" s="808"/>
      <c r="N42" s="794">
        <v>2021</v>
      </c>
      <c r="O42" s="788">
        <v>255.90551181102364</v>
      </c>
      <c r="P42" s="788">
        <v>120</v>
      </c>
      <c r="Q42" s="789">
        <v>265.74803149606299</v>
      </c>
      <c r="S42" s="776">
        <v>2021</v>
      </c>
      <c r="T42" s="772">
        <v>2883.5728937445765</v>
      </c>
      <c r="U42" s="772">
        <v>3781.6318132189558</v>
      </c>
      <c r="V42" s="772">
        <v>3781.6318132189558</v>
      </c>
      <c r="W42" s="772">
        <v>3781.6318132189558</v>
      </c>
      <c r="X42" s="772">
        <v>5162.6533296298367</v>
      </c>
      <c r="Y42" s="772">
        <v>0</v>
      </c>
      <c r="Z42" s="773">
        <v>0</v>
      </c>
    </row>
    <row r="43" spans="1:26" ht="16.2"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08"/>
      <c r="K43" s="808"/>
      <c r="L43" s="808"/>
      <c r="N43" s="794">
        <v>2022</v>
      </c>
      <c r="O43" s="788">
        <v>251.8755037510075</v>
      </c>
      <c r="P43" s="788">
        <v>120</v>
      </c>
      <c r="Q43" s="789">
        <v>261.56302312604623</v>
      </c>
      <c r="S43" s="776">
        <v>2022</v>
      </c>
      <c r="T43" s="772">
        <v>2760.8922899772042</v>
      </c>
      <c r="U43" s="772">
        <v>3648.9312040390428</v>
      </c>
      <c r="V43" s="772">
        <v>3648.9312040390428</v>
      </c>
      <c r="W43" s="772">
        <v>3648.9312040390428</v>
      </c>
      <c r="X43" s="772">
        <v>5027.3005587696371</v>
      </c>
      <c r="Y43" s="772">
        <v>0</v>
      </c>
      <c r="Z43" s="773">
        <v>0</v>
      </c>
    </row>
    <row r="44" spans="1:26" ht="16.2"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08"/>
      <c r="K44" s="808"/>
      <c r="L44" s="808"/>
      <c r="N44" s="794">
        <v>2023</v>
      </c>
      <c r="O44" s="788">
        <v>247.90896038484991</v>
      </c>
      <c r="P44" s="788">
        <v>120</v>
      </c>
      <c r="Q44" s="789">
        <v>257.44392039965186</v>
      </c>
      <c r="S44" s="776">
        <v>2023</v>
      </c>
      <c r="T44" s="772">
        <v>2644.8299177244553</v>
      </c>
      <c r="U44" s="772">
        <v>3522.5012879247402</v>
      </c>
      <c r="V44" s="772">
        <v>3522.5012879247402</v>
      </c>
      <c r="W44" s="772">
        <v>3522.5012879247402</v>
      </c>
      <c r="X44" s="772">
        <v>4934.5562363835415</v>
      </c>
      <c r="Y44" s="772">
        <v>0</v>
      </c>
      <c r="Z44" s="773">
        <v>0</v>
      </c>
    </row>
    <row r="45" spans="1:26" ht="15.6">
      <c r="A45" s="747">
        <v>2020</v>
      </c>
      <c r="B45" s="748">
        <v>148.5</v>
      </c>
      <c r="C45" s="750">
        <v>146.70000000000002</v>
      </c>
      <c r="D45" s="748">
        <v>55.512685332272802</v>
      </c>
      <c r="E45" s="745">
        <v>63.170664832377113</v>
      </c>
      <c r="F45" s="745">
        <v>86.409454824702422</v>
      </c>
      <c r="G45" s="745">
        <v>86.409454824702422</v>
      </c>
      <c r="H45" s="745">
        <v>86.409454824702422</v>
      </c>
      <c r="I45" s="749">
        <v>0</v>
      </c>
      <c r="J45" s="808"/>
      <c r="K45" s="808"/>
      <c r="L45" s="808"/>
      <c r="N45" s="794">
        <v>2024</v>
      </c>
      <c r="O45" s="788">
        <v>244.00488226855305</v>
      </c>
      <c r="P45" s="788">
        <v>120</v>
      </c>
      <c r="Q45" s="789">
        <v>253.38968543272821</v>
      </c>
      <c r="S45" s="776">
        <v>2024</v>
      </c>
      <c r="T45" s="772">
        <v>2534.9297698248661</v>
      </c>
      <c r="U45" s="772">
        <v>3402.1386816980589</v>
      </c>
      <c r="V45" s="772">
        <v>3402.1386816980589</v>
      </c>
      <c r="W45" s="772">
        <v>3402.1386816980589</v>
      </c>
      <c r="X45" s="772">
        <v>4813.0937988775295</v>
      </c>
      <c r="Y45" s="772">
        <v>0</v>
      </c>
      <c r="Z45" s="773">
        <v>0</v>
      </c>
    </row>
    <row r="46" spans="1:26" ht="15.6">
      <c r="A46" s="751">
        <v>2021</v>
      </c>
      <c r="B46" s="752">
        <v>148.5</v>
      </c>
      <c r="C46" s="758">
        <v>146.70000000000002</v>
      </c>
      <c r="D46" s="752">
        <v>55.512685332272802</v>
      </c>
      <c r="E46" s="746">
        <v>63.170664832377113</v>
      </c>
      <c r="F46" s="746">
        <v>86.409454824702422</v>
      </c>
      <c r="G46" s="746">
        <v>86.409454824702422</v>
      </c>
      <c r="H46" s="746">
        <v>86.409454824702422</v>
      </c>
      <c r="I46" s="753">
        <v>0</v>
      </c>
      <c r="J46" s="808"/>
      <c r="K46" s="808"/>
      <c r="L46" s="808"/>
      <c r="N46" s="794">
        <v>2025</v>
      </c>
      <c r="O46" s="788">
        <v>240.16228569739471</v>
      </c>
      <c r="P46" s="788">
        <v>120</v>
      </c>
      <c r="Q46" s="789">
        <v>249.39929668575613</v>
      </c>
      <c r="S46" s="776">
        <v>2025</v>
      </c>
      <c r="T46" s="772">
        <v>2433.9564213250383</v>
      </c>
      <c r="U46" s="772">
        <v>3291.5857235534677</v>
      </c>
      <c r="V46" s="772">
        <v>3291.5857235534677</v>
      </c>
      <c r="W46" s="772">
        <v>3291.5857235534677</v>
      </c>
      <c r="X46" s="772">
        <v>4612.4007548876425</v>
      </c>
      <c r="Y46" s="772">
        <v>0</v>
      </c>
      <c r="Z46" s="773">
        <v>0</v>
      </c>
    </row>
    <row r="47" spans="1:26" ht="15.6">
      <c r="A47" s="751">
        <v>2022</v>
      </c>
      <c r="B47" s="752">
        <v>148.5</v>
      </c>
      <c r="C47" s="758">
        <v>146.70000000000002</v>
      </c>
      <c r="D47" s="752">
        <v>55.512685332272802</v>
      </c>
      <c r="E47" s="746">
        <v>63.170664832377113</v>
      </c>
      <c r="F47" s="746">
        <v>86.409454824702422</v>
      </c>
      <c r="G47" s="746">
        <v>86.409454824702422</v>
      </c>
      <c r="H47" s="746">
        <v>86.409454824702422</v>
      </c>
      <c r="I47" s="753">
        <v>0</v>
      </c>
      <c r="J47" s="808"/>
      <c r="K47" s="808"/>
      <c r="L47" s="808"/>
      <c r="N47" s="794">
        <v>2026</v>
      </c>
      <c r="O47" s="788">
        <v>236.38020245806564</v>
      </c>
      <c r="P47" s="788">
        <v>120</v>
      </c>
      <c r="Q47" s="789">
        <v>245.4717487064529</v>
      </c>
      <c r="S47" s="776">
        <v>2026</v>
      </c>
      <c r="T47" s="772">
        <v>2360.1080220983117</v>
      </c>
      <c r="U47" s="772">
        <v>3219.7737774481516</v>
      </c>
      <c r="V47" s="772">
        <v>3219.7737774481516</v>
      </c>
      <c r="W47" s="772">
        <v>3219.7737774481516</v>
      </c>
      <c r="X47" s="772">
        <v>4485.4491428216752</v>
      </c>
      <c r="Y47" s="772">
        <v>0</v>
      </c>
      <c r="Z47" s="773">
        <v>0</v>
      </c>
    </row>
    <row r="48" spans="1:26" ht="15.6">
      <c r="A48" s="751">
        <v>2023</v>
      </c>
      <c r="B48" s="752">
        <v>148.5</v>
      </c>
      <c r="C48" s="758">
        <v>146.70000000000002</v>
      </c>
      <c r="D48" s="752">
        <v>55.512685332272802</v>
      </c>
      <c r="E48" s="746">
        <v>63.170664832377113</v>
      </c>
      <c r="F48" s="746">
        <v>86.409454824702422</v>
      </c>
      <c r="G48" s="746">
        <v>86.409454824702422</v>
      </c>
      <c r="H48" s="746">
        <v>86.409454824702422</v>
      </c>
      <c r="I48" s="753">
        <v>0</v>
      </c>
      <c r="J48" s="808"/>
      <c r="K48" s="808"/>
      <c r="L48" s="808"/>
      <c r="N48" s="794">
        <v>2027</v>
      </c>
      <c r="O48" s="788">
        <v>232.65767958471028</v>
      </c>
      <c r="P48" s="788">
        <v>120</v>
      </c>
      <c r="Q48" s="789">
        <v>241.60605187643</v>
      </c>
      <c r="S48" s="776">
        <v>2027</v>
      </c>
      <c r="T48" s="772">
        <v>2289.346088011428</v>
      </c>
      <c r="U48" s="772">
        <v>3150.6583663410756</v>
      </c>
      <c r="V48" s="772">
        <v>3150.6583663410756</v>
      </c>
      <c r="W48" s="772">
        <v>3150.6583663410756</v>
      </c>
      <c r="X48" s="772">
        <v>4362.8889135131958</v>
      </c>
      <c r="Y48" s="772">
        <v>0</v>
      </c>
      <c r="Z48" s="773">
        <v>0</v>
      </c>
    </row>
    <row r="49" spans="1:26" ht="15.6">
      <c r="A49" s="751">
        <v>2024</v>
      </c>
      <c r="B49" s="752">
        <v>148.5</v>
      </c>
      <c r="C49" s="758">
        <v>146.70000000000002</v>
      </c>
      <c r="D49" s="752">
        <v>55.512685332272802</v>
      </c>
      <c r="E49" s="746">
        <v>63.170664832377113</v>
      </c>
      <c r="F49" s="746">
        <v>86.409454824702422</v>
      </c>
      <c r="G49" s="746">
        <v>86.409454824702422</v>
      </c>
      <c r="H49" s="746">
        <v>86.409454824702422</v>
      </c>
      <c r="I49" s="753">
        <v>0</v>
      </c>
      <c r="J49" s="808"/>
      <c r="K49" s="808"/>
      <c r="L49" s="808"/>
      <c r="N49" s="794">
        <v>2028</v>
      </c>
      <c r="O49" s="788">
        <v>228.99377911880933</v>
      </c>
      <c r="P49" s="788">
        <v>120</v>
      </c>
      <c r="Q49" s="789">
        <v>237.80123216184057</v>
      </c>
      <c r="S49" s="776">
        <v>2028</v>
      </c>
      <c r="T49" s="772">
        <v>2222.9195059201847</v>
      </c>
      <c r="U49" s="772">
        <v>3086.1100174098683</v>
      </c>
      <c r="V49" s="772">
        <v>3086.1100174098683</v>
      </c>
      <c r="W49" s="772">
        <v>3086.1100174098683</v>
      </c>
      <c r="X49" s="772">
        <v>4246.5279700150313</v>
      </c>
      <c r="Y49" s="772">
        <v>0</v>
      </c>
      <c r="Z49" s="773">
        <v>0</v>
      </c>
    </row>
    <row r="50" spans="1:26" ht="15.6">
      <c r="A50" s="751">
        <v>2025</v>
      </c>
      <c r="B50" s="752">
        <v>148.5</v>
      </c>
      <c r="C50" s="758">
        <v>146.70000000000002</v>
      </c>
      <c r="D50" s="752">
        <v>55.512685332272802</v>
      </c>
      <c r="E50" s="746">
        <v>63.170664832377113</v>
      </c>
      <c r="F50" s="746">
        <v>86.409454824702422</v>
      </c>
      <c r="G50" s="746">
        <v>86.409454824702422</v>
      </c>
      <c r="H50" s="746">
        <v>86.409454824702422</v>
      </c>
      <c r="I50" s="753">
        <v>0</v>
      </c>
      <c r="J50" s="808"/>
      <c r="K50" s="808"/>
      <c r="L50" s="808"/>
      <c r="N50" s="794">
        <v>2029</v>
      </c>
      <c r="O50" s="788">
        <v>225.38757787284382</v>
      </c>
      <c r="P50" s="788">
        <v>120</v>
      </c>
      <c r="Q50" s="789">
        <v>234.05633086795331</v>
      </c>
      <c r="S50" s="776">
        <v>2029</v>
      </c>
      <c r="T50" s="772">
        <v>2157.4140215363045</v>
      </c>
      <c r="U50" s="772">
        <v>3021.4485652276512</v>
      </c>
      <c r="V50" s="772">
        <v>3021.4485652276512</v>
      </c>
      <c r="W50" s="772">
        <v>3021.4485652276512</v>
      </c>
      <c r="X50" s="772">
        <v>4131.6938839399763</v>
      </c>
      <c r="Y50" s="772">
        <v>0</v>
      </c>
      <c r="Z50" s="773">
        <v>0</v>
      </c>
    </row>
    <row r="51" spans="1:26" ht="15.6">
      <c r="A51" s="751">
        <v>2026</v>
      </c>
      <c r="B51" s="752">
        <v>148.5</v>
      </c>
      <c r="C51" s="758">
        <v>146.70000000000002</v>
      </c>
      <c r="D51" s="752">
        <v>55.512685332272802</v>
      </c>
      <c r="E51" s="746">
        <v>63.170664832377113</v>
      </c>
      <c r="F51" s="746">
        <v>86.409454824702422</v>
      </c>
      <c r="G51" s="746">
        <v>86.409454824702422</v>
      </c>
      <c r="H51" s="746">
        <v>86.409454824702422</v>
      </c>
      <c r="I51" s="753">
        <v>0</v>
      </c>
      <c r="J51" s="808"/>
      <c r="K51" s="808"/>
      <c r="L51" s="808"/>
      <c r="N51" s="794">
        <v>2030</v>
      </c>
      <c r="O51" s="788">
        <v>221.83816719768095</v>
      </c>
      <c r="P51" s="788">
        <v>120</v>
      </c>
      <c r="Q51" s="789">
        <v>230.37040439759187</v>
      </c>
      <c r="S51" s="776">
        <v>2030</v>
      </c>
      <c r="T51" s="772">
        <v>2093.7616049503849</v>
      </c>
      <c r="U51" s="772">
        <v>2958.4507688920862</v>
      </c>
      <c r="V51" s="772">
        <v>2958.4507688920862</v>
      </c>
      <c r="W51" s="772">
        <v>2958.4507688920862</v>
      </c>
      <c r="X51" s="772">
        <v>4020.091836645342</v>
      </c>
      <c r="Y51" s="772">
        <v>0</v>
      </c>
      <c r="Z51" s="773">
        <v>0</v>
      </c>
    </row>
    <row r="52" spans="1:26" ht="15.6">
      <c r="A52" s="751">
        <v>2027</v>
      </c>
      <c r="B52" s="752">
        <v>148.5</v>
      </c>
      <c r="C52" s="758">
        <v>146.70000000000002</v>
      </c>
      <c r="D52" s="752">
        <v>55.512685332272802</v>
      </c>
      <c r="E52" s="746">
        <v>63.170664832377113</v>
      </c>
      <c r="F52" s="746">
        <v>86.409454824702422</v>
      </c>
      <c r="G52" s="746">
        <v>86.409454824702422</v>
      </c>
      <c r="H52" s="746">
        <v>86.409454824702422</v>
      </c>
      <c r="I52" s="753">
        <v>0</v>
      </c>
      <c r="J52" s="808"/>
      <c r="K52" s="808"/>
      <c r="L52" s="808"/>
      <c r="N52" s="794">
        <v>2031</v>
      </c>
      <c r="O52" s="788">
        <v>218.34465275362297</v>
      </c>
      <c r="P52" s="788">
        <v>120</v>
      </c>
      <c r="Q52" s="789">
        <v>226.74252401337779</v>
      </c>
      <c r="S52" s="776">
        <v>2031</v>
      </c>
      <c r="T52" s="772">
        <v>2031.876500227469</v>
      </c>
      <c r="U52" s="772">
        <v>2896.8333404790869</v>
      </c>
      <c r="V52" s="772">
        <v>2896.8333404790869</v>
      </c>
      <c r="W52" s="772">
        <v>2896.8333404790869</v>
      </c>
      <c r="X52" s="772">
        <v>3911.3920151562879</v>
      </c>
      <c r="Y52" s="772">
        <v>0</v>
      </c>
      <c r="Z52" s="773">
        <v>0</v>
      </c>
    </row>
    <row r="53" spans="1:26" ht="15.6">
      <c r="A53" s="751">
        <v>2028</v>
      </c>
      <c r="B53" s="752">
        <v>148.5</v>
      </c>
      <c r="C53" s="758">
        <v>146.70000000000002</v>
      </c>
      <c r="D53" s="752">
        <v>55.512685332272802</v>
      </c>
      <c r="E53" s="746">
        <v>63.170664832377113</v>
      </c>
      <c r="F53" s="746">
        <v>86.409454824702422</v>
      </c>
      <c r="G53" s="746">
        <v>86.409454824702422</v>
      </c>
      <c r="H53" s="746">
        <v>86.409454824702422</v>
      </c>
      <c r="I53" s="753">
        <v>0</v>
      </c>
      <c r="J53" s="808"/>
      <c r="K53" s="808"/>
      <c r="L53" s="808"/>
      <c r="N53" s="794">
        <v>2032</v>
      </c>
      <c r="O53" s="788">
        <v>214.906154285062</v>
      </c>
      <c r="P53" s="788">
        <v>120</v>
      </c>
      <c r="Q53" s="789">
        <v>223.17177560371829</v>
      </c>
      <c r="S53" s="776">
        <v>2032</v>
      </c>
      <c r="T53" s="772">
        <v>1971.4832297931762</v>
      </c>
      <c r="U53" s="772">
        <v>2836.2894068716637</v>
      </c>
      <c r="V53" s="772">
        <v>2836.2894068716637</v>
      </c>
      <c r="W53" s="772">
        <v>2836.2894068716637</v>
      </c>
      <c r="X53" s="772">
        <v>3805.239096510049</v>
      </c>
      <c r="Y53" s="772">
        <v>0</v>
      </c>
      <c r="Z53" s="773">
        <v>0</v>
      </c>
    </row>
    <row r="54" spans="1:26" ht="15.6">
      <c r="A54" s="751">
        <v>2029</v>
      </c>
      <c r="B54" s="752">
        <v>148.5</v>
      </c>
      <c r="C54" s="758">
        <v>146.70000000000002</v>
      </c>
      <c r="D54" s="752">
        <v>55.512685332272802</v>
      </c>
      <c r="E54" s="746">
        <v>63.170664832377113</v>
      </c>
      <c r="F54" s="746">
        <v>86.409454824702422</v>
      </c>
      <c r="G54" s="746">
        <v>86.409454824702422</v>
      </c>
      <c r="H54" s="746">
        <v>86.409454824702422</v>
      </c>
      <c r="I54" s="753">
        <v>0</v>
      </c>
      <c r="J54" s="808"/>
      <c r="K54" s="808"/>
      <c r="L54" s="808"/>
      <c r="N54" s="794">
        <v>2033</v>
      </c>
      <c r="O54" s="788">
        <v>211.52180539868306</v>
      </c>
      <c r="P54" s="788">
        <v>120</v>
      </c>
      <c r="Q54" s="789">
        <v>219.65725945247863</v>
      </c>
      <c r="S54" s="776">
        <v>2033</v>
      </c>
      <c r="T54" s="772">
        <v>1915.2463831669324</v>
      </c>
      <c r="U54" s="772">
        <v>2780.4258698908839</v>
      </c>
      <c r="V54" s="772">
        <v>2780.4258698908839</v>
      </c>
      <c r="W54" s="772">
        <v>2780.4258698908839</v>
      </c>
      <c r="X54" s="772">
        <v>3705.2131840386141</v>
      </c>
      <c r="Y54" s="772">
        <v>0</v>
      </c>
      <c r="Z54" s="773">
        <v>0</v>
      </c>
    </row>
    <row r="55" spans="1:26" ht="15.6">
      <c r="A55" s="751">
        <v>2030</v>
      </c>
      <c r="B55" s="752">
        <v>148.5</v>
      </c>
      <c r="C55" s="758">
        <v>146.70000000000002</v>
      </c>
      <c r="D55" s="752">
        <v>55.512685332272802</v>
      </c>
      <c r="E55" s="746">
        <v>63.170664832377113</v>
      </c>
      <c r="F55" s="746">
        <v>86.409454824702422</v>
      </c>
      <c r="G55" s="746">
        <v>86.409454824702422</v>
      </c>
      <c r="H55" s="746">
        <v>86.409454824702422</v>
      </c>
      <c r="I55" s="753">
        <v>0</v>
      </c>
      <c r="J55" s="808"/>
      <c r="K55" s="808"/>
      <c r="L55" s="808"/>
      <c r="N55" s="794">
        <v>2034</v>
      </c>
      <c r="O55" s="788">
        <v>208.19075334516049</v>
      </c>
      <c r="P55" s="788">
        <v>120</v>
      </c>
      <c r="Q55" s="789">
        <v>216.19809001228211</v>
      </c>
      <c r="S55" s="776">
        <v>2034</v>
      </c>
      <c r="T55" s="772">
        <v>1860.9839253243376</v>
      </c>
      <c r="U55" s="772">
        <v>2725.956640611857</v>
      </c>
      <c r="V55" s="772">
        <v>2725.956640611857</v>
      </c>
      <c r="W55" s="772">
        <v>2725.956640611857</v>
      </c>
      <c r="X55" s="772">
        <v>3607.9867368654168</v>
      </c>
      <c r="Y55" s="772">
        <v>0</v>
      </c>
      <c r="Z55" s="773">
        <v>0</v>
      </c>
    </row>
    <row r="56" spans="1:26" ht="15.6">
      <c r="A56" s="733">
        <v>2031</v>
      </c>
      <c r="B56" s="752">
        <v>148.5</v>
      </c>
      <c r="C56" s="758">
        <v>146.70000000000002</v>
      </c>
      <c r="D56" s="809">
        <v>55.512685332272802</v>
      </c>
      <c r="E56" s="740">
        <v>63.170664832377113</v>
      </c>
      <c r="F56" s="740">
        <v>86.409454824702422</v>
      </c>
      <c r="G56" s="740">
        <v>86.409454824702422</v>
      </c>
      <c r="H56" s="740">
        <v>86.409454824702422</v>
      </c>
      <c r="I56" s="810">
        <v>0</v>
      </c>
      <c r="J56" s="808"/>
      <c r="K56" s="808"/>
      <c r="L56" s="808"/>
      <c r="N56" s="794">
        <v>2035</v>
      </c>
      <c r="O56" s="788">
        <v>204.91215880429183</v>
      </c>
      <c r="P56" s="788">
        <v>120</v>
      </c>
      <c r="Q56" s="789">
        <v>212.79339568138002</v>
      </c>
      <c r="S56" s="776">
        <v>2035</v>
      </c>
      <c r="T56" s="772">
        <v>1809.3704188260726</v>
      </c>
      <c r="U56" s="772">
        <v>2674.1866575956442</v>
      </c>
      <c r="V56" s="772">
        <v>2674.1866575956442</v>
      </c>
      <c r="W56" s="772">
        <v>2674.1866575956442</v>
      </c>
      <c r="X56" s="772">
        <v>3514.83972487447</v>
      </c>
      <c r="Y56" s="772">
        <v>0</v>
      </c>
      <c r="Z56" s="773">
        <v>0</v>
      </c>
    </row>
    <row r="57" spans="1:26" ht="15.6">
      <c r="A57" s="733">
        <v>2032</v>
      </c>
      <c r="B57" s="752">
        <v>148.5</v>
      </c>
      <c r="C57" s="758">
        <v>146.70000000000002</v>
      </c>
      <c r="D57" s="809">
        <v>55.512685332272802</v>
      </c>
      <c r="E57" s="740">
        <v>63.170664832377113</v>
      </c>
      <c r="F57" s="740">
        <v>86.409454824702422</v>
      </c>
      <c r="G57" s="740">
        <v>86.409454824702422</v>
      </c>
      <c r="H57" s="740">
        <v>86.409454824702422</v>
      </c>
      <c r="I57" s="810">
        <v>0</v>
      </c>
      <c r="J57" s="808"/>
      <c r="K57" s="808"/>
      <c r="L57" s="808"/>
      <c r="N57" s="794">
        <v>2036</v>
      </c>
      <c r="O57" s="788">
        <v>201.68519567351558</v>
      </c>
      <c r="P57" s="788">
        <v>120</v>
      </c>
      <c r="Q57" s="789">
        <v>209.44231858403546</v>
      </c>
      <c r="S57" s="776">
        <v>2036</v>
      </c>
      <c r="T57" s="772">
        <v>1760.5608166620782</v>
      </c>
      <c r="U57" s="772">
        <v>2625.1991551570914</v>
      </c>
      <c r="V57" s="772">
        <v>2625.1991551570914</v>
      </c>
      <c r="W57" s="772">
        <v>2625.1991551570914</v>
      </c>
      <c r="X57" s="772">
        <v>3425.829648062253</v>
      </c>
      <c r="Y57" s="772">
        <v>0</v>
      </c>
      <c r="Z57" s="773">
        <v>0</v>
      </c>
    </row>
    <row r="58" spans="1:26" ht="16.2" thickBot="1">
      <c r="A58" s="733">
        <v>2033</v>
      </c>
      <c r="B58" s="752">
        <v>148.5</v>
      </c>
      <c r="C58" s="758">
        <v>146.70000000000002</v>
      </c>
      <c r="D58" s="809">
        <v>55.512685332272802</v>
      </c>
      <c r="E58" s="740">
        <v>63.170664832377113</v>
      </c>
      <c r="F58" s="740">
        <v>86.409454824702422</v>
      </c>
      <c r="G58" s="740">
        <v>86.409454824702422</v>
      </c>
      <c r="H58" s="740">
        <v>86.409454824702422</v>
      </c>
      <c r="I58" s="810">
        <v>0</v>
      </c>
      <c r="J58" s="808"/>
      <c r="K58" s="808"/>
      <c r="L58" s="808"/>
      <c r="N58" s="794">
        <v>2037</v>
      </c>
      <c r="O58" s="788">
        <v>198.50905085975944</v>
      </c>
      <c r="P58" s="788">
        <v>120</v>
      </c>
      <c r="Q58" s="789">
        <v>206.14401435436562</v>
      </c>
      <c r="S58" s="776">
        <v>2037</v>
      </c>
      <c r="T58" s="772">
        <v>1715.5024963648434</v>
      </c>
      <c r="U58" s="772">
        <v>2580.278209116218</v>
      </c>
      <c r="V58" s="772">
        <v>2580.278209116218</v>
      </c>
      <c r="W58" s="772">
        <v>2580.278209116218</v>
      </c>
      <c r="X58" s="772">
        <v>3342.2382886577047</v>
      </c>
      <c r="Y58" s="772">
        <v>0</v>
      </c>
      <c r="Z58" s="773">
        <v>0</v>
      </c>
    </row>
    <row r="59" spans="1:26" ht="15.6">
      <c r="A59" s="747">
        <v>2034</v>
      </c>
      <c r="B59" s="752">
        <v>148.5</v>
      </c>
      <c r="C59" s="758">
        <v>146.70000000000002</v>
      </c>
      <c r="D59" s="809">
        <v>55.512685332272802</v>
      </c>
      <c r="E59" s="740">
        <v>63.170664832377113</v>
      </c>
      <c r="F59" s="740">
        <v>86.409454824702422</v>
      </c>
      <c r="G59" s="740">
        <v>86.409454824702422</v>
      </c>
      <c r="H59" s="740">
        <v>86.409454824702422</v>
      </c>
      <c r="I59" s="810">
        <v>0</v>
      </c>
      <c r="J59" s="808"/>
      <c r="K59" s="808"/>
      <c r="L59" s="808"/>
      <c r="N59" s="794">
        <v>2038</v>
      </c>
      <c r="O59" s="788">
        <v>195.3829240745664</v>
      </c>
      <c r="P59" s="788">
        <v>120</v>
      </c>
      <c r="Q59" s="789">
        <v>202.8976519235882</v>
      </c>
      <c r="S59" s="776">
        <v>2038</v>
      </c>
      <c r="T59" s="772">
        <v>1672.6930415935767</v>
      </c>
      <c r="U59" s="772">
        <v>2537.2876942321791</v>
      </c>
      <c r="V59" s="772">
        <v>2537.2876942321791</v>
      </c>
      <c r="W59" s="772">
        <v>2537.2876942321791</v>
      </c>
      <c r="X59" s="772">
        <v>3261.8709353344243</v>
      </c>
      <c r="Y59" s="772">
        <v>0</v>
      </c>
      <c r="Z59" s="773">
        <v>0</v>
      </c>
    </row>
    <row r="60" spans="1:26" ht="15.6">
      <c r="A60" s="751">
        <v>2035</v>
      </c>
      <c r="B60" s="752">
        <v>148.5</v>
      </c>
      <c r="C60" s="758">
        <v>146.70000000000002</v>
      </c>
      <c r="D60" s="809">
        <v>55.512685332272802</v>
      </c>
      <c r="E60" s="740">
        <v>63.170664832377113</v>
      </c>
      <c r="F60" s="740">
        <v>86.409454824702422</v>
      </c>
      <c r="G60" s="740">
        <v>86.409454824702422</v>
      </c>
      <c r="H60" s="740">
        <v>86.409454824702422</v>
      </c>
      <c r="I60" s="810">
        <v>0</v>
      </c>
      <c r="J60" s="808"/>
      <c r="K60" s="808"/>
      <c r="L60" s="808"/>
      <c r="N60" s="794">
        <v>2039</v>
      </c>
      <c r="O60" s="788">
        <v>192.30602763244724</v>
      </c>
      <c r="P60" s="788">
        <v>120</v>
      </c>
      <c r="Q60" s="789">
        <v>199.70241331061828</v>
      </c>
      <c r="S60" s="776">
        <v>2039</v>
      </c>
      <c r="T60" s="772">
        <v>1631.2488757360766</v>
      </c>
      <c r="U60" s="772">
        <v>2495.3203767709251</v>
      </c>
      <c r="V60" s="772">
        <v>2495.3203767709251</v>
      </c>
      <c r="W60" s="772">
        <v>2495.3203767709251</v>
      </c>
      <c r="X60" s="772">
        <v>3183.7691557849662</v>
      </c>
      <c r="Y60" s="772">
        <v>0</v>
      </c>
      <c r="Z60" s="773">
        <v>0</v>
      </c>
    </row>
    <row r="61" spans="1:26" ht="16.2" thickBot="1">
      <c r="A61" s="751">
        <v>2036</v>
      </c>
      <c r="B61" s="752">
        <v>148.5</v>
      </c>
      <c r="C61" s="758">
        <v>146.70000000000002</v>
      </c>
      <c r="D61" s="809">
        <v>55.512685332272802</v>
      </c>
      <c r="E61" s="740">
        <v>63.170664832377113</v>
      </c>
      <c r="F61" s="740">
        <v>86.409454824702422</v>
      </c>
      <c r="G61" s="740">
        <v>86.409454824702422</v>
      </c>
      <c r="H61" s="740">
        <v>86.409454824702422</v>
      </c>
      <c r="I61" s="810">
        <v>0</v>
      </c>
      <c r="J61" s="808"/>
      <c r="K61" s="808"/>
      <c r="L61" s="808"/>
      <c r="N61" s="795">
        <v>2040</v>
      </c>
      <c r="O61" s="790">
        <v>189.27758625240872</v>
      </c>
      <c r="P61" s="790">
        <v>120</v>
      </c>
      <c r="Q61" s="791">
        <v>196.55749341596288</v>
      </c>
      <c r="S61" s="777">
        <v>2040</v>
      </c>
      <c r="T61" s="774">
        <v>1590.6792573000998</v>
      </c>
      <c r="U61" s="774">
        <v>2453.8480027922087</v>
      </c>
      <c r="V61" s="774">
        <v>2453.8480027922087</v>
      </c>
      <c r="W61" s="774">
        <v>2453.8480027922087</v>
      </c>
      <c r="X61" s="774">
        <v>3107.3556320957841</v>
      </c>
      <c r="Y61" s="774">
        <v>0</v>
      </c>
      <c r="Z61" s="775">
        <v>0</v>
      </c>
    </row>
    <row r="62" spans="1:26" ht="16.2" thickBot="1">
      <c r="A62" s="751">
        <v>2037</v>
      </c>
      <c r="B62" s="752">
        <v>148.5</v>
      </c>
      <c r="C62" s="758">
        <v>146.70000000000002</v>
      </c>
      <c r="D62" s="809">
        <v>55.512685332272802</v>
      </c>
      <c r="E62" s="740">
        <v>63.170664832377113</v>
      </c>
      <c r="F62" s="740">
        <v>86.409454824702422</v>
      </c>
      <c r="G62" s="740">
        <v>86.409454824702422</v>
      </c>
      <c r="H62" s="740">
        <v>86.409454824702422</v>
      </c>
      <c r="I62" s="810">
        <v>0</v>
      </c>
      <c r="N62" s="794">
        <v>2041</v>
      </c>
      <c r="O62" s="790">
        <v>189.27758625240872</v>
      </c>
      <c r="P62" s="790">
        <v>120</v>
      </c>
      <c r="Q62" s="791">
        <v>196.55749341596288</v>
      </c>
      <c r="S62" s="776">
        <v>2041</v>
      </c>
      <c r="T62" s="774">
        <v>1590.6792573000998</v>
      </c>
      <c r="U62" s="774">
        <v>2453.8480027922087</v>
      </c>
      <c r="V62" s="774">
        <v>2453.8480027922087</v>
      </c>
      <c r="W62" s="774">
        <v>2453.8480027922087</v>
      </c>
      <c r="X62" s="774">
        <v>3107.3556320957841</v>
      </c>
      <c r="Y62" s="774">
        <v>0</v>
      </c>
      <c r="Z62" s="775">
        <v>0</v>
      </c>
    </row>
    <row r="63" spans="1:26" ht="16.2" thickBot="1">
      <c r="A63" s="751">
        <v>2038</v>
      </c>
      <c r="B63" s="752">
        <v>148.5</v>
      </c>
      <c r="C63" s="758">
        <v>146.70000000000002</v>
      </c>
      <c r="D63" s="809">
        <v>55.512685332272802</v>
      </c>
      <c r="E63" s="740">
        <v>63.170664832377113</v>
      </c>
      <c r="F63" s="740">
        <v>86.409454824702422</v>
      </c>
      <c r="G63" s="740">
        <v>86.409454824702422</v>
      </c>
      <c r="H63" s="740">
        <v>86.409454824702422</v>
      </c>
      <c r="I63" s="810">
        <v>0</v>
      </c>
      <c r="N63" s="795">
        <v>2042</v>
      </c>
      <c r="O63" s="790">
        <v>189.27758625240872</v>
      </c>
      <c r="P63" s="790">
        <v>120</v>
      </c>
      <c r="Q63" s="791">
        <v>196.55749341596288</v>
      </c>
      <c r="S63" s="777">
        <v>2042</v>
      </c>
      <c r="T63" s="774">
        <v>1590.6792573000998</v>
      </c>
      <c r="U63" s="774">
        <v>2453.8480027922087</v>
      </c>
      <c r="V63" s="774">
        <v>2453.8480027922087</v>
      </c>
      <c r="W63" s="774">
        <v>2453.8480027922087</v>
      </c>
      <c r="X63" s="774">
        <v>3107.3556320957841</v>
      </c>
      <c r="Y63" s="774">
        <v>0</v>
      </c>
      <c r="Z63" s="775">
        <v>0</v>
      </c>
    </row>
    <row r="64" spans="1:26" ht="16.2" thickBot="1">
      <c r="A64" s="751">
        <v>2039</v>
      </c>
      <c r="B64" s="752">
        <v>148.5</v>
      </c>
      <c r="C64" s="758">
        <v>146.70000000000002</v>
      </c>
      <c r="D64" s="809">
        <v>55.512685332272802</v>
      </c>
      <c r="E64" s="740">
        <v>63.170664832377113</v>
      </c>
      <c r="F64" s="740">
        <v>86.409454824702422</v>
      </c>
      <c r="G64" s="740">
        <v>86.409454824702422</v>
      </c>
      <c r="H64" s="740">
        <v>86.409454824702422</v>
      </c>
      <c r="I64" s="810">
        <v>0</v>
      </c>
      <c r="N64" s="794">
        <v>2043</v>
      </c>
      <c r="O64" s="790">
        <v>189.27758625240872</v>
      </c>
      <c r="P64" s="790">
        <v>120</v>
      </c>
      <c r="Q64" s="791">
        <v>196.55749341596288</v>
      </c>
      <c r="S64" s="776">
        <v>2043</v>
      </c>
      <c r="T64" s="774">
        <v>1590.6792573000998</v>
      </c>
      <c r="U64" s="774">
        <v>2453.8480027922087</v>
      </c>
      <c r="V64" s="774">
        <v>2453.8480027922087</v>
      </c>
      <c r="W64" s="774">
        <v>2453.8480027922087</v>
      </c>
      <c r="X64" s="774">
        <v>3107.3556320957841</v>
      </c>
      <c r="Y64" s="774">
        <v>0</v>
      </c>
      <c r="Z64" s="775">
        <v>0</v>
      </c>
    </row>
    <row r="65" spans="1:26" ht="16.2" thickBot="1">
      <c r="A65" s="751">
        <v>2040</v>
      </c>
      <c r="B65" s="752">
        <v>148.5</v>
      </c>
      <c r="C65" s="758">
        <v>146.70000000000002</v>
      </c>
      <c r="D65" s="811">
        <v>55.512685332272802</v>
      </c>
      <c r="E65" s="812">
        <v>63.170664832377113</v>
      </c>
      <c r="F65" s="812">
        <v>86.409454824702422</v>
      </c>
      <c r="G65" s="812">
        <v>86.409454824702422</v>
      </c>
      <c r="H65" s="812">
        <v>86.409454824702422</v>
      </c>
      <c r="I65" s="813">
        <v>0</v>
      </c>
      <c r="N65" s="795">
        <v>2044</v>
      </c>
      <c r="O65" s="790">
        <v>189.27758625240872</v>
      </c>
      <c r="P65" s="790">
        <v>120</v>
      </c>
      <c r="Q65" s="791">
        <v>196.55749341596288</v>
      </c>
      <c r="S65" s="777">
        <v>2044</v>
      </c>
      <c r="T65" s="774">
        <v>1590.6792573000998</v>
      </c>
      <c r="U65" s="774">
        <v>2453.8480027922087</v>
      </c>
      <c r="V65" s="774">
        <v>2453.8480027922087</v>
      </c>
      <c r="W65" s="774">
        <v>2453.8480027922087</v>
      </c>
      <c r="X65" s="774">
        <v>3107.3556320957841</v>
      </c>
      <c r="Y65" s="774">
        <v>0</v>
      </c>
      <c r="Z65" s="775">
        <v>0</v>
      </c>
    </row>
    <row r="66" spans="1:26" ht="16.2" thickBot="1">
      <c r="A66" s="751">
        <v>2041</v>
      </c>
      <c r="B66" s="752">
        <v>148.5</v>
      </c>
      <c r="C66" s="758">
        <v>146.70000000000002</v>
      </c>
      <c r="D66" s="811">
        <v>55.512685332272802</v>
      </c>
      <c r="E66" s="812">
        <v>63.170664832377113</v>
      </c>
      <c r="F66" s="812">
        <v>86.409454824702422</v>
      </c>
      <c r="G66" s="812">
        <v>86.409454824702422</v>
      </c>
      <c r="H66" s="812">
        <v>86.409454824702422</v>
      </c>
      <c r="I66" s="813">
        <v>0</v>
      </c>
      <c r="N66" s="794">
        <v>2045</v>
      </c>
      <c r="O66" s="790">
        <v>189.27758625240872</v>
      </c>
      <c r="P66" s="790">
        <v>120</v>
      </c>
      <c r="Q66" s="791">
        <v>196.55749341596288</v>
      </c>
      <c r="S66" s="776">
        <v>2045</v>
      </c>
      <c r="T66" s="774">
        <v>1590.6792573000998</v>
      </c>
      <c r="U66" s="774">
        <v>2453.8480027922087</v>
      </c>
      <c r="V66" s="774">
        <v>2453.8480027922087</v>
      </c>
      <c r="W66" s="774">
        <v>2453.8480027922087</v>
      </c>
      <c r="X66" s="774">
        <v>3107.3556320957841</v>
      </c>
      <c r="Y66" s="774">
        <v>0</v>
      </c>
      <c r="Z66" s="775">
        <v>0</v>
      </c>
    </row>
    <row r="67" spans="1:26" ht="16.2" thickBot="1">
      <c r="A67" s="751">
        <v>2042</v>
      </c>
      <c r="B67" s="752">
        <v>148.5</v>
      </c>
      <c r="C67" s="758">
        <v>146.70000000000002</v>
      </c>
      <c r="D67" s="811">
        <v>55.512685332272802</v>
      </c>
      <c r="E67" s="812">
        <v>63.170664832377113</v>
      </c>
      <c r="F67" s="812">
        <v>86.409454824702422</v>
      </c>
      <c r="G67" s="812">
        <v>86.409454824702422</v>
      </c>
      <c r="H67" s="812">
        <v>86.409454824702422</v>
      </c>
      <c r="I67" s="813">
        <v>0</v>
      </c>
      <c r="N67" s="795">
        <v>2046</v>
      </c>
      <c r="O67" s="790">
        <v>189.27758625240872</v>
      </c>
      <c r="P67" s="790">
        <v>120</v>
      </c>
      <c r="Q67" s="791">
        <v>196.55749341596288</v>
      </c>
      <c r="S67" s="777">
        <v>2046</v>
      </c>
      <c r="T67" s="774">
        <v>1590.6792573000998</v>
      </c>
      <c r="U67" s="774">
        <v>2453.8480027922087</v>
      </c>
      <c r="V67" s="774">
        <v>2453.8480027922087</v>
      </c>
      <c r="W67" s="774">
        <v>2453.8480027922087</v>
      </c>
      <c r="X67" s="774">
        <v>3107.3556320957841</v>
      </c>
      <c r="Y67" s="774">
        <v>0</v>
      </c>
      <c r="Z67" s="775">
        <v>0</v>
      </c>
    </row>
    <row r="68" spans="1:26" ht="16.2" thickBot="1">
      <c r="A68" s="751">
        <v>2043</v>
      </c>
      <c r="B68" s="752">
        <v>148.5</v>
      </c>
      <c r="C68" s="758">
        <v>146.70000000000002</v>
      </c>
      <c r="D68" s="811">
        <v>55.512685332272802</v>
      </c>
      <c r="E68" s="812">
        <v>63.170664832377113</v>
      </c>
      <c r="F68" s="812">
        <v>86.409454824702422</v>
      </c>
      <c r="G68" s="812">
        <v>86.409454824702422</v>
      </c>
      <c r="H68" s="812">
        <v>86.409454824702422</v>
      </c>
      <c r="I68" s="813">
        <v>0</v>
      </c>
      <c r="N68" s="794">
        <v>2047</v>
      </c>
      <c r="O68" s="790">
        <v>189.27758625240872</v>
      </c>
      <c r="P68" s="790">
        <v>120</v>
      </c>
      <c r="Q68" s="791">
        <v>196.55749341596288</v>
      </c>
      <c r="S68" s="776">
        <v>2047</v>
      </c>
      <c r="T68" s="774">
        <v>1590.6792573000998</v>
      </c>
      <c r="U68" s="774">
        <v>2453.8480027922087</v>
      </c>
      <c r="V68" s="774">
        <v>2453.8480027922087</v>
      </c>
      <c r="W68" s="774">
        <v>2453.8480027922087</v>
      </c>
      <c r="X68" s="774">
        <v>3107.3556320957841</v>
      </c>
      <c r="Y68" s="774">
        <v>0</v>
      </c>
      <c r="Z68" s="775">
        <v>0</v>
      </c>
    </row>
    <row r="69" spans="1:26" ht="16.2" thickBot="1">
      <c r="A69" s="751">
        <v>2044</v>
      </c>
      <c r="B69" s="752">
        <v>148.5</v>
      </c>
      <c r="C69" s="758">
        <v>146.70000000000002</v>
      </c>
      <c r="D69" s="811">
        <v>55.512685332272802</v>
      </c>
      <c r="E69" s="812">
        <v>63.170664832377113</v>
      </c>
      <c r="F69" s="812">
        <v>86.409454824702422</v>
      </c>
      <c r="G69" s="812">
        <v>86.409454824702422</v>
      </c>
      <c r="H69" s="812">
        <v>86.409454824702422</v>
      </c>
      <c r="I69" s="813">
        <v>0</v>
      </c>
      <c r="N69" s="795">
        <v>2048</v>
      </c>
      <c r="O69" s="790">
        <v>189.27758625240872</v>
      </c>
      <c r="P69" s="790">
        <v>120</v>
      </c>
      <c r="Q69" s="791">
        <v>196.55749341596288</v>
      </c>
      <c r="S69" s="777">
        <v>2048</v>
      </c>
      <c r="T69" s="774">
        <v>1590.6792573000998</v>
      </c>
      <c r="U69" s="774">
        <v>2453.8480027922087</v>
      </c>
      <c r="V69" s="774">
        <v>2453.8480027922087</v>
      </c>
      <c r="W69" s="774">
        <v>2453.8480027922087</v>
      </c>
      <c r="X69" s="774">
        <v>3107.3556320957841</v>
      </c>
      <c r="Y69" s="774">
        <v>0</v>
      </c>
      <c r="Z69" s="775">
        <v>0</v>
      </c>
    </row>
    <row r="70" spans="1:26" ht="16.2" thickBot="1">
      <c r="A70" s="733">
        <v>2045</v>
      </c>
      <c r="B70" s="752">
        <v>148.5</v>
      </c>
      <c r="C70" s="758">
        <v>146.70000000000002</v>
      </c>
      <c r="D70" s="811">
        <v>55.512685332272802</v>
      </c>
      <c r="E70" s="812">
        <v>63.170664832377113</v>
      </c>
      <c r="F70" s="812">
        <v>86.409454824702422</v>
      </c>
      <c r="G70" s="812">
        <v>86.409454824702422</v>
      </c>
      <c r="H70" s="812">
        <v>86.409454824702422</v>
      </c>
      <c r="I70" s="813">
        <v>0</v>
      </c>
      <c r="N70" s="794">
        <v>2049</v>
      </c>
      <c r="O70" s="790">
        <v>189.27758625240872</v>
      </c>
      <c r="P70" s="790">
        <v>120</v>
      </c>
      <c r="Q70" s="791">
        <v>196.55749341596288</v>
      </c>
      <c r="S70" s="776">
        <v>2049</v>
      </c>
      <c r="T70" s="774">
        <v>1590.6792573000998</v>
      </c>
      <c r="U70" s="774">
        <v>2453.8480027922087</v>
      </c>
      <c r="V70" s="774">
        <v>2453.8480027922087</v>
      </c>
      <c r="W70" s="774">
        <v>2453.8480027922087</v>
      </c>
      <c r="X70" s="774">
        <v>3107.3556320957841</v>
      </c>
      <c r="Y70" s="774">
        <v>0</v>
      </c>
      <c r="Z70" s="775">
        <v>0</v>
      </c>
    </row>
    <row r="71" spans="1:26" ht="16.2" thickBot="1">
      <c r="A71" s="733">
        <v>2046</v>
      </c>
      <c r="B71" s="752">
        <v>148.5</v>
      </c>
      <c r="C71" s="758">
        <v>146.70000000000002</v>
      </c>
      <c r="D71" s="811">
        <v>55.512685332272802</v>
      </c>
      <c r="E71" s="812">
        <v>63.170664832377113</v>
      </c>
      <c r="F71" s="812">
        <v>86.409454824702422</v>
      </c>
      <c r="G71" s="812">
        <v>86.409454824702422</v>
      </c>
      <c r="H71" s="812">
        <v>86.409454824702422</v>
      </c>
      <c r="I71" s="813">
        <v>0</v>
      </c>
      <c r="N71" s="795">
        <v>2050</v>
      </c>
      <c r="O71" s="790">
        <v>189.27758625240872</v>
      </c>
      <c r="P71" s="790">
        <v>120</v>
      </c>
      <c r="Q71" s="791">
        <v>196.55749341596288</v>
      </c>
      <c r="S71" s="777">
        <v>2050</v>
      </c>
      <c r="T71" s="774">
        <v>1590.6792573000998</v>
      </c>
      <c r="U71" s="774">
        <v>2453.8480027922087</v>
      </c>
      <c r="V71" s="774">
        <v>2453.8480027922087</v>
      </c>
      <c r="W71" s="774">
        <v>2453.8480027922087</v>
      </c>
      <c r="X71" s="774">
        <v>3107.3556320957841</v>
      </c>
      <c r="Y71" s="774">
        <v>0</v>
      </c>
      <c r="Z71" s="775">
        <v>0</v>
      </c>
    </row>
    <row r="72" spans="1:26" ht="16.2" thickBot="1">
      <c r="A72" s="733">
        <v>2047</v>
      </c>
      <c r="B72" s="752">
        <v>148.5</v>
      </c>
      <c r="C72" s="758">
        <v>146.70000000000002</v>
      </c>
      <c r="D72" s="811">
        <v>55.512685332272802</v>
      </c>
      <c r="E72" s="812">
        <v>63.170664832377113</v>
      </c>
      <c r="F72" s="812">
        <v>86.409454824702422</v>
      </c>
      <c r="G72" s="812">
        <v>86.409454824702422</v>
      </c>
      <c r="H72" s="812">
        <v>86.409454824702422</v>
      </c>
      <c r="I72" s="813">
        <v>0</v>
      </c>
    </row>
    <row r="73" spans="1:26" ht="16.2" thickBot="1">
      <c r="A73" s="747">
        <v>2048</v>
      </c>
      <c r="B73" s="752">
        <v>148.5</v>
      </c>
      <c r="C73" s="758">
        <v>146.70000000000002</v>
      </c>
      <c r="D73" s="811">
        <v>55.512685332272802</v>
      </c>
      <c r="E73" s="812">
        <v>63.170664832377113</v>
      </c>
      <c r="F73" s="812">
        <v>86.409454824702422</v>
      </c>
      <c r="G73" s="812">
        <v>86.409454824702422</v>
      </c>
      <c r="H73" s="812">
        <v>86.409454824702422</v>
      </c>
      <c r="I73" s="813">
        <v>0</v>
      </c>
    </row>
    <row r="74" spans="1:26" ht="16.2" thickBot="1">
      <c r="A74" s="751">
        <v>2049</v>
      </c>
      <c r="B74" s="752">
        <v>148.5</v>
      </c>
      <c r="C74" s="758">
        <v>146.70000000000002</v>
      </c>
      <c r="D74" s="811">
        <v>55.512685332272802</v>
      </c>
      <c r="E74" s="812">
        <v>63.170664832377113</v>
      </c>
      <c r="F74" s="812">
        <v>86.409454824702422</v>
      </c>
      <c r="G74" s="812">
        <v>86.409454824702422</v>
      </c>
      <c r="H74" s="812">
        <v>86.409454824702422</v>
      </c>
      <c r="I74" s="813">
        <v>0</v>
      </c>
    </row>
    <row r="75" spans="1:26" ht="16.2" thickBot="1">
      <c r="A75" s="751">
        <v>2050</v>
      </c>
      <c r="B75" s="752">
        <v>148.5</v>
      </c>
      <c r="C75" s="758">
        <v>146.70000000000002</v>
      </c>
      <c r="D75" s="811">
        <v>55.512685332272802</v>
      </c>
      <c r="E75" s="812">
        <v>63.170664832377113</v>
      </c>
      <c r="F75" s="812">
        <v>86.409454824702422</v>
      </c>
      <c r="G75" s="812">
        <v>86.409454824702422</v>
      </c>
      <c r="H75" s="812">
        <v>86.409454824702422</v>
      </c>
      <c r="I75" s="813">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54" sqref="H54"/>
    </sheetView>
  </sheetViews>
  <sheetFormatPr defaultRowHeight="14.4"/>
  <cols>
    <col min="1" max="1" width="46.21875" customWidth="1"/>
    <col min="2" max="2" width="19.21875" bestFit="1" customWidth="1"/>
    <col min="3" max="3" width="32.6640625" bestFit="1" customWidth="1"/>
    <col min="4" max="4" width="18" bestFit="1" customWidth="1"/>
    <col min="5" max="5" width="17.33203125" customWidth="1"/>
    <col min="6" max="6" width="15.21875" bestFit="1" customWidth="1"/>
    <col min="7" max="7" width="12.33203125" bestFit="1" customWidth="1"/>
    <col min="8" max="8" width="20.33203125" customWidth="1"/>
    <col min="9" max="9" width="11.6640625" customWidth="1"/>
    <col min="10" max="10" width="40" customWidth="1"/>
    <col min="11" max="11" width="14" bestFit="1" customWidth="1"/>
    <col min="13" max="13" width="45.6640625" bestFit="1" customWidth="1"/>
    <col min="14" max="14" width="14.77734375" bestFit="1" customWidth="1"/>
    <col min="15" max="15" width="38.109375" customWidth="1"/>
    <col min="18" max="18" width="27.6640625" customWidth="1"/>
  </cols>
  <sheetData>
    <row r="1" spans="1:18" ht="18.600000000000001" thickBot="1">
      <c r="A1" s="885" t="s">
        <v>164</v>
      </c>
      <c r="B1" s="901"/>
      <c r="C1" s="901"/>
      <c r="D1" s="901"/>
      <c r="E1" s="901"/>
      <c r="F1" s="901"/>
      <c r="G1" s="901"/>
      <c r="H1" s="901"/>
      <c r="I1" s="901"/>
      <c r="J1" s="901"/>
      <c r="K1" s="901"/>
      <c r="L1" s="901"/>
      <c r="M1" s="901"/>
      <c r="N1" s="901"/>
      <c r="O1" s="902"/>
    </row>
    <row r="2" spans="1:18" ht="28.8">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2"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600000000000001" thickBot="1">
      <c r="A12" s="879" t="s">
        <v>49</v>
      </c>
      <c r="B12" s="880"/>
      <c r="C12" s="880"/>
      <c r="D12" s="880"/>
      <c r="E12" s="880"/>
      <c r="F12" s="881"/>
      <c r="J12" s="882" t="s">
        <v>125</v>
      </c>
      <c r="K12" s="884"/>
    </row>
    <row r="13" spans="1:18" ht="1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600000000000001" thickBot="1">
      <c r="A16" s="898">
        <v>2017</v>
      </c>
      <c r="B16" s="899"/>
      <c r="C16" s="899"/>
      <c r="D16" s="899"/>
      <c r="E16" s="899"/>
      <c r="F16" s="900"/>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29.4"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899999999999999" customHeight="1" thickBot="1">
      <c r="A27" s="898" t="s">
        <v>1617</v>
      </c>
      <c r="B27" s="899"/>
      <c r="C27" s="899"/>
      <c r="D27" s="899"/>
      <c r="E27" s="899"/>
      <c r="F27" s="899"/>
      <c r="G27" s="900"/>
      <c r="J27" s="148" t="s">
        <v>137</v>
      </c>
      <c r="K27" s="149" t="s">
        <v>127</v>
      </c>
      <c r="M27" s="148" t="s">
        <v>155</v>
      </c>
      <c r="N27" s="153" t="s">
        <v>161</v>
      </c>
      <c r="O27" s="153" t="s">
        <v>160</v>
      </c>
      <c r="P27" s="154" t="s">
        <v>162</v>
      </c>
      <c r="R27" s="140" t="s">
        <v>163</v>
      </c>
    </row>
    <row r="28" spans="1:18" ht="1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600000000000001" thickBot="1">
      <c r="A31" s="898" t="s">
        <v>1618</v>
      </c>
      <c r="B31" s="899"/>
      <c r="C31" s="899"/>
      <c r="D31" s="899"/>
      <c r="E31" s="899"/>
      <c r="F31" s="899"/>
      <c r="G31" s="900"/>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03" t="s">
        <v>476</v>
      </c>
      <c r="B35" s="877"/>
      <c r="C35" s="877"/>
      <c r="D35" s="877"/>
      <c r="E35" s="877"/>
      <c r="F35" s="877"/>
      <c r="G35" s="877"/>
      <c r="J35" s="148" t="s">
        <v>173</v>
      </c>
      <c r="K35" s="152" t="s">
        <v>141</v>
      </c>
      <c r="L35" s="152" t="s">
        <v>142</v>
      </c>
      <c r="M35" s="149" t="s">
        <v>16</v>
      </c>
      <c r="O35" s="649" t="s">
        <v>1492</v>
      </c>
      <c r="P35" s="7"/>
    </row>
    <row r="36" spans="1:16">
      <c r="A36" s="112" t="s">
        <v>149</v>
      </c>
      <c r="B36" s="111" t="s">
        <v>44</v>
      </c>
      <c r="C36" s="111" t="s">
        <v>45</v>
      </c>
      <c r="D36" s="111" t="s">
        <v>47</v>
      </c>
      <c r="E36" s="111" t="s">
        <v>48</v>
      </c>
      <c r="F36" s="113" t="s">
        <v>165</v>
      </c>
      <c r="G36" s="838"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600000000000001" thickBot="1">
      <c r="A46" s="898" t="s">
        <v>477</v>
      </c>
      <c r="B46" s="899"/>
      <c r="C46" s="899"/>
      <c r="D46" s="899"/>
      <c r="E46" s="899"/>
      <c r="F46" s="900"/>
    </row>
    <row r="47" spans="1:16">
      <c r="A47" s="124" t="s">
        <v>127</v>
      </c>
      <c r="B47" s="13" t="s">
        <v>44</v>
      </c>
      <c r="C47" s="13" t="s">
        <v>45</v>
      </c>
      <c r="D47" s="13" t="s">
        <v>47</v>
      </c>
      <c r="E47" s="13" t="s">
        <v>48</v>
      </c>
      <c r="F47" s="14" t="s">
        <v>165</v>
      </c>
    </row>
    <row r="48" spans="1:16">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c r="A49" s="112" t="s">
        <v>156</v>
      </c>
      <c r="C49" s="163">
        <f t="shared" ref="B49:C54" si="2">C$29*C38/1000</f>
        <v>54789.276661541095</v>
      </c>
      <c r="D49" s="163">
        <f t="shared" ref="D49:F54" si="3">D$29*D38/1000</f>
        <v>8664.8000676048796</v>
      </c>
      <c r="E49" s="163">
        <f t="shared" si="3"/>
        <v>1034.6306425811695</v>
      </c>
      <c r="F49" s="163">
        <f t="shared" si="3"/>
        <v>0</v>
      </c>
    </row>
    <row r="50" spans="1:7">
      <c r="A50" s="112" t="s">
        <v>170</v>
      </c>
      <c r="B50" s="163">
        <f>B$29*B38/1000</f>
        <v>0</v>
      </c>
      <c r="C50" s="163">
        <f t="shared" si="2"/>
        <v>0</v>
      </c>
      <c r="D50" s="163">
        <f t="shared" si="3"/>
        <v>4.3191007630928206E-4</v>
      </c>
      <c r="E50" s="163">
        <f t="shared" si="3"/>
        <v>1.5530805857529788E-4</v>
      </c>
      <c r="F50" s="163">
        <f t="shared" si="3"/>
        <v>0</v>
      </c>
    </row>
    <row r="51" spans="1:7">
      <c r="A51" s="112" t="s">
        <v>144</v>
      </c>
      <c r="B51" s="163">
        <f t="shared" si="2"/>
        <v>739.23756000000003</v>
      </c>
      <c r="C51" s="163">
        <f t="shared" si="2"/>
        <v>5225.116115053148</v>
      </c>
      <c r="D51" s="163">
        <f t="shared" si="3"/>
        <v>16.065432368018907</v>
      </c>
      <c r="E51" s="163">
        <f t="shared" si="3"/>
        <v>1.9183118461569262</v>
      </c>
      <c r="F51" s="163">
        <f t="shared" si="3"/>
        <v>0</v>
      </c>
    </row>
    <row r="52" spans="1:7">
      <c r="A52" s="112" t="s">
        <v>168</v>
      </c>
      <c r="B52" s="163">
        <f t="shared" si="2"/>
        <v>100586144.40000002</v>
      </c>
      <c r="C52" s="163">
        <f t="shared" si="2"/>
        <v>7368100.9644000046</v>
      </c>
      <c r="D52" s="163">
        <f t="shared" si="3"/>
        <v>0</v>
      </c>
      <c r="E52" s="163">
        <f t="shared" si="3"/>
        <v>0</v>
      </c>
      <c r="F52" s="163">
        <f t="shared" si="3"/>
        <v>233.45148934991431</v>
      </c>
    </row>
    <row r="53" spans="1:7">
      <c r="A53" s="112" t="s">
        <v>172</v>
      </c>
      <c r="B53" s="163">
        <f t="shared" si="2"/>
        <v>0</v>
      </c>
      <c r="C53" s="163">
        <f t="shared" si="2"/>
        <v>7.336197705929437</v>
      </c>
      <c r="D53" s="163">
        <f t="shared" si="3"/>
        <v>17.075498057480921</v>
      </c>
      <c r="E53" s="163">
        <f t="shared" si="3"/>
        <v>2.03891992772644</v>
      </c>
      <c r="F53" s="163">
        <f t="shared" si="3"/>
        <v>0</v>
      </c>
    </row>
    <row r="54" spans="1:7" ht="1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77734375" defaultRowHeight="14.4"/>
  <cols>
    <col min="1" max="1" width="24.33203125" customWidth="1"/>
    <col min="2" max="2" width="20.109375" bestFit="1" customWidth="1"/>
    <col min="3" max="3" width="20.88671875" bestFit="1" customWidth="1"/>
    <col min="4" max="4" width="17.109375" bestFit="1" customWidth="1"/>
    <col min="5" max="5" width="17.33203125" bestFit="1" customWidth="1"/>
    <col min="6" max="6" width="19.88671875" bestFit="1" customWidth="1"/>
    <col min="7" max="7" width="18.88671875" bestFit="1" customWidth="1"/>
    <col min="8" max="8" width="17.109375" bestFit="1" customWidth="1"/>
    <col min="9" max="9" width="22.109375" bestFit="1" customWidth="1"/>
    <col min="10" max="10" width="18.109375" bestFit="1" customWidth="1"/>
    <col min="11" max="11" width="18.88671875" bestFit="1" customWidth="1"/>
    <col min="12" max="12" width="20.88671875" bestFit="1" customWidth="1"/>
    <col min="13" max="14" width="14.6640625" bestFit="1" customWidth="1"/>
    <col min="15" max="15" width="22.109375" bestFit="1" customWidth="1"/>
    <col min="16" max="16" width="17.109375" customWidth="1"/>
    <col min="17" max="17" width="17" bestFit="1" customWidth="1"/>
    <col min="18" max="18" width="3.88671875" bestFit="1" customWidth="1"/>
    <col min="19" max="19" width="18" bestFit="1" customWidth="1"/>
    <col min="20" max="20" width="11.77734375" bestFit="1" customWidth="1"/>
    <col min="21" max="21" width="14.77734375" bestFit="1" customWidth="1"/>
    <col min="22" max="23" width="11.77734375" bestFit="1" customWidth="1"/>
    <col min="24" max="24" width="12.77734375" bestFit="1" customWidth="1"/>
    <col min="25" max="25" width="17" bestFit="1" customWidth="1"/>
    <col min="26" max="26" width="11.88671875" customWidth="1"/>
    <col min="28" max="28" width="18" bestFit="1" customWidth="1"/>
    <col min="29" max="29" width="11.33203125" customWidth="1"/>
    <col min="30" max="30" width="11" bestFit="1" customWidth="1"/>
    <col min="31" max="31" width="8.21875" bestFit="1" customWidth="1"/>
    <col min="32" max="32" width="10.21875" customWidth="1"/>
    <col min="33" max="33" width="17" bestFit="1" customWidth="1"/>
    <col min="34" max="34" width="11" bestFit="1" customWidth="1"/>
    <col min="35" max="35" width="9.109375" bestFit="1" customWidth="1"/>
    <col min="37" max="37" width="18" bestFit="1" customWidth="1"/>
    <col min="38" max="38" width="18.88671875" bestFit="1" customWidth="1"/>
    <col min="39" max="39" width="14.77734375" bestFit="1" customWidth="1"/>
    <col min="40" max="40" width="9.109375" bestFit="1" customWidth="1"/>
    <col min="41" max="41" width="10.33203125" customWidth="1"/>
    <col min="42" max="42" width="9.109375" bestFit="1" customWidth="1"/>
    <col min="43" max="43" width="10.21875" bestFit="1" customWidth="1"/>
    <col min="44" max="44" width="9.109375" bestFit="1" customWidth="1"/>
    <col min="46" max="46" width="18" bestFit="1" customWidth="1"/>
    <col min="47" max="47" width="8.77734375" bestFit="1" customWidth="1"/>
    <col min="48" max="48" width="11.109375" bestFit="1" customWidth="1"/>
    <col min="49" max="49" width="8.21875" bestFit="1" customWidth="1"/>
    <col min="50" max="50" width="9.88671875" bestFit="1" customWidth="1"/>
    <col min="51" max="52" width="9.77734375" bestFit="1" customWidth="1"/>
    <col min="53" max="53" width="9.109375" bestFit="1" customWidth="1"/>
    <col min="55" max="55" width="18" bestFit="1" customWidth="1"/>
    <col min="56" max="56" width="11" bestFit="1" customWidth="1"/>
    <col min="57" max="57" width="12.6640625" bestFit="1" customWidth="1"/>
    <col min="58" max="58" width="9.88671875" bestFit="1" customWidth="1"/>
    <col min="59" max="59" width="9.21875" bestFit="1" customWidth="1"/>
    <col min="60" max="61" width="10.21875" bestFit="1" customWidth="1"/>
    <col min="62" max="62" width="9.109375" bestFit="1" customWidth="1"/>
  </cols>
  <sheetData>
    <row r="1" spans="1:16384" ht="19.5" customHeight="1" thickBot="1">
      <c r="A1" s="907" t="s">
        <v>43</v>
      </c>
      <c r="B1" s="908"/>
      <c r="C1" s="908"/>
      <c r="D1" s="908"/>
      <c r="E1" s="908"/>
      <c r="F1" s="908"/>
      <c r="G1" s="908"/>
      <c r="H1" s="908"/>
      <c r="I1" s="908"/>
      <c r="J1" s="908"/>
      <c r="K1" s="908"/>
      <c r="L1" s="908"/>
      <c r="M1" s="908"/>
      <c r="N1" s="908"/>
      <c r="O1" s="908"/>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28.8">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399999999999999"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899999999999999" customHeight="1" thickBot="1">
      <c r="A12" s="909" t="s">
        <v>1503</v>
      </c>
      <c r="B12" s="910"/>
      <c r="C12" s="910"/>
      <c r="D12" s="910"/>
      <c r="E12" s="910"/>
      <c r="F12" s="910"/>
      <c r="G12" s="910"/>
      <c r="H12" s="911"/>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2"/>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600000000000001" thickBot="1">
      <c r="A23" s="220"/>
      <c r="B23" s="220" t="s">
        <v>366</v>
      </c>
      <c r="C23" s="49"/>
      <c r="D23" s="49"/>
      <c r="E23" s="49"/>
      <c r="F23" s="49"/>
      <c r="G23" s="49"/>
      <c r="H23" s="49"/>
      <c r="I23" s="49"/>
      <c r="J23" s="912" t="s">
        <v>99</v>
      </c>
      <c r="K23" s="913"/>
      <c r="L23" s="913"/>
      <c r="M23" s="913"/>
      <c r="N23" s="913"/>
      <c r="O23" s="913"/>
      <c r="P23" s="913"/>
      <c r="Q23" s="914"/>
      <c r="R23" s="49"/>
      <c r="S23" s="912" t="s">
        <v>101</v>
      </c>
      <c r="T23" s="913"/>
      <c r="U23" s="913"/>
      <c r="V23" s="913"/>
      <c r="W23" s="913"/>
      <c r="X23" s="913"/>
      <c r="Y23" s="913"/>
      <c r="Z23" s="914"/>
      <c r="AA23" s="49"/>
      <c r="AB23" s="912" t="s">
        <v>103</v>
      </c>
      <c r="AC23" s="913"/>
      <c r="AD23" s="913"/>
      <c r="AE23" s="913"/>
      <c r="AF23" s="913"/>
      <c r="AG23" s="913"/>
      <c r="AH23" s="913"/>
      <c r="AI23" s="914"/>
      <c r="AJ23" s="49"/>
      <c r="AK23" s="912" t="s">
        <v>102</v>
      </c>
      <c r="AL23" s="913"/>
      <c r="AM23" s="913"/>
      <c r="AN23" s="913"/>
      <c r="AO23" s="913"/>
      <c r="AP23" s="913"/>
      <c r="AQ23" s="913"/>
      <c r="AR23" s="914"/>
      <c r="AS23" s="49"/>
      <c r="AT23" s="904" t="s">
        <v>104</v>
      </c>
      <c r="AU23" s="905"/>
      <c r="AV23" s="905"/>
      <c r="AW23" s="905"/>
      <c r="AX23" s="905"/>
      <c r="AY23" s="905"/>
      <c r="AZ23" s="905"/>
      <c r="BA23" s="906"/>
      <c r="BB23" s="49"/>
      <c r="BC23" s="915" t="s">
        <v>105</v>
      </c>
      <c r="BD23" s="916"/>
      <c r="BE23" s="916"/>
      <c r="BF23" s="916"/>
      <c r="BG23" s="916"/>
      <c r="BH23" s="916"/>
      <c r="BI23" s="916"/>
      <c r="BJ23" s="917"/>
      <c r="BK23" s="49"/>
      <c r="BL23" s="22"/>
    </row>
    <row r="24" spans="1:64" ht="43.2">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600000000000001" thickBot="1">
      <c r="A32" s="904" t="s">
        <v>483</v>
      </c>
      <c r="B32" s="905"/>
      <c r="C32" s="905"/>
      <c r="D32" s="905"/>
      <c r="E32" s="905"/>
      <c r="F32" s="905"/>
      <c r="G32" s="905"/>
      <c r="H32" s="906"/>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600000000000001"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04" t="s">
        <v>117</v>
      </c>
      <c r="K40" s="905"/>
      <c r="L40" s="905"/>
      <c r="M40" s="905"/>
      <c r="N40" s="905"/>
      <c r="O40" s="905"/>
      <c r="P40" s="905"/>
      <c r="Q40" s="906"/>
      <c r="R40" s="49"/>
      <c r="S40" s="912" t="s">
        <v>116</v>
      </c>
      <c r="T40" s="913"/>
      <c r="U40" s="913"/>
      <c r="V40" s="913"/>
      <c r="W40" s="913"/>
      <c r="X40" s="913"/>
      <c r="Y40" s="913"/>
      <c r="Z40" s="914"/>
      <c r="AA40" s="49"/>
      <c r="AB40" s="912" t="s">
        <v>115</v>
      </c>
      <c r="AC40" s="913"/>
      <c r="AD40" s="913"/>
      <c r="AE40" s="913"/>
      <c r="AF40" s="913"/>
      <c r="AG40" s="913"/>
      <c r="AH40" s="913"/>
      <c r="AI40" s="914"/>
      <c r="AJ40" s="49"/>
      <c r="AK40" s="912" t="s">
        <v>114</v>
      </c>
      <c r="AL40" s="913"/>
      <c r="AM40" s="913"/>
      <c r="AN40" s="913"/>
      <c r="AO40" s="913"/>
      <c r="AP40" s="913"/>
      <c r="AQ40" s="913"/>
      <c r="AR40" s="914"/>
      <c r="AS40" s="49"/>
      <c r="AT40" s="912" t="s">
        <v>113</v>
      </c>
      <c r="AU40" s="913"/>
      <c r="AV40" s="913"/>
      <c r="AW40" s="913"/>
      <c r="AX40" s="913"/>
      <c r="AY40" s="913"/>
      <c r="AZ40" s="913"/>
      <c r="BA40" s="914"/>
      <c r="BB40" s="49"/>
      <c r="BC40" s="912" t="s">
        <v>112</v>
      </c>
      <c r="BD40" s="913"/>
      <c r="BE40" s="913"/>
      <c r="BF40" s="913"/>
      <c r="BG40" s="913"/>
      <c r="BH40" s="913"/>
      <c r="BI40" s="913"/>
      <c r="BJ40" s="914"/>
      <c r="BK40" s="49"/>
      <c r="BL40" s="22"/>
    </row>
    <row r="41" spans="1:64" ht="43.2">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600000000000001" thickBot="1">
      <c r="A51" s="904" t="s">
        <v>120</v>
      </c>
      <c r="B51" s="905"/>
      <c r="C51" s="905"/>
      <c r="D51" s="905"/>
      <c r="E51" s="905"/>
      <c r="F51" s="906"/>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28.8">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L40" zoomScale="60" zoomScaleNormal="85" workbookViewId="0">
      <selection activeCell="S72" sqref="S72"/>
    </sheetView>
  </sheetViews>
  <sheetFormatPr defaultColWidth="8.77734375" defaultRowHeight="14.4"/>
  <cols>
    <col min="1" max="1" width="13.88671875" style="252" bestFit="1" customWidth="1"/>
    <col min="2" max="2" width="20.77734375" style="252" bestFit="1" customWidth="1"/>
    <col min="3" max="3" width="19.109375" style="252" bestFit="1" customWidth="1"/>
    <col min="4" max="4" width="19.6640625" style="252" bestFit="1" customWidth="1"/>
    <col min="5" max="5" width="22.33203125" style="252" bestFit="1" customWidth="1"/>
    <col min="6" max="6" width="19.109375" style="252" bestFit="1" customWidth="1"/>
    <col min="7" max="7" width="15.6640625" style="252" customWidth="1"/>
    <col min="8" max="9" width="22.6640625" style="252" customWidth="1"/>
    <col min="10" max="10" width="21.33203125" style="252" bestFit="1" customWidth="1"/>
    <col min="11" max="14" width="22.6640625" style="252" customWidth="1"/>
    <col min="15" max="15" width="36.21875" style="252" bestFit="1" customWidth="1"/>
    <col min="16" max="16" width="20" style="252" bestFit="1" customWidth="1"/>
    <col min="17" max="17" width="16.77734375" style="252" bestFit="1" customWidth="1"/>
    <col min="18" max="18" width="29.6640625" style="252" bestFit="1" customWidth="1"/>
    <col min="19" max="19" width="19.77734375" style="252" bestFit="1" customWidth="1"/>
    <col min="20" max="20" width="20" style="252" bestFit="1" customWidth="1"/>
    <col min="21" max="21" width="16.88671875" style="252" bestFit="1" customWidth="1"/>
    <col min="22" max="22" width="15.6640625" style="252" customWidth="1"/>
    <col min="23" max="23" width="16.77734375" style="252" bestFit="1" customWidth="1"/>
    <col min="24" max="24" width="23.33203125" style="252" customWidth="1"/>
    <col min="25" max="25" width="16.6640625" style="252" bestFit="1" customWidth="1"/>
    <col min="26" max="26" width="14.21875" style="252" bestFit="1" customWidth="1"/>
    <col min="27" max="27" width="15.21875" style="252" bestFit="1" customWidth="1"/>
    <col min="28" max="16384" width="8.77734375" style="252"/>
  </cols>
  <sheetData>
    <row r="1" spans="1:24" ht="18.600000000000001" thickBot="1">
      <c r="A1" s="921" t="s">
        <v>1497</v>
      </c>
      <c r="B1" s="922"/>
      <c r="C1" s="922"/>
      <c r="D1" s="922"/>
      <c r="E1" s="922"/>
      <c r="F1" s="923"/>
      <c r="G1" s="251"/>
      <c r="H1" s="938" t="s">
        <v>439</v>
      </c>
      <c r="I1" s="939"/>
      <c r="J1" s="939"/>
      <c r="K1" s="939"/>
      <c r="L1" s="939"/>
      <c r="M1" s="939"/>
      <c r="N1" s="939"/>
      <c r="O1" s="939"/>
      <c r="P1" s="940"/>
      <c r="R1" s="928" t="s">
        <v>446</v>
      </c>
      <c r="S1" s="929"/>
      <c r="T1" s="929"/>
      <c r="U1" s="930"/>
      <c r="V1" s="251"/>
      <c r="W1" s="928" t="s">
        <v>1488</v>
      </c>
      <c r="X1" s="929"/>
    </row>
    <row r="2" spans="1:24" ht="28.8">
      <c r="A2" s="291"/>
      <c r="B2" s="260"/>
      <c r="C2" s="261" t="s">
        <v>418</v>
      </c>
      <c r="D2" s="261" t="s">
        <v>1484</v>
      </c>
      <c r="E2" s="264" t="s">
        <v>417</v>
      </c>
      <c r="F2" s="265" t="s">
        <v>419</v>
      </c>
      <c r="H2" s="285"/>
      <c r="I2" s="924" t="s">
        <v>438</v>
      </c>
      <c r="J2" s="925"/>
      <c r="K2" s="935" t="s">
        <v>79</v>
      </c>
      <c r="L2" s="935"/>
      <c r="M2" s="924" t="s">
        <v>1501</v>
      </c>
      <c r="N2" s="944"/>
      <c r="O2" s="935" t="s">
        <v>440</v>
      </c>
      <c r="P2" s="936"/>
      <c r="R2" s="291"/>
      <c r="S2" s="296" t="s">
        <v>144</v>
      </c>
      <c r="T2" s="296" t="s">
        <v>448</v>
      </c>
      <c r="U2" s="297" t="s">
        <v>63</v>
      </c>
      <c r="V2" s="295"/>
      <c r="W2" s="623"/>
      <c r="X2" s="623" t="s">
        <v>1483</v>
      </c>
    </row>
    <row r="3" spans="1:24">
      <c r="A3" s="931"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20"/>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20"/>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20"/>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20"/>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19"/>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18"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19"/>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18"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20"/>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20"/>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20"/>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41" t="s">
        <v>1485</v>
      </c>
      <c r="S14" s="942"/>
      <c r="T14" s="943"/>
      <c r="U14" s="294"/>
      <c r="V14" s="294"/>
      <c r="W14" s="256" t="s">
        <v>437</v>
      </c>
      <c r="X14" s="308">
        <v>0</v>
      </c>
    </row>
    <row r="15" spans="1:24" ht="17.100000000000001" customHeight="1" thickBot="1">
      <c r="A15" s="920"/>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20"/>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20"/>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20"/>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600000000000001" thickBot="1">
      <c r="A19" s="920"/>
      <c r="B19" s="257" t="s">
        <v>406</v>
      </c>
      <c r="C19" s="249">
        <f>[6]סיכום!D25</f>
        <v>252145000</v>
      </c>
      <c r="D19" s="249">
        <f>[6]סיכום!E25</f>
        <v>825127616</v>
      </c>
      <c r="E19" s="249">
        <f>[6]סיכום!E25</f>
        <v>825127616</v>
      </c>
      <c r="F19" s="270">
        <f>[6]סיכום!F25</f>
        <v>851412000</v>
      </c>
      <c r="H19" s="921" t="s">
        <v>442</v>
      </c>
      <c r="I19" s="923"/>
      <c r="J19" s="248"/>
      <c r="K19" s="921" t="s">
        <v>444</v>
      </c>
      <c r="L19" s="923"/>
      <c r="M19" s="664"/>
      <c r="N19" s="664"/>
      <c r="R19" s="292" t="s">
        <v>408</v>
      </c>
      <c r="S19" s="249">
        <f>[6]סיכום!Z5</f>
        <v>2101</v>
      </c>
      <c r="T19" s="270" t="e">
        <f>[6]סיכום!AA5</f>
        <v>#REF!</v>
      </c>
      <c r="U19" s="294"/>
      <c r="V19" s="294"/>
    </row>
    <row r="20" spans="1:22" ht="17.100000000000001" customHeight="1">
      <c r="A20" s="920"/>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20"/>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 thickBot="1">
      <c r="A22" s="919"/>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600000000000001" thickBot="1">
      <c r="A24" s="928" t="s">
        <v>428</v>
      </c>
      <c r="B24" s="929"/>
      <c r="C24" s="929"/>
      <c r="D24" s="929"/>
      <c r="E24" s="930"/>
      <c r="F24" s="251"/>
      <c r="H24" s="256" t="s">
        <v>434</v>
      </c>
      <c r="I24" s="288">
        <v>0</v>
      </c>
      <c r="K24" s="256" t="s">
        <v>434</v>
      </c>
      <c r="L24" s="288">
        <v>0</v>
      </c>
      <c r="M24" s="665"/>
      <c r="N24" s="665"/>
    </row>
    <row r="25" spans="1:22">
      <c r="A25" s="291" t="s">
        <v>420</v>
      </c>
      <c r="B25" s="260" t="s">
        <v>123</v>
      </c>
      <c r="C25" s="261" t="s">
        <v>108</v>
      </c>
      <c r="D25" s="261" t="s">
        <v>48</v>
      </c>
      <c r="E25" s="262" t="s">
        <v>421</v>
      </c>
      <c r="H25" s="256" t="s">
        <v>435</v>
      </c>
      <c r="I25" s="288">
        <v>0</v>
      </c>
      <c r="K25" s="256" t="s">
        <v>435</v>
      </c>
      <c r="L25" s="288">
        <v>0</v>
      </c>
      <c r="M25" s="665"/>
      <c r="N25" s="665"/>
      <c r="O25" s="252">
        <f>I4+K4+O4-J4-L4-P4</f>
        <v>4467915.619603415</v>
      </c>
      <c r="R25" s="937"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937"/>
    </row>
    <row r="27" spans="1:22" ht="17.100000000000001" customHeight="1" thickBot="1">
      <c r="E27" s="248"/>
      <c r="H27" s="256" t="s">
        <v>405</v>
      </c>
      <c r="I27" s="288">
        <v>0.57383165458728425</v>
      </c>
      <c r="K27" s="256" t="s">
        <v>405</v>
      </c>
      <c r="L27" s="288">
        <v>0</v>
      </c>
      <c r="M27" s="665"/>
      <c r="N27" s="665"/>
    </row>
    <row r="28" spans="1:22" ht="18.600000000000001" thickBot="1">
      <c r="A28" s="928" t="s">
        <v>430</v>
      </c>
      <c r="B28" s="929"/>
      <c r="C28" s="929"/>
      <c r="D28" s="930"/>
      <c r="E28" s="248"/>
      <c r="H28" s="256" t="s">
        <v>404</v>
      </c>
      <c r="I28" s="288">
        <v>0</v>
      </c>
      <c r="K28" s="256" t="s">
        <v>404</v>
      </c>
      <c r="L28" s="288">
        <v>0</v>
      </c>
      <c r="M28" s="665"/>
      <c r="N28" s="665"/>
      <c r="O28" s="252">
        <f>O25*X3</f>
        <v>339561.58708985953</v>
      </c>
    </row>
    <row r="29" spans="1:22" ht="17.100000000000001" customHeight="1">
      <c r="A29" s="263"/>
      <c r="B29" s="261" t="s">
        <v>418</v>
      </c>
      <c r="C29" s="264" t="s">
        <v>417</v>
      </c>
      <c r="D29" s="265" t="s">
        <v>429</v>
      </c>
      <c r="E29" s="248"/>
      <c r="H29" s="256" t="s">
        <v>436</v>
      </c>
      <c r="I29" s="288">
        <v>0</v>
      </c>
      <c r="K29" s="256" t="s">
        <v>436</v>
      </c>
      <c r="L29" s="288">
        <v>0</v>
      </c>
      <c r="M29" s="665"/>
      <c r="N29" s="665"/>
      <c r="O29" s="252">
        <f>O28*28</f>
        <v>9507724.4385160673</v>
      </c>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row>
    <row r="31" spans="1:22" ht="17.100000000000001" customHeight="1">
      <c r="A31" s="256" t="s">
        <v>422</v>
      </c>
      <c r="B31" s="249">
        <v>4100.5969999999998</v>
      </c>
      <c r="C31" s="249">
        <v>23064.635999999999</v>
      </c>
      <c r="D31" s="274">
        <v>179.07</v>
      </c>
      <c r="E31" s="248"/>
      <c r="H31" s="256" t="s">
        <v>437</v>
      </c>
      <c r="I31" s="288">
        <v>0</v>
      </c>
      <c r="K31" s="256" t="s">
        <v>437</v>
      </c>
      <c r="L31" s="288">
        <v>0</v>
      </c>
      <c r="M31" s="665"/>
      <c r="N31" s="665"/>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29.4" thickBot="1">
      <c r="A38" s="266"/>
      <c r="B38" s="45"/>
      <c r="C38" s="248"/>
      <c r="D38" s="248"/>
      <c r="E38" s="248"/>
      <c r="F38" s="248"/>
      <c r="J38" s="469" t="s">
        <v>453</v>
      </c>
    </row>
    <row r="39" spans="1:27" ht="62.1" customHeight="1" thickBot="1">
      <c r="A39" s="926" t="s">
        <v>191</v>
      </c>
      <c r="B39" s="927"/>
      <c r="C39" s="927"/>
      <c r="D39" s="927"/>
      <c r="E39" s="927"/>
      <c r="F39" s="927"/>
      <c r="G39" s="927"/>
      <c r="H39" s="927"/>
      <c r="J39" s="466">
        <f>'[7]דלקים מנפט ופלסטיק בתעשייה'!$B$52</f>
        <v>1.4</v>
      </c>
      <c r="L39" s="932" t="s">
        <v>463</v>
      </c>
      <c r="M39" s="933"/>
      <c r="N39" s="933"/>
      <c r="O39" s="933"/>
      <c r="P39" s="933"/>
      <c r="Q39" s="933"/>
      <c r="R39" s="933"/>
      <c r="S39" s="933"/>
      <c r="T39" s="933"/>
      <c r="U39" s="933"/>
      <c r="V39" s="933"/>
      <c r="W39" s="933"/>
      <c r="X39" s="933"/>
      <c r="Y39" s="933"/>
      <c r="Z39" s="933"/>
      <c r="AA39" s="934"/>
    </row>
    <row r="40" spans="1:27" ht="58.2"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57.6">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58.2"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29.4"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28.8">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4"/>
  <cols>
    <col min="1" max="1" width="25.77734375" customWidth="1"/>
    <col min="2" max="2" width="22.77734375" customWidth="1"/>
    <col min="3" max="3" width="15.6640625" customWidth="1"/>
    <col min="4" max="4" width="26.21875" bestFit="1" customWidth="1"/>
    <col min="5" max="5" width="25.6640625" bestFit="1" customWidth="1"/>
    <col min="6" max="6" width="24.21875" bestFit="1" customWidth="1"/>
    <col min="7" max="7" width="32.109375" bestFit="1" customWidth="1"/>
    <col min="8" max="8" width="22.88671875" bestFit="1" customWidth="1"/>
    <col min="9" max="9" width="17" bestFit="1" customWidth="1"/>
    <col min="10" max="10" width="22.6640625" bestFit="1" customWidth="1"/>
    <col min="11" max="11" width="7.77734375" customWidth="1"/>
    <col min="12" max="12" width="49.88671875" bestFit="1" customWidth="1"/>
    <col min="13" max="13" width="20.77734375" customWidth="1"/>
    <col min="14" max="14" width="22.109375" customWidth="1"/>
    <col min="15" max="15" width="23" customWidth="1"/>
    <col min="16" max="16" width="16.33203125" customWidth="1"/>
    <col min="17" max="17" width="16.21875" bestFit="1" customWidth="1"/>
    <col min="18" max="18" width="13.33203125" bestFit="1" customWidth="1"/>
    <col min="19" max="19" width="22.88671875" customWidth="1"/>
    <col min="20" max="20" width="18.109375" bestFit="1" customWidth="1"/>
    <col min="21" max="21" width="12.88671875" bestFit="1" customWidth="1"/>
    <col min="22" max="22" width="29.21875" bestFit="1" customWidth="1"/>
    <col min="23" max="23" width="17.77734375" bestFit="1" customWidth="1"/>
    <col min="24" max="24" width="13.109375" bestFit="1" customWidth="1"/>
    <col min="25" max="25" width="12.88671875" bestFit="1" customWidth="1"/>
    <col min="26" max="26" width="15.109375" bestFit="1" customWidth="1"/>
    <col min="27" max="27" width="19.21875" bestFit="1" customWidth="1"/>
    <col min="28" max="28" width="13.109375" bestFit="1" customWidth="1"/>
    <col min="29" max="29" width="31.6640625" bestFit="1" customWidth="1"/>
    <col min="30" max="30" width="15.6640625" bestFit="1" customWidth="1"/>
  </cols>
  <sheetData>
    <row r="1" spans="1:22">
      <c r="A1" s="945"/>
      <c r="B1" s="946"/>
      <c r="C1" s="946"/>
      <c r="D1" s="946"/>
      <c r="E1" s="946"/>
      <c r="F1" s="946"/>
      <c r="G1" s="946"/>
      <c r="H1" s="946"/>
      <c r="I1" s="946"/>
      <c r="J1" s="946"/>
      <c r="K1" s="946"/>
      <c r="L1" s="946"/>
      <c r="M1" s="946"/>
      <c r="N1" s="946"/>
      <c r="O1" s="946"/>
      <c r="P1" s="946"/>
      <c r="Q1" s="946"/>
      <c r="R1" s="946"/>
    </row>
    <row r="2" spans="1:22" ht="57.6">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c r="A11" s="947" t="s">
        <v>1493</v>
      </c>
      <c r="B11" s="947"/>
      <c r="D11" s="212">
        <v>2017</v>
      </c>
      <c r="E11" s="209" t="s">
        <v>269</v>
      </c>
      <c r="F11" s="209" t="s">
        <v>208</v>
      </c>
      <c r="G11" s="209" t="s">
        <v>145</v>
      </c>
      <c r="H11" s="209" t="s">
        <v>209</v>
      </c>
      <c r="I11" s="209" t="s">
        <v>16</v>
      </c>
      <c r="J11" s="210" t="s">
        <v>270</v>
      </c>
    </row>
    <row r="12" spans="1:22">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c r="A13" s="188" t="s">
        <v>201</v>
      </c>
      <c r="B13" s="343">
        <f>'[8]חישוב צריכת החשמל'!G4</f>
        <v>0.4</v>
      </c>
      <c r="D13" s="202" t="s">
        <v>271</v>
      </c>
      <c r="E13" s="581">
        <f>[8]sumnmary!D5</f>
        <v>0</v>
      </c>
      <c r="F13" s="800">
        <f>[8]sumnmary!E5</f>
        <v>0.22084875593692135</v>
      </c>
      <c r="G13" s="581">
        <f>[8]sumnmary!F5</f>
        <v>0.75002483957826982</v>
      </c>
      <c r="H13" s="582">
        <f>[8]sumnmary!G5</f>
        <v>2.9126404484808795E-2</v>
      </c>
      <c r="I13" s="584">
        <f>SUM(E13:H13)</f>
        <v>0.99999999999999989</v>
      </c>
      <c r="J13" s="208"/>
    </row>
    <row r="14" spans="1:22">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 thickBot="1">
      <c r="A17" s="188" t="s">
        <v>205</v>
      </c>
      <c r="B17" s="814">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 thickBot="1">
      <c r="A21" s="948" t="s">
        <v>206</v>
      </c>
      <c r="B21" s="949"/>
      <c r="C21" s="949"/>
      <c r="D21" s="949"/>
      <c r="E21" s="949"/>
      <c r="F21" s="950"/>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5.6" thickTop="1" thickBot="1">
      <c r="A31" s="948" t="s">
        <v>219</v>
      </c>
      <c r="B31" s="949"/>
      <c r="C31" s="949"/>
      <c r="D31" s="949"/>
      <c r="E31" s="949"/>
      <c r="F31" s="949"/>
      <c r="G31" s="949"/>
      <c r="H31" s="949"/>
      <c r="I31" s="950"/>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5.6"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2">
      <c r="A41" s="839" t="s">
        <v>1498</v>
      </c>
      <c r="B41" s="200" t="s">
        <v>1499</v>
      </c>
      <c r="C41" s="201" t="s">
        <v>1500</v>
      </c>
    </row>
    <row r="42" spans="1:30" ht="15" thickBot="1">
      <c r="A42" s="549"/>
      <c r="B42" s="321">
        <v>3.6999940357852882E-3</v>
      </c>
      <c r="C42" s="541">
        <v>0.10228891053677933</v>
      </c>
    </row>
    <row r="43" spans="1:30" ht="1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BX87"/>
  <sheetViews>
    <sheetView tabSelected="1" topLeftCell="A53" zoomScale="84" zoomScaleNormal="70" workbookViewId="0">
      <pane xSplit="1" topLeftCell="AA1" activePane="topRight" state="frozen"/>
      <selection activeCell="A46" sqref="A46"/>
      <selection pane="topRight" activeCell="AR67" sqref="AR67"/>
    </sheetView>
  </sheetViews>
  <sheetFormatPr defaultColWidth="8.77734375" defaultRowHeight="14.4"/>
  <cols>
    <col min="1" max="1" width="21.88671875" style="233" bestFit="1" customWidth="1"/>
    <col min="2" max="2" width="19.88671875" style="233" customWidth="1"/>
    <col min="3" max="3" width="18.88671875" style="233" customWidth="1"/>
    <col min="4" max="4" width="21.21875" style="233" customWidth="1"/>
    <col min="5" max="5" width="15.88671875" style="233" customWidth="1"/>
    <col min="6" max="6" width="8.77734375" style="233"/>
    <col min="7" max="7" width="33" style="233" bestFit="1" customWidth="1"/>
    <col min="8" max="9" width="20.6640625" style="233" customWidth="1"/>
    <col min="10" max="10" width="8.77734375" style="233"/>
    <col min="11" max="11" width="23.6640625" style="233" customWidth="1"/>
    <col min="12" max="12" width="20.6640625" style="233" customWidth="1"/>
    <col min="13" max="13" width="17.6640625" style="233" customWidth="1"/>
    <col min="14" max="14" width="23.6640625" style="233" customWidth="1"/>
    <col min="15" max="15" width="20.6640625" style="233" customWidth="1"/>
    <col min="16" max="16" width="8.77734375" style="233"/>
    <col min="17" max="17" width="28.33203125" style="233" bestFit="1" customWidth="1"/>
    <col min="18" max="18" width="8.77734375" style="233"/>
    <col min="19" max="20" width="16.109375" style="233" bestFit="1" customWidth="1"/>
    <col min="21" max="21" width="8.77734375" style="233"/>
    <col min="22" max="22" width="21.88671875" style="233" bestFit="1" customWidth="1"/>
    <col min="23" max="23" width="20.6640625" style="233" customWidth="1"/>
    <col min="24" max="24" width="17.21875" style="233" bestFit="1" customWidth="1"/>
    <col min="25" max="25" width="15.109375" style="233" bestFit="1" customWidth="1"/>
    <col min="26" max="26" width="17.88671875" style="233" bestFit="1" customWidth="1"/>
    <col min="27" max="27" width="13.109375" style="233" bestFit="1" customWidth="1"/>
    <col min="28" max="29" width="8.77734375" style="233"/>
    <col min="30" max="30" width="12.5546875" style="233" bestFit="1" customWidth="1"/>
    <col min="31" max="31" width="9.5546875" style="233" customWidth="1"/>
    <col min="32" max="32" width="8.77734375" style="233"/>
    <col min="33" max="33" width="26.6640625" style="233" customWidth="1"/>
    <col min="34" max="34" width="8.77734375" style="233"/>
    <col min="35" max="35" width="21.109375" style="233" customWidth="1"/>
    <col min="36" max="38" width="8.77734375" style="233"/>
    <col min="39" max="39" width="27.33203125" style="233" customWidth="1"/>
    <col min="40" max="41" width="8.77734375" style="233"/>
    <col min="42" max="42" width="10" style="233" bestFit="1" customWidth="1"/>
    <col min="43" max="44" width="8.77734375" style="233"/>
    <col min="45" max="45" width="10" style="233" bestFit="1" customWidth="1"/>
    <col min="46" max="16384" width="8.77734375" style="233"/>
  </cols>
  <sheetData>
    <row r="1" spans="1:76" s="821" customFormat="1" ht="67.8" customHeight="1" thickBot="1">
      <c r="A1" s="958" t="s">
        <v>274</v>
      </c>
      <c r="B1" s="959"/>
      <c r="C1" s="959"/>
      <c r="D1" s="959"/>
      <c r="E1" s="960"/>
      <c r="F1" s="233"/>
      <c r="G1" s="958" t="s">
        <v>1495</v>
      </c>
      <c r="H1" s="959"/>
      <c r="I1" s="960"/>
      <c r="J1" s="233"/>
      <c r="K1" s="966" t="s">
        <v>484</v>
      </c>
      <c r="L1" s="967"/>
      <c r="M1" s="968"/>
      <c r="N1" s="958" t="s">
        <v>275</v>
      </c>
      <c r="O1" s="960"/>
      <c r="P1" s="233"/>
      <c r="Q1" s="233"/>
      <c r="R1" s="233"/>
      <c r="S1" s="233"/>
      <c r="T1" s="233"/>
      <c r="U1" s="233"/>
      <c r="V1" s="951" t="s">
        <v>1544</v>
      </c>
      <c r="W1" s="952"/>
      <c r="X1" s="953"/>
      <c r="Y1" s="233"/>
      <c r="Z1" s="233"/>
      <c r="AA1" s="233"/>
      <c r="AB1" s="233"/>
      <c r="AC1" s="233"/>
      <c r="AD1" s="233"/>
      <c r="AE1" s="233"/>
      <c r="AF1" s="233"/>
    </row>
    <row r="2" spans="1:76" s="821" customFormat="1" ht="31.8" thickBot="1">
      <c r="A2" s="961"/>
      <c r="B2" s="962">
        <v>2017</v>
      </c>
      <c r="C2" s="962"/>
      <c r="D2" s="962"/>
      <c r="E2" s="963"/>
      <c r="F2" s="233"/>
      <c r="G2" s="961"/>
      <c r="H2" s="962">
        <v>2011</v>
      </c>
      <c r="I2" s="963"/>
      <c r="J2" s="233"/>
      <c r="K2" s="216"/>
      <c r="L2" s="230" t="s">
        <v>1505</v>
      </c>
      <c r="M2" s="230" t="s">
        <v>1504</v>
      </c>
      <c r="N2" s="217"/>
      <c r="O2" s="218">
        <v>2011</v>
      </c>
      <c r="P2" s="233"/>
      <c r="Q2" s="233"/>
      <c r="R2" s="233"/>
      <c r="S2" s="233"/>
      <c r="T2" s="233"/>
      <c r="U2" s="233"/>
      <c r="V2" s="954"/>
      <c r="W2" s="956">
        <v>2017</v>
      </c>
      <c r="X2" s="957"/>
      <c r="Y2" s="233"/>
      <c r="Z2" s="233"/>
      <c r="AA2" s="233"/>
      <c r="AB2" s="233"/>
      <c r="AC2" s="233"/>
      <c r="AD2" s="233"/>
      <c r="AE2" s="233"/>
      <c r="AF2" s="233"/>
      <c r="AG2" s="842" t="s">
        <v>1621</v>
      </c>
      <c r="AH2" s="843"/>
      <c r="AL2" s="233"/>
      <c r="AM2" s="842" t="s">
        <v>1621</v>
      </c>
    </row>
    <row r="3" spans="1:76" s="821" customFormat="1" ht="30" customHeight="1" thickBot="1">
      <c r="A3" s="955"/>
      <c r="B3" s="964" t="s">
        <v>276</v>
      </c>
      <c r="C3" s="964"/>
      <c r="D3" s="964" t="s">
        <v>277</v>
      </c>
      <c r="E3" s="965"/>
      <c r="F3" s="233"/>
      <c r="G3" s="955"/>
      <c r="H3" s="231" t="s">
        <v>278</v>
      </c>
      <c r="I3" s="232" t="s">
        <v>279</v>
      </c>
      <c r="J3" s="233"/>
      <c r="K3" s="234" t="s">
        <v>280</v>
      </c>
      <c r="L3" s="716">
        <v>0.52</v>
      </c>
      <c r="M3" s="716">
        <v>0.52</v>
      </c>
      <c r="N3" s="234" t="s">
        <v>280</v>
      </c>
      <c r="O3" s="421">
        <f>[10]כמות!D2</f>
        <v>82189</v>
      </c>
      <c r="P3" s="233"/>
      <c r="Q3" s="233"/>
      <c r="R3" s="233"/>
      <c r="S3" s="233"/>
      <c r="T3" s="233"/>
      <c r="U3" s="233"/>
      <c r="V3" s="955"/>
      <c r="W3" s="231" t="s">
        <v>399</v>
      </c>
      <c r="X3" s="232" t="s">
        <v>400</v>
      </c>
      <c r="Y3" s="821" t="s">
        <v>1610</v>
      </c>
      <c r="Z3" s="821" t="s">
        <v>1611</v>
      </c>
      <c r="AA3" s="821" t="s">
        <v>1610</v>
      </c>
      <c r="AB3" s="233"/>
      <c r="AC3" s="233"/>
      <c r="AF3" s="233"/>
      <c r="AG3" s="844" t="s">
        <v>1622</v>
      </c>
      <c r="AI3" s="845" t="s">
        <v>1623</v>
      </c>
      <c r="AJ3" s="846">
        <f>4500/AH69</f>
        <v>1.2996796375124651</v>
      </c>
      <c r="AL3" s="233"/>
      <c r="AM3" s="844" t="s">
        <v>1633</v>
      </c>
      <c r="AQ3" s="821">
        <v>1</v>
      </c>
      <c r="AR3" s="821">
        <v>1.0196405036426199</v>
      </c>
      <c r="AS3" s="821">
        <v>1.03966675666858</v>
      </c>
      <c r="AT3" s="821">
        <v>1.06008633539004</v>
      </c>
      <c r="AU3" s="821">
        <v>1.08090696492176</v>
      </c>
      <c r="AV3" s="821">
        <v>1.1021365221036401</v>
      </c>
      <c r="AW3" s="821">
        <v>1.1237830384806899</v>
      </c>
      <c r="AX3" s="821">
        <v>1.1458547033414801</v>
      </c>
      <c r="AY3" s="821">
        <v>1.1683598668163799</v>
      </c>
      <c r="AZ3" s="821">
        <v>1.1913070430364801</v>
      </c>
      <c r="BA3" s="989">
        <v>1.2107900508346801</v>
      </c>
      <c r="BB3" s="821">
        <v>1.23856232963017</v>
      </c>
      <c r="BC3" s="821">
        <v>1.2628883175768899</v>
      </c>
      <c r="BD3" s="821">
        <v>1.2876920801784799</v>
      </c>
      <c r="BE3" s="821">
        <v>1.3129830011698</v>
      </c>
      <c r="BF3" s="821">
        <v>1.3387706485869699</v>
      </c>
      <c r="BG3" s="821">
        <v>1.3650647783871801</v>
      </c>
      <c r="BH3" s="821">
        <v>1.3918753381395099</v>
      </c>
      <c r="BI3" s="821">
        <v>1.41921247078831</v>
      </c>
      <c r="BJ3" s="821">
        <v>1.44708651849049</v>
      </c>
      <c r="BK3" s="821">
        <v>1.47550802652809</v>
      </c>
      <c r="BL3" s="821">
        <v>1.50448774729783</v>
      </c>
      <c r="BM3" s="821">
        <v>1.53403664437891</v>
      </c>
      <c r="BN3" s="821">
        <v>1.5641658966807499</v>
      </c>
      <c r="BO3" s="821">
        <v>1.5948869026721799</v>
      </c>
      <c r="BP3" s="821">
        <v>1.62621128469368</v>
      </c>
      <c r="BQ3" s="821">
        <v>1.65815089335438</v>
      </c>
      <c r="BR3" s="821">
        <v>1.6907178120153199</v>
      </c>
      <c r="BS3" s="821">
        <v>1.7239243613608499</v>
      </c>
      <c r="BT3" s="821">
        <v>1.75778310405976</v>
      </c>
      <c r="BU3" s="821">
        <v>1.7923068495179899</v>
      </c>
      <c r="BV3" s="821">
        <v>1.8275086587246401</v>
      </c>
      <c r="BW3" s="821">
        <v>1.86340184919325</v>
      </c>
      <c r="BX3" s="821">
        <v>1.8999999999999899</v>
      </c>
    </row>
    <row r="4" spans="1:76" s="821" customFormat="1" ht="29.4" thickBot="1">
      <c r="A4" s="955"/>
      <c r="B4" s="231" t="s">
        <v>364</v>
      </c>
      <c r="C4" s="231" t="s">
        <v>365</v>
      </c>
      <c r="D4" s="231" t="s">
        <v>362</v>
      </c>
      <c r="E4" s="232" t="s">
        <v>363</v>
      </c>
      <c r="F4" s="233"/>
      <c r="G4" s="234" t="s">
        <v>280</v>
      </c>
      <c r="H4" s="412">
        <f>[10]מים!D2</f>
        <v>26</v>
      </c>
      <c r="I4" s="413">
        <f>[10]מים!L2</f>
        <v>42</v>
      </c>
      <c r="J4" s="233"/>
      <c r="K4" s="234" t="s">
        <v>283</v>
      </c>
      <c r="L4" s="716">
        <v>2.5499999999999998</v>
      </c>
      <c r="M4" s="716">
        <v>2.5499999999999998</v>
      </c>
      <c r="N4" s="234" t="s">
        <v>283</v>
      </c>
      <c r="O4" s="421">
        <f>[10]כמות!D3</f>
        <v>0</v>
      </c>
      <c r="P4" s="233"/>
      <c r="Q4" s="233"/>
      <c r="R4" s="233"/>
      <c r="S4" s="233"/>
      <c r="T4" s="233"/>
      <c r="U4" s="233"/>
      <c r="V4" s="234" t="s">
        <v>280</v>
      </c>
      <c r="W4" s="990">
        <v>5.8</v>
      </c>
      <c r="X4" s="990">
        <v>3.9</v>
      </c>
      <c r="Y4" s="700">
        <f>W4*SUM(B5:C5)</f>
        <v>476696.2</v>
      </c>
      <c r="Z4" s="700">
        <f>Y4*1000</f>
        <v>476696200</v>
      </c>
      <c r="AA4" s="233">
        <f>X4*SUM(D5:E5)</f>
        <v>6330483.0206799991</v>
      </c>
      <c r="AB4" s="233"/>
      <c r="AC4" s="233"/>
      <c r="AD4" s="875"/>
      <c r="AE4" s="874"/>
      <c r="AF4" s="234" t="s">
        <v>280</v>
      </c>
      <c r="AG4" s="847">
        <f>(B5+C5)*W4</f>
        <v>476696.2</v>
      </c>
      <c r="AH4" s="843"/>
      <c r="AL4" s="234" t="s">
        <v>280</v>
      </c>
      <c r="AM4" s="847">
        <f>(D5+E5)*X4</f>
        <v>6330483.0206799991</v>
      </c>
      <c r="AQ4" s="989">
        <v>1</v>
      </c>
      <c r="AR4" s="989">
        <v>1.0196405036426199</v>
      </c>
      <c r="AS4" s="989">
        <v>1.03966675666858</v>
      </c>
      <c r="AT4" s="989">
        <v>1.06008633539004</v>
      </c>
      <c r="AU4" s="989">
        <v>1.08090696492176</v>
      </c>
      <c r="AV4" s="989">
        <v>1.1021365221036401</v>
      </c>
      <c r="AW4" s="989">
        <v>1.1237830384806899</v>
      </c>
      <c r="AX4" s="989">
        <v>1.1458547033414801</v>
      </c>
      <c r="AY4" s="989">
        <v>1.1683598668163799</v>
      </c>
      <c r="AZ4" s="989">
        <v>1.1913070430364801</v>
      </c>
      <c r="BA4" s="989">
        <v>1.2107900508346801</v>
      </c>
      <c r="BB4" s="989">
        <v>1.23856232963017</v>
      </c>
      <c r="BC4" s="989">
        <v>1.2628883175768899</v>
      </c>
      <c r="BD4" s="989">
        <v>1.2876920801784799</v>
      </c>
      <c r="BE4" s="821">
        <v>1.2996796375124651</v>
      </c>
      <c r="BF4" s="989">
        <v>1.2996796375124651</v>
      </c>
      <c r="BG4" s="989">
        <v>1.2996796375124651</v>
      </c>
      <c r="BH4" s="989">
        <v>1.2996796375124651</v>
      </c>
      <c r="BI4" s="989">
        <v>1.2996796375124651</v>
      </c>
      <c r="BJ4" s="989">
        <v>1.2996796375124651</v>
      </c>
      <c r="BK4" s="989">
        <v>1.2996796375124651</v>
      </c>
      <c r="BL4" s="989">
        <v>1.2996796375124651</v>
      </c>
      <c r="BM4" s="989">
        <v>1.2996796375124651</v>
      </c>
      <c r="BN4" s="989">
        <v>1.2996796375124651</v>
      </c>
      <c r="BO4" s="989">
        <v>1.2996796375124651</v>
      </c>
      <c r="BP4" s="989">
        <v>1.2996796375124651</v>
      </c>
      <c r="BQ4" s="989">
        <v>1.2996796375124651</v>
      </c>
      <c r="BR4" s="989">
        <v>1.2996796375124651</v>
      </c>
      <c r="BS4" s="989">
        <v>1.2996796375124651</v>
      </c>
      <c r="BT4" s="989">
        <v>1.2996796375124651</v>
      </c>
      <c r="BU4" s="989">
        <v>1.2996796375124651</v>
      </c>
      <c r="BV4" s="989">
        <v>1.2996796375124651</v>
      </c>
      <c r="BW4" s="989">
        <v>1.2996796375124651</v>
      </c>
      <c r="BX4" s="989">
        <v>1.2996796375124651</v>
      </c>
    </row>
    <row r="5" spans="1:76" s="821" customFormat="1" ht="18.600000000000001" thickBot="1">
      <c r="A5" s="234" t="s">
        <v>280</v>
      </c>
      <c r="B5" s="709">
        <v>43331.622549465217</v>
      </c>
      <c r="C5" s="710">
        <v>38857.377450534783</v>
      </c>
      <c r="D5" s="712">
        <v>855782.68727053469</v>
      </c>
      <c r="E5" s="713">
        <v>767418.08726279857</v>
      </c>
      <c r="F5" s="657"/>
      <c r="G5" s="234" t="s">
        <v>283</v>
      </c>
      <c r="H5" s="412">
        <f>[10]מים!D3</f>
        <v>0</v>
      </c>
      <c r="I5" s="413">
        <f>[10]מים!L3</f>
        <v>798</v>
      </c>
      <c r="J5" s="233"/>
      <c r="K5" s="234" t="s">
        <v>284</v>
      </c>
      <c r="L5" s="716">
        <v>0.38</v>
      </c>
      <c r="M5" s="716">
        <v>0.38</v>
      </c>
      <c r="N5" s="234" t="s">
        <v>284</v>
      </c>
      <c r="O5" s="421">
        <f>[10]כמות!D4</f>
        <v>47812</v>
      </c>
      <c r="P5" s="233"/>
      <c r="Q5" s="219" t="s">
        <v>285</v>
      </c>
      <c r="R5" s="233"/>
      <c r="S5" s="969" t="s">
        <v>286</v>
      </c>
      <c r="T5" s="970"/>
      <c r="V5" s="234" t="s">
        <v>283</v>
      </c>
      <c r="W5" s="991">
        <v>0</v>
      </c>
      <c r="X5" s="990">
        <v>3.3</v>
      </c>
      <c r="Y5" s="700">
        <f t="shared" ref="Y5:Y67" si="0">W5*SUM(B6:C6)</f>
        <v>0</v>
      </c>
      <c r="Z5" s="700">
        <f t="shared" ref="Z5:Z67" si="1">Y5*1000</f>
        <v>0</v>
      </c>
      <c r="AA5" s="233">
        <f t="shared" ref="AA5:AA67" si="2">X5*SUM(D6:E6)</f>
        <v>302190.73499999999</v>
      </c>
      <c r="AB5" s="233"/>
      <c r="AC5" s="233"/>
      <c r="AD5" s="875"/>
      <c r="AE5" s="874"/>
      <c r="AF5" s="234" t="s">
        <v>283</v>
      </c>
      <c r="AG5" s="847">
        <f t="shared" ref="AG5:AG68" si="3">(B6+C6)*W5</f>
        <v>0</v>
      </c>
      <c r="AH5" s="843"/>
      <c r="AK5" s="233">
        <v>2</v>
      </c>
      <c r="AL5" s="234" t="s">
        <v>283</v>
      </c>
      <c r="AM5" s="847">
        <f>(D6+E6)*X5</f>
        <v>302190.73499999999</v>
      </c>
      <c r="AQ5" s="989">
        <v>1</v>
      </c>
      <c r="AR5" s="989">
        <v>1.0196405036426199</v>
      </c>
      <c r="AS5" s="989">
        <v>1.03966675666858</v>
      </c>
      <c r="AT5" s="989">
        <v>1.06008633539004</v>
      </c>
      <c r="AU5" s="989">
        <v>1.08090696492176</v>
      </c>
      <c r="AV5" s="989">
        <v>1.1021365221036401</v>
      </c>
      <c r="AW5" s="989">
        <v>1.1237830384806899</v>
      </c>
      <c r="AX5" s="989">
        <v>1.1458547033414801</v>
      </c>
      <c r="AY5" s="989">
        <v>1.1683598668163799</v>
      </c>
      <c r="AZ5" s="989">
        <v>1.1913070430364801</v>
      </c>
      <c r="BA5" s="989">
        <v>1.2107900508346801</v>
      </c>
      <c r="BB5" s="989">
        <v>1.23856232963017</v>
      </c>
      <c r="BC5" s="989">
        <v>1.2628883175768899</v>
      </c>
      <c r="BD5" s="989">
        <v>1.2876920801784799</v>
      </c>
      <c r="BE5" s="821">
        <f t="shared" ref="AU5:BX5" si="4">BE3+BE3-BE4</f>
        <v>1.326286364827135</v>
      </c>
      <c r="BF5" s="821">
        <f t="shared" si="4"/>
        <v>1.3778616596614748</v>
      </c>
      <c r="BG5" s="821">
        <f t="shared" si="4"/>
        <v>1.4304499192618951</v>
      </c>
      <c r="BH5" s="821">
        <f t="shared" si="4"/>
        <v>1.4840710387665548</v>
      </c>
      <c r="BI5" s="821">
        <f t="shared" si="4"/>
        <v>1.538745304064155</v>
      </c>
      <c r="BJ5" s="821">
        <f t="shared" si="4"/>
        <v>1.5944933994685149</v>
      </c>
      <c r="BK5" s="821">
        <f t="shared" si="4"/>
        <v>1.6513364155437149</v>
      </c>
      <c r="BL5" s="821">
        <f t="shared" si="4"/>
        <v>1.7092958570831949</v>
      </c>
      <c r="BM5" s="821">
        <f t="shared" si="4"/>
        <v>1.7683936512453549</v>
      </c>
      <c r="BN5" s="821">
        <f t="shared" si="4"/>
        <v>1.8286521558490347</v>
      </c>
      <c r="BO5" s="821">
        <f t="shared" si="4"/>
        <v>1.8900941678318948</v>
      </c>
      <c r="BP5" s="821">
        <f t="shared" si="4"/>
        <v>1.952742931874895</v>
      </c>
      <c r="BQ5" s="821">
        <f t="shared" si="4"/>
        <v>2.0166221491962952</v>
      </c>
      <c r="BR5" s="821">
        <f t="shared" si="4"/>
        <v>2.081755986518175</v>
      </c>
      <c r="BS5" s="821">
        <f t="shared" si="4"/>
        <v>2.1481690852092346</v>
      </c>
      <c r="BT5" s="821">
        <f t="shared" si="4"/>
        <v>2.2158865706070552</v>
      </c>
      <c r="BU5" s="821">
        <f t="shared" si="4"/>
        <v>2.284934061523515</v>
      </c>
      <c r="BV5" s="821">
        <f t="shared" si="4"/>
        <v>2.3553376799368149</v>
      </c>
      <c r="BW5" s="821">
        <f t="shared" si="4"/>
        <v>2.4271240608740348</v>
      </c>
      <c r="BX5" s="821">
        <f t="shared" si="4"/>
        <v>2.500320362487515</v>
      </c>
    </row>
    <row r="6" spans="1:76" s="821" customFormat="1" ht="15" thickBot="1">
      <c r="A6" s="234" t="s">
        <v>283</v>
      </c>
      <c r="B6" s="709">
        <v>0</v>
      </c>
      <c r="C6" s="710">
        <v>0</v>
      </c>
      <c r="D6" s="712">
        <v>91572.95</v>
      </c>
      <c r="E6" s="713">
        <v>0</v>
      </c>
      <c r="F6" s="233"/>
      <c r="G6" s="234" t="s">
        <v>284</v>
      </c>
      <c r="H6" s="412">
        <f>[10]מים!D4</f>
        <v>0</v>
      </c>
      <c r="I6" s="413">
        <f>[10]מים!L4</f>
        <v>20</v>
      </c>
      <c r="J6" s="233"/>
      <c r="K6" s="234" t="s">
        <v>287</v>
      </c>
      <c r="L6" s="716">
        <v>0</v>
      </c>
      <c r="M6" s="716">
        <v>0</v>
      </c>
      <c r="N6" s="234" t="s">
        <v>287</v>
      </c>
      <c r="O6" s="421">
        <f>[10]כמות!D5</f>
        <v>0</v>
      </c>
      <c r="P6" s="233"/>
      <c r="Q6" s="423">
        <f>[2]Food!$Q$6</f>
        <v>1248551700</v>
      </c>
      <c r="R6" s="233"/>
      <c r="S6" s="616" t="s">
        <v>360</v>
      </c>
      <c r="T6" s="816">
        <v>0.39045833165310667</v>
      </c>
      <c r="V6" s="234" t="s">
        <v>284</v>
      </c>
      <c r="W6" s="990">
        <v>3.7</v>
      </c>
      <c r="X6" s="990">
        <v>1.7</v>
      </c>
      <c r="Y6" s="700">
        <f t="shared" si="0"/>
        <v>176138.5</v>
      </c>
      <c r="Z6" s="700">
        <f t="shared" si="1"/>
        <v>176138500</v>
      </c>
      <c r="AA6" s="233">
        <f t="shared" si="2"/>
        <v>18846.200000000004</v>
      </c>
      <c r="AB6" s="233"/>
      <c r="AC6" s="233"/>
      <c r="AD6" s="875"/>
      <c r="AE6" s="874"/>
      <c r="AF6" s="234" t="s">
        <v>284</v>
      </c>
      <c r="AG6" s="847">
        <f>(B7+C7)*W6</f>
        <v>176138.5</v>
      </c>
      <c r="AH6" s="843"/>
      <c r="AK6" s="233"/>
      <c r="AL6" s="234" t="s">
        <v>284</v>
      </c>
      <c r="AM6" s="847">
        <f t="shared" ref="AM6:AM67" si="5">(D7+E7)*X6</f>
        <v>18846.200000000004</v>
      </c>
    </row>
    <row r="7" spans="1:76" s="821" customFormat="1">
      <c r="A7" s="234" t="s">
        <v>284</v>
      </c>
      <c r="B7" s="709">
        <v>8983.0702322332218</v>
      </c>
      <c r="C7" s="710">
        <v>38621.929767766778</v>
      </c>
      <c r="D7" s="712">
        <v>2091.9297677667801</v>
      </c>
      <c r="E7" s="713">
        <v>8994.0702322332218</v>
      </c>
      <c r="F7" s="233"/>
      <c r="G7" s="234" t="s">
        <v>287</v>
      </c>
      <c r="H7" s="412">
        <f>[10]מים!D5</f>
        <v>0</v>
      </c>
      <c r="I7" s="413">
        <f>[10]מים!L5</f>
        <v>0</v>
      </c>
      <c r="J7" s="233"/>
      <c r="K7" s="234" t="s">
        <v>288</v>
      </c>
      <c r="L7" s="717">
        <v>0.47</v>
      </c>
      <c r="M7" s="717">
        <v>0.47</v>
      </c>
      <c r="N7" s="234" t="s">
        <v>288</v>
      </c>
      <c r="O7" s="421">
        <f>[10]כמות!D6</f>
        <v>35919.688999999991</v>
      </c>
      <c r="P7" s="233"/>
      <c r="Q7" s="233"/>
      <c r="R7" s="233"/>
      <c r="S7" s="616" t="s">
        <v>217</v>
      </c>
      <c r="T7" s="817">
        <v>0.15125828288516194</v>
      </c>
      <c r="V7" s="234" t="s">
        <v>287</v>
      </c>
      <c r="W7" s="993">
        <v>0</v>
      </c>
      <c r="X7" s="992">
        <v>10</v>
      </c>
      <c r="Y7" s="700">
        <f t="shared" si="0"/>
        <v>0</v>
      </c>
      <c r="Z7" s="700">
        <f t="shared" si="1"/>
        <v>0</v>
      </c>
      <c r="AA7" s="233">
        <f t="shared" si="2"/>
        <v>3520</v>
      </c>
      <c r="AB7" s="233"/>
      <c r="AC7" s="233"/>
      <c r="AD7" s="875"/>
      <c r="AE7" s="874"/>
      <c r="AF7" s="234" t="s">
        <v>287</v>
      </c>
      <c r="AG7" s="847">
        <f t="shared" si="3"/>
        <v>0</v>
      </c>
      <c r="AH7" s="843"/>
      <c r="AK7" s="233"/>
      <c r="AL7" s="234" t="s">
        <v>287</v>
      </c>
      <c r="AM7" s="847">
        <f t="shared" si="5"/>
        <v>3520</v>
      </c>
    </row>
    <row r="8" spans="1:76" s="821" customFormat="1">
      <c r="A8" s="234" t="s">
        <v>287</v>
      </c>
      <c r="B8" s="709">
        <v>0</v>
      </c>
      <c r="C8" s="710">
        <v>0</v>
      </c>
      <c r="D8" s="712">
        <v>352</v>
      </c>
      <c r="E8" s="713">
        <v>0</v>
      </c>
      <c r="F8" s="233"/>
      <c r="G8" s="234" t="s">
        <v>288</v>
      </c>
      <c r="H8" s="412">
        <f>[10]מים!D6</f>
        <v>340</v>
      </c>
      <c r="I8" s="413">
        <f>[10]מים!L6</f>
        <v>62</v>
      </c>
      <c r="J8" s="233"/>
      <c r="K8" s="237" t="s">
        <v>289</v>
      </c>
      <c r="L8" s="717">
        <v>0.18</v>
      </c>
      <c r="M8" s="717">
        <v>0.18</v>
      </c>
      <c r="N8" s="237" t="s">
        <v>289</v>
      </c>
      <c r="O8" s="421">
        <f>[10]כמות!D8</f>
        <v>575735</v>
      </c>
      <c r="P8" s="233"/>
      <c r="Q8" s="233"/>
      <c r="R8" s="233"/>
      <c r="S8" s="616" t="s">
        <v>208</v>
      </c>
      <c r="T8" s="618">
        <v>0</v>
      </c>
      <c r="V8" s="234" t="s">
        <v>288</v>
      </c>
      <c r="W8" s="990">
        <v>0.3</v>
      </c>
      <c r="X8" s="990">
        <v>1.4</v>
      </c>
      <c r="Y8" s="700">
        <f>W8*SUM(B9:C9)</f>
        <v>1957.4066999999973</v>
      </c>
      <c r="Z8" s="700">
        <f t="shared" si="1"/>
        <v>1957406.6999999972</v>
      </c>
      <c r="AA8" s="233">
        <f t="shared" si="2"/>
        <v>888006</v>
      </c>
      <c r="AB8" s="233"/>
      <c r="AC8" s="233"/>
      <c r="AD8" s="875"/>
      <c r="AE8" s="874"/>
      <c r="AF8" s="234" t="s">
        <v>288</v>
      </c>
      <c r="AG8" s="847">
        <f t="shared" si="3"/>
        <v>1957.4066999999973</v>
      </c>
      <c r="AH8" s="843"/>
      <c r="AK8" s="233"/>
      <c r="AL8" s="234" t="s">
        <v>288</v>
      </c>
      <c r="AM8" s="847">
        <f t="shared" si="5"/>
        <v>888006</v>
      </c>
    </row>
    <row r="9" spans="1:76" s="821" customFormat="1" ht="42" thickBot="1">
      <c r="A9" s="234" t="s">
        <v>288</v>
      </c>
      <c r="B9" s="709">
        <v>6391.3065614148481</v>
      </c>
      <c r="C9" s="710">
        <v>133.38243858514281</v>
      </c>
      <c r="D9" s="712">
        <v>621323.38243858516</v>
      </c>
      <c r="E9" s="713">
        <v>12966.617561414858</v>
      </c>
      <c r="F9" s="233"/>
      <c r="G9" s="237" t="s">
        <v>289</v>
      </c>
      <c r="H9" s="412">
        <f>[10]מים!D8</f>
        <v>112</v>
      </c>
      <c r="I9" s="413">
        <f>[10]מים!L8</f>
        <v>12</v>
      </c>
      <c r="J9" s="233"/>
      <c r="K9" s="234" t="s">
        <v>290</v>
      </c>
      <c r="L9" s="717">
        <v>0.18</v>
      </c>
      <c r="M9" s="717">
        <v>0.18</v>
      </c>
      <c r="N9" s="234" t="s">
        <v>290</v>
      </c>
      <c r="O9" s="421">
        <f>[10]כמות!D9</f>
        <v>0</v>
      </c>
      <c r="P9" s="233"/>
      <c r="Q9" s="233"/>
      <c r="R9" s="233"/>
      <c r="S9" s="616" t="s">
        <v>361</v>
      </c>
      <c r="T9" s="818">
        <v>0.45828338546173136</v>
      </c>
      <c r="V9" s="237" t="s">
        <v>289</v>
      </c>
      <c r="W9" s="990">
        <v>0.3</v>
      </c>
      <c r="X9" s="990">
        <v>0.2</v>
      </c>
      <c r="Y9" s="700">
        <f t="shared" si="0"/>
        <v>110394.59999999999</v>
      </c>
      <c r="Z9" s="700">
        <f t="shared" si="1"/>
        <v>110394599.99999999</v>
      </c>
      <c r="AA9" s="233">
        <f t="shared" si="2"/>
        <v>565.99999999999966</v>
      </c>
      <c r="AB9" s="233"/>
      <c r="AC9" s="233"/>
      <c r="AD9" s="875"/>
      <c r="AE9" s="874"/>
      <c r="AF9" s="237" t="s">
        <v>289</v>
      </c>
      <c r="AG9" s="847">
        <f t="shared" si="3"/>
        <v>110394.59999999999</v>
      </c>
      <c r="AH9" s="843"/>
      <c r="AK9" s="233"/>
      <c r="AL9" s="237" t="s">
        <v>289</v>
      </c>
      <c r="AM9" s="847">
        <f t="shared" si="5"/>
        <v>565.99999999999966</v>
      </c>
    </row>
    <row r="10" spans="1:76" s="821" customFormat="1" ht="15" thickTop="1">
      <c r="A10" s="237" t="s">
        <v>289</v>
      </c>
      <c r="B10" s="709">
        <v>367982</v>
      </c>
      <c r="C10" s="710">
        <v>0</v>
      </c>
      <c r="D10" s="712">
        <v>2829.9999999999982</v>
      </c>
      <c r="E10" s="713">
        <v>0</v>
      </c>
      <c r="F10" s="233"/>
      <c r="G10" s="234" t="s">
        <v>290</v>
      </c>
      <c r="H10" s="412">
        <f>[10]מים!D9</f>
        <v>112</v>
      </c>
      <c r="I10" s="413">
        <f>[10]מים!L9</f>
        <v>12</v>
      </c>
      <c r="J10" s="233"/>
      <c r="K10" s="234" t="s">
        <v>291</v>
      </c>
      <c r="L10" s="717">
        <v>0</v>
      </c>
      <c r="M10" s="717">
        <v>3.2</v>
      </c>
      <c r="N10" s="234" t="s">
        <v>291</v>
      </c>
      <c r="O10" s="421">
        <f>[10]כמות!D11</f>
        <v>2342.767295597484</v>
      </c>
      <c r="P10" s="233"/>
      <c r="Q10" s="233"/>
      <c r="R10" s="233"/>
      <c r="S10" s="616" t="s">
        <v>209</v>
      </c>
      <c r="T10" s="618">
        <v>0</v>
      </c>
      <c r="V10" s="234" t="s">
        <v>290</v>
      </c>
      <c r="W10" s="990">
        <v>0.3</v>
      </c>
      <c r="X10" s="990">
        <v>0.2</v>
      </c>
      <c r="Y10" s="700">
        <f t="shared" si="0"/>
        <v>0</v>
      </c>
      <c r="Z10" s="700">
        <f t="shared" si="1"/>
        <v>0</v>
      </c>
      <c r="AA10" s="233">
        <f t="shared" si="2"/>
        <v>1629.6000000000001</v>
      </c>
      <c r="AB10" s="233"/>
      <c r="AC10" s="233"/>
      <c r="AD10" s="875"/>
      <c r="AE10" s="874"/>
      <c r="AF10" s="234" t="s">
        <v>290</v>
      </c>
      <c r="AG10" s="847">
        <f t="shared" si="3"/>
        <v>0</v>
      </c>
      <c r="AH10" s="843"/>
      <c r="AK10" s="233"/>
      <c r="AL10" s="234" t="s">
        <v>290</v>
      </c>
      <c r="AM10" s="847">
        <f t="shared" si="5"/>
        <v>1629.6000000000001</v>
      </c>
    </row>
    <row r="11" spans="1:76" s="821" customFormat="1">
      <c r="A11" s="234" t="s">
        <v>290</v>
      </c>
      <c r="B11" s="819">
        <v>0</v>
      </c>
      <c r="C11" s="820">
        <v>0</v>
      </c>
      <c r="D11" s="712">
        <v>8148</v>
      </c>
      <c r="E11" s="713">
        <v>0</v>
      </c>
      <c r="F11" s="233"/>
      <c r="G11" s="234" t="s">
        <v>291</v>
      </c>
      <c r="H11" s="412">
        <f>[10]מים!D11</f>
        <v>0</v>
      </c>
      <c r="I11" s="413">
        <f>[10]מים!L10</f>
        <v>0</v>
      </c>
      <c r="J11" s="233"/>
      <c r="K11" s="238" t="s">
        <v>292</v>
      </c>
      <c r="L11" s="717">
        <v>2.4</v>
      </c>
      <c r="M11" s="717">
        <v>2.4</v>
      </c>
      <c r="N11" s="238" t="s">
        <v>292</v>
      </c>
      <c r="O11" s="421">
        <f>[10]כמות!D12</f>
        <v>3500</v>
      </c>
      <c r="P11" s="233"/>
      <c r="Q11" s="233"/>
      <c r="R11" s="233"/>
      <c r="S11" s="233"/>
      <c r="T11" s="233"/>
      <c r="V11" s="234" t="s">
        <v>291</v>
      </c>
      <c r="W11" s="990">
        <v>0</v>
      </c>
      <c r="X11" s="990">
        <v>0.8</v>
      </c>
      <c r="Y11" s="700">
        <f t="shared" si="0"/>
        <v>0</v>
      </c>
      <c r="Z11" s="700">
        <f t="shared" si="1"/>
        <v>0</v>
      </c>
      <c r="AA11" s="233">
        <f t="shared" si="2"/>
        <v>301872.78720000002</v>
      </c>
      <c r="AB11" s="233"/>
      <c r="AC11" s="233"/>
      <c r="AD11" s="875"/>
      <c r="AE11" s="874"/>
      <c r="AF11" s="234" t="s">
        <v>291</v>
      </c>
      <c r="AG11" s="847">
        <f t="shared" si="3"/>
        <v>0</v>
      </c>
      <c r="AH11" s="843"/>
      <c r="AK11" s="233">
        <v>8</v>
      </c>
      <c r="AL11" s="234" t="s">
        <v>291</v>
      </c>
      <c r="AM11" s="847">
        <f t="shared" si="5"/>
        <v>301872.78720000002</v>
      </c>
    </row>
    <row r="12" spans="1:76" s="821" customFormat="1">
      <c r="A12" s="234" t="s">
        <v>291</v>
      </c>
      <c r="B12" s="709">
        <v>2330.4266711298674</v>
      </c>
      <c r="C12" s="710">
        <v>12.340624467616763</v>
      </c>
      <c r="D12" s="712">
        <v>375353.32462446764</v>
      </c>
      <c r="E12" s="714">
        <v>1987.6593755323834</v>
      </c>
      <c r="F12" s="233"/>
      <c r="G12" s="238" t="s">
        <v>292</v>
      </c>
      <c r="H12" s="412">
        <f>[10]מים!D12</f>
        <v>0</v>
      </c>
      <c r="I12" s="413">
        <f>[10]מים!L11</f>
        <v>29</v>
      </c>
      <c r="J12" s="233"/>
      <c r="K12" s="234" t="s">
        <v>293</v>
      </c>
      <c r="L12" s="717">
        <v>0.31</v>
      </c>
      <c r="M12" s="717">
        <v>0.31</v>
      </c>
      <c r="N12" s="234" t="s">
        <v>293</v>
      </c>
      <c r="O12" s="421">
        <f>[10]כמות!D14</f>
        <v>10957.6</v>
      </c>
      <c r="P12" s="233"/>
      <c r="Q12" s="233"/>
      <c r="R12" s="233"/>
      <c r="S12" s="233"/>
      <c r="T12" s="700"/>
      <c r="V12" s="238" t="s">
        <v>292</v>
      </c>
      <c r="W12" s="993">
        <v>0</v>
      </c>
      <c r="X12" s="993">
        <v>0</v>
      </c>
      <c r="Y12" s="700">
        <f t="shared" si="0"/>
        <v>0</v>
      </c>
      <c r="Z12" s="700">
        <f t="shared" si="1"/>
        <v>0</v>
      </c>
      <c r="AA12" s="233">
        <f t="shared" si="2"/>
        <v>0</v>
      </c>
      <c r="AB12" s="233"/>
      <c r="AC12" s="233"/>
      <c r="AD12" s="875"/>
      <c r="AE12" s="874"/>
      <c r="AF12" s="238" t="s">
        <v>292</v>
      </c>
      <c r="AG12" s="847">
        <f t="shared" si="3"/>
        <v>0</v>
      </c>
      <c r="AH12" s="843"/>
      <c r="AK12" s="233"/>
      <c r="AL12" s="238" t="s">
        <v>292</v>
      </c>
      <c r="AM12" s="847">
        <f t="shared" si="5"/>
        <v>0</v>
      </c>
    </row>
    <row r="13" spans="1:76" s="821" customFormat="1">
      <c r="A13" s="238" t="s">
        <v>292</v>
      </c>
      <c r="B13" s="709">
        <v>3500</v>
      </c>
      <c r="C13" s="710">
        <v>0</v>
      </c>
      <c r="D13" s="712">
        <v>1975.9999999999998</v>
      </c>
      <c r="E13" s="714">
        <v>0</v>
      </c>
      <c r="F13" s="233"/>
      <c r="G13" s="234" t="s">
        <v>293</v>
      </c>
      <c r="H13" s="412">
        <f>[10]מים!D14</f>
        <v>0</v>
      </c>
      <c r="I13" s="413">
        <f>[10]מים!L14</f>
        <v>49</v>
      </c>
      <c r="J13" s="233"/>
      <c r="K13" s="239" t="s">
        <v>294</v>
      </c>
      <c r="L13" s="717">
        <v>0.77</v>
      </c>
      <c r="M13" s="717">
        <v>0.77</v>
      </c>
      <c r="N13" s="239" t="s">
        <v>294</v>
      </c>
      <c r="O13" s="421">
        <f>[10]כמות!D15</f>
        <v>36300</v>
      </c>
      <c r="P13" s="233"/>
      <c r="Q13" s="233"/>
      <c r="R13" s="233"/>
      <c r="S13" s="620"/>
      <c r="T13" s="700"/>
      <c r="V13" s="234" t="s">
        <v>293</v>
      </c>
      <c r="W13" s="993">
        <v>0</v>
      </c>
      <c r="X13" s="990">
        <v>8.5</v>
      </c>
      <c r="Y13" s="700">
        <f t="shared" si="0"/>
        <v>0</v>
      </c>
      <c r="Z13" s="700">
        <f t="shared" si="1"/>
        <v>0</v>
      </c>
      <c r="AA13" s="233">
        <f t="shared" si="2"/>
        <v>115812.38099999998</v>
      </c>
      <c r="AB13" s="233"/>
      <c r="AC13" s="233"/>
      <c r="AD13" s="875"/>
      <c r="AE13" s="874"/>
      <c r="AF13" s="234" t="s">
        <v>293</v>
      </c>
      <c r="AG13" s="847">
        <f t="shared" si="3"/>
        <v>0</v>
      </c>
      <c r="AH13" s="843"/>
      <c r="AK13" s="233"/>
      <c r="AL13" s="234" t="s">
        <v>293</v>
      </c>
      <c r="AM13" s="847">
        <f t="shared" si="5"/>
        <v>115812.38099999998</v>
      </c>
    </row>
    <row r="14" spans="1:76" s="821" customFormat="1">
      <c r="A14" s="234" t="s">
        <v>293</v>
      </c>
      <c r="B14" s="709">
        <v>10865.422560000001</v>
      </c>
      <c r="C14" s="710">
        <v>0</v>
      </c>
      <c r="D14" s="712">
        <v>13624.985999999997</v>
      </c>
      <c r="E14" s="714">
        <v>0</v>
      </c>
      <c r="F14" s="233"/>
      <c r="G14" s="239" t="s">
        <v>294</v>
      </c>
      <c r="H14" s="414">
        <f>[10]מים!D15</f>
        <v>457</v>
      </c>
      <c r="I14" s="413">
        <f>[10]מים!L15</f>
        <v>57</v>
      </c>
      <c r="J14" s="233"/>
      <c r="K14" s="239" t="s">
        <v>295</v>
      </c>
      <c r="L14" s="717">
        <v>1.03</v>
      </c>
      <c r="M14" s="717">
        <v>1.03</v>
      </c>
      <c r="N14" s="239" t="s">
        <v>295</v>
      </c>
      <c r="O14" s="421">
        <f>[10]כמות!D16</f>
        <v>25</v>
      </c>
      <c r="P14" s="233"/>
      <c r="Q14" s="233"/>
      <c r="R14" s="233"/>
      <c r="S14" s="233"/>
      <c r="T14" s="700"/>
      <c r="V14" s="239" t="s">
        <v>294</v>
      </c>
      <c r="W14" s="990">
        <v>1.6</v>
      </c>
      <c r="X14" s="990">
        <v>8.6</v>
      </c>
      <c r="Y14" s="700">
        <f t="shared" si="0"/>
        <v>56652.5504</v>
      </c>
      <c r="Z14" s="700">
        <f t="shared" si="1"/>
        <v>56652550.399999999</v>
      </c>
      <c r="AA14" s="233">
        <f t="shared" si="2"/>
        <v>111330.08739999996</v>
      </c>
      <c r="AB14" s="233"/>
      <c r="AC14" s="233"/>
      <c r="AD14" s="875"/>
      <c r="AE14" s="874"/>
      <c r="AF14" s="239" t="s">
        <v>294</v>
      </c>
      <c r="AG14" s="847">
        <f t="shared" si="3"/>
        <v>56652.5504</v>
      </c>
      <c r="AH14" s="843"/>
      <c r="AK14" s="233"/>
      <c r="AL14" s="239" t="s">
        <v>294</v>
      </c>
      <c r="AM14" s="847">
        <f t="shared" si="5"/>
        <v>111330.08739999996</v>
      </c>
    </row>
    <row r="15" spans="1:76" s="821" customFormat="1">
      <c r="A15" s="239" t="s">
        <v>294</v>
      </c>
      <c r="B15" s="709">
        <v>35407.843999999997</v>
      </c>
      <c r="C15" s="710">
        <v>0</v>
      </c>
      <c r="D15" s="712">
        <v>12945.358999999997</v>
      </c>
      <c r="E15" s="714">
        <v>0</v>
      </c>
      <c r="F15" s="233"/>
      <c r="G15" s="239" t="s">
        <v>295</v>
      </c>
      <c r="H15" s="412">
        <f>[10]מים!D16</f>
        <v>457</v>
      </c>
      <c r="I15" s="413">
        <f>[10]מים!L16</f>
        <v>57</v>
      </c>
      <c r="J15" s="233"/>
      <c r="K15" s="239" t="s">
        <v>296</v>
      </c>
      <c r="L15" s="717">
        <v>0.31</v>
      </c>
      <c r="M15" s="717">
        <v>0.31</v>
      </c>
      <c r="N15" s="239" t="s">
        <v>296</v>
      </c>
      <c r="O15" s="421">
        <f>[10]כמות!D17</f>
        <v>394.58</v>
      </c>
      <c r="P15" s="233"/>
      <c r="Q15" s="233"/>
      <c r="R15" s="233"/>
      <c r="S15" s="233"/>
      <c r="T15" s="700"/>
      <c r="V15" s="239" t="s">
        <v>295</v>
      </c>
      <c r="W15" s="990">
        <v>1.6</v>
      </c>
      <c r="X15" s="990">
        <v>8.6</v>
      </c>
      <c r="Y15" s="700">
        <f t="shared" si="0"/>
        <v>33.6</v>
      </c>
      <c r="Z15" s="700">
        <f t="shared" si="1"/>
        <v>33600</v>
      </c>
      <c r="AA15" s="233">
        <f t="shared" si="2"/>
        <v>70363.282200000001</v>
      </c>
      <c r="AB15" s="233"/>
      <c r="AC15" s="233"/>
      <c r="AD15" s="875"/>
      <c r="AE15" s="874"/>
      <c r="AF15" s="239" t="s">
        <v>295</v>
      </c>
      <c r="AG15" s="847">
        <f t="shared" si="3"/>
        <v>33.6</v>
      </c>
      <c r="AH15" s="843"/>
      <c r="AK15" s="233"/>
      <c r="AL15" s="239" t="s">
        <v>295</v>
      </c>
      <c r="AM15" s="847">
        <f t="shared" si="5"/>
        <v>70363.282200000001</v>
      </c>
    </row>
    <row r="16" spans="1:76" s="821" customFormat="1">
      <c r="A16" s="239" t="s">
        <v>295</v>
      </c>
      <c r="B16" s="709">
        <v>21</v>
      </c>
      <c r="C16" s="710">
        <v>0</v>
      </c>
      <c r="D16" s="712">
        <v>8181.777</v>
      </c>
      <c r="E16" s="714">
        <v>0</v>
      </c>
      <c r="F16" s="233"/>
      <c r="G16" s="239" t="s">
        <v>296</v>
      </c>
      <c r="H16" s="412">
        <f>[10]מים!D17</f>
        <v>547</v>
      </c>
      <c r="I16" s="413">
        <f>[10]מים!L17</f>
        <v>57</v>
      </c>
      <c r="J16" s="233"/>
      <c r="K16" s="239" t="s">
        <v>297</v>
      </c>
      <c r="L16" s="717">
        <v>0.38</v>
      </c>
      <c r="M16" s="717">
        <v>0.38</v>
      </c>
      <c r="N16" s="239" t="s">
        <v>297</v>
      </c>
      <c r="O16" s="421">
        <f>[10]כמות!D18</f>
        <v>12495.39</v>
      </c>
      <c r="P16" s="233"/>
      <c r="Q16" s="233"/>
      <c r="R16" s="233"/>
      <c r="S16" s="233"/>
      <c r="T16" s="700"/>
      <c r="V16" s="239" t="s">
        <v>296</v>
      </c>
      <c r="W16" s="990">
        <v>1.6</v>
      </c>
      <c r="X16" s="990">
        <v>8.6</v>
      </c>
      <c r="Y16" s="700">
        <f t="shared" si="0"/>
        <v>543.32799999999997</v>
      </c>
      <c r="Z16" s="700">
        <f t="shared" si="1"/>
        <v>543328</v>
      </c>
      <c r="AA16" s="233">
        <f t="shared" si="2"/>
        <v>13499.970399999998</v>
      </c>
      <c r="AB16" s="233"/>
      <c r="AC16" s="233"/>
      <c r="AD16" s="875"/>
      <c r="AE16" s="874"/>
      <c r="AF16" s="239" t="s">
        <v>296</v>
      </c>
      <c r="AG16" s="847">
        <f t="shared" si="3"/>
        <v>543.32799999999997</v>
      </c>
      <c r="AH16" s="843"/>
      <c r="AK16" s="233"/>
      <c r="AL16" s="239" t="s">
        <v>296</v>
      </c>
      <c r="AM16" s="847">
        <f t="shared" si="5"/>
        <v>13499.970399999998</v>
      </c>
    </row>
    <row r="17" spans="1:39" s="821" customFormat="1">
      <c r="A17" s="239" t="s">
        <v>296</v>
      </c>
      <c r="B17" s="709">
        <v>339.58</v>
      </c>
      <c r="C17" s="710">
        <v>0</v>
      </c>
      <c r="D17" s="712">
        <v>1569.7639999999999</v>
      </c>
      <c r="E17" s="714">
        <v>0</v>
      </c>
      <c r="F17" s="233"/>
      <c r="G17" s="239" t="s">
        <v>297</v>
      </c>
      <c r="H17" s="412">
        <f>[10]מים!D18</f>
        <v>0</v>
      </c>
      <c r="I17" s="413">
        <f>[10]מים!L18</f>
        <v>3</v>
      </c>
      <c r="J17" s="233"/>
      <c r="K17" s="234" t="s">
        <v>298</v>
      </c>
      <c r="L17" s="718">
        <v>0.88</v>
      </c>
      <c r="M17" s="718">
        <v>0.88</v>
      </c>
      <c r="N17" s="234" t="s">
        <v>298</v>
      </c>
      <c r="O17" s="421">
        <f>[10]כמות!D20</f>
        <v>0</v>
      </c>
      <c r="P17" s="233"/>
      <c r="Q17" s="233"/>
      <c r="R17" s="233"/>
      <c r="S17" s="233"/>
      <c r="T17" s="233"/>
      <c r="V17" s="239" t="s">
        <v>297</v>
      </c>
      <c r="W17" s="990">
        <v>8.8000000000000007</v>
      </c>
      <c r="X17" s="990">
        <v>5.6</v>
      </c>
      <c r="Y17" s="700">
        <f t="shared" si="0"/>
        <v>109574.0888</v>
      </c>
      <c r="Z17" s="700">
        <f t="shared" si="1"/>
        <v>109574088.8</v>
      </c>
      <c r="AA17" s="233">
        <f t="shared" si="2"/>
        <v>27236.441120000003</v>
      </c>
      <c r="AB17" s="233"/>
      <c r="AC17" s="233"/>
      <c r="AD17" s="875"/>
      <c r="AE17" s="874"/>
      <c r="AF17" s="239" t="s">
        <v>297</v>
      </c>
      <c r="AG17" s="847">
        <f t="shared" si="3"/>
        <v>109574.0888</v>
      </c>
      <c r="AH17" s="843"/>
      <c r="AK17" s="233"/>
      <c r="AL17" s="239" t="s">
        <v>297</v>
      </c>
      <c r="AM17" s="847">
        <f t="shared" si="5"/>
        <v>27236.441120000003</v>
      </c>
    </row>
    <row r="18" spans="1:39" s="821" customFormat="1">
      <c r="A18" s="239" t="s">
        <v>297</v>
      </c>
      <c r="B18" s="709">
        <v>12451.600999999999</v>
      </c>
      <c r="C18" s="710">
        <v>0</v>
      </c>
      <c r="D18" s="712">
        <v>4863.650200000001</v>
      </c>
      <c r="E18" s="714">
        <v>0</v>
      </c>
      <c r="F18" s="233"/>
      <c r="G18" s="234" t="s">
        <v>298</v>
      </c>
      <c r="H18" s="412">
        <f>[10]מים!D20</f>
        <v>102</v>
      </c>
      <c r="I18" s="413">
        <f>[10]מים!L20</f>
        <v>290</v>
      </c>
      <c r="J18" s="233"/>
      <c r="K18" s="234" t="s">
        <v>299</v>
      </c>
      <c r="L18" s="716">
        <v>0.99</v>
      </c>
      <c r="M18" s="716">
        <v>0.99</v>
      </c>
      <c r="N18" s="234" t="s">
        <v>299</v>
      </c>
      <c r="O18" s="421">
        <f>[10]כמות!D21</f>
        <v>19664</v>
      </c>
      <c r="P18" s="233"/>
      <c r="Q18" s="233"/>
      <c r="R18" s="233"/>
      <c r="S18" s="233"/>
      <c r="T18" s="233"/>
      <c r="V18" s="234" t="s">
        <v>298</v>
      </c>
      <c r="W18" s="993">
        <v>0</v>
      </c>
      <c r="X18" s="993">
        <v>17.600000000000001</v>
      </c>
      <c r="Y18" s="700">
        <f t="shared" si="0"/>
        <v>0</v>
      </c>
      <c r="Z18" s="700">
        <f t="shared" si="1"/>
        <v>0</v>
      </c>
      <c r="AA18" s="233">
        <f t="shared" si="2"/>
        <v>995765.84800000011</v>
      </c>
      <c r="AB18" s="233"/>
      <c r="AC18" s="233"/>
      <c r="AD18" s="875"/>
      <c r="AE18" s="874"/>
      <c r="AF18" s="234" t="s">
        <v>298</v>
      </c>
      <c r="AG18" s="847">
        <f t="shared" si="3"/>
        <v>0</v>
      </c>
      <c r="AH18" s="843"/>
      <c r="AK18" s="233"/>
      <c r="AL18" s="234" t="s">
        <v>298</v>
      </c>
      <c r="AM18" s="847">
        <f t="shared" si="5"/>
        <v>995765.84800000011</v>
      </c>
    </row>
    <row r="19" spans="1:39" s="821" customFormat="1">
      <c r="A19" s="234" t="s">
        <v>298</v>
      </c>
      <c r="B19" s="709">
        <v>0</v>
      </c>
      <c r="C19" s="710">
        <v>0</v>
      </c>
      <c r="D19" s="712">
        <v>56577.605000000003</v>
      </c>
      <c r="E19" s="713">
        <v>0</v>
      </c>
      <c r="F19" s="233"/>
      <c r="G19" s="234" t="s">
        <v>299</v>
      </c>
      <c r="H19" s="412">
        <f>[10]מים!D21</f>
        <v>680</v>
      </c>
      <c r="I19" s="413">
        <f>[10]מים!L21</f>
        <v>62</v>
      </c>
      <c r="J19" s="233"/>
      <c r="K19" s="234" t="s">
        <v>300</v>
      </c>
      <c r="L19" s="716">
        <v>1.41</v>
      </c>
      <c r="M19" s="716">
        <v>1.41</v>
      </c>
      <c r="N19" s="234" t="s">
        <v>300</v>
      </c>
      <c r="O19" s="421">
        <f>[10]כמות!D22</f>
        <v>12093</v>
      </c>
      <c r="P19" s="233"/>
      <c r="Q19" s="233"/>
      <c r="R19" s="233"/>
      <c r="S19" s="233"/>
      <c r="T19" s="233"/>
      <c r="V19" s="234" t="s">
        <v>299</v>
      </c>
      <c r="W19" s="990">
        <v>1.6</v>
      </c>
      <c r="X19" s="990">
        <v>2.7</v>
      </c>
      <c r="Y19" s="700">
        <f t="shared" si="0"/>
        <v>18564.993599999998</v>
      </c>
      <c r="Z19" s="700">
        <f t="shared" si="1"/>
        <v>18564993.599999998</v>
      </c>
      <c r="AA19" s="233">
        <f t="shared" si="2"/>
        <v>6767.0316000000003</v>
      </c>
      <c r="AB19" s="233"/>
      <c r="AC19" s="233"/>
      <c r="AD19" s="875"/>
      <c r="AE19" s="874"/>
      <c r="AF19" s="234" t="s">
        <v>299</v>
      </c>
      <c r="AG19" s="847">
        <f t="shared" si="3"/>
        <v>18564.993599999998</v>
      </c>
      <c r="AH19" s="843"/>
      <c r="AK19" s="233"/>
      <c r="AL19" s="234" t="s">
        <v>299</v>
      </c>
      <c r="AM19" s="847">
        <f t="shared" si="5"/>
        <v>6767.0316000000003</v>
      </c>
    </row>
    <row r="20" spans="1:39" s="821" customFormat="1">
      <c r="A20" s="234" t="s">
        <v>299</v>
      </c>
      <c r="B20" s="709">
        <v>11603.120999999999</v>
      </c>
      <c r="C20" s="710">
        <v>0</v>
      </c>
      <c r="D20" s="712">
        <v>2506.308</v>
      </c>
      <c r="E20" s="713">
        <v>0</v>
      </c>
      <c r="F20" s="233"/>
      <c r="G20" s="234" t="s">
        <v>300</v>
      </c>
      <c r="H20" s="412">
        <f>[10]מים!D22</f>
        <v>3282</v>
      </c>
      <c r="I20" s="413">
        <f>[10]מים!L22</f>
        <v>90</v>
      </c>
      <c r="J20" s="233"/>
      <c r="K20" s="238" t="s">
        <v>301</v>
      </c>
      <c r="L20" s="716">
        <v>0.99</v>
      </c>
      <c r="M20" s="716">
        <v>0.99</v>
      </c>
      <c r="N20" s="238" t="s">
        <v>301</v>
      </c>
      <c r="O20" s="421">
        <f>[10]כמות!D23</f>
        <v>5050.0199999999995</v>
      </c>
      <c r="P20" s="233"/>
      <c r="Q20" s="233"/>
      <c r="R20" s="233"/>
      <c r="S20" s="233"/>
      <c r="T20" s="233"/>
      <c r="V20" s="234" t="s">
        <v>300</v>
      </c>
      <c r="W20" s="990">
        <v>1.8</v>
      </c>
      <c r="X20" s="990">
        <v>4.5</v>
      </c>
      <c r="Y20" s="700">
        <f t="shared" si="0"/>
        <v>18712.8</v>
      </c>
      <c r="Z20" s="700">
        <f t="shared" si="1"/>
        <v>18712800</v>
      </c>
      <c r="AA20" s="233">
        <f t="shared" si="2"/>
        <v>20022.930000000008</v>
      </c>
      <c r="AB20" s="233"/>
      <c r="AC20" s="233"/>
      <c r="AD20" s="875"/>
      <c r="AE20" s="874"/>
      <c r="AF20" s="234" t="s">
        <v>300</v>
      </c>
      <c r="AG20" s="847">
        <f t="shared" si="3"/>
        <v>18712.8</v>
      </c>
      <c r="AH20" s="843"/>
      <c r="AK20" s="233"/>
      <c r="AL20" s="234" t="s">
        <v>300</v>
      </c>
      <c r="AM20" s="847">
        <f t="shared" si="5"/>
        <v>20022.930000000008</v>
      </c>
    </row>
    <row r="21" spans="1:39" s="821" customFormat="1">
      <c r="A21" s="234" t="s">
        <v>300</v>
      </c>
      <c r="B21" s="709">
        <v>10396</v>
      </c>
      <c r="C21" s="710">
        <v>0</v>
      </c>
      <c r="D21" s="712">
        <v>4449.5400000000018</v>
      </c>
      <c r="E21" s="713">
        <v>0</v>
      </c>
      <c r="F21" s="233"/>
      <c r="G21" s="238" t="s">
        <v>301</v>
      </c>
      <c r="H21" s="412">
        <f>[10]מים!D23</f>
        <v>0</v>
      </c>
      <c r="I21" s="413">
        <f>[10]מים!L23</f>
        <v>0</v>
      </c>
      <c r="J21" s="233"/>
      <c r="K21" s="234" t="s">
        <v>302</v>
      </c>
      <c r="L21" s="716">
        <v>0.45</v>
      </c>
      <c r="M21" s="716">
        <v>0.45</v>
      </c>
      <c r="N21" s="234" t="s">
        <v>302</v>
      </c>
      <c r="O21" s="421">
        <f>[10]כמות!D25</f>
        <v>373289</v>
      </c>
      <c r="P21" s="233"/>
      <c r="Q21" s="233"/>
      <c r="R21" s="233"/>
      <c r="S21" s="233"/>
      <c r="T21" s="233"/>
      <c r="V21" s="238" t="s">
        <v>301</v>
      </c>
      <c r="W21" s="992">
        <v>1.67</v>
      </c>
      <c r="X21" s="993">
        <v>6.1</v>
      </c>
      <c r="Y21" s="700">
        <f t="shared" si="0"/>
        <v>7033.8467809999993</v>
      </c>
      <c r="Z21" s="700">
        <f t="shared" si="1"/>
        <v>7033846.7809999995</v>
      </c>
      <c r="AA21" s="233">
        <f t="shared" si="2"/>
        <v>185034.01010799999</v>
      </c>
      <c r="AB21" s="233"/>
      <c r="AC21" s="233"/>
      <c r="AD21" s="875"/>
      <c r="AE21" s="874"/>
      <c r="AF21" s="238" t="s">
        <v>301</v>
      </c>
      <c r="AG21" s="847">
        <f t="shared" si="3"/>
        <v>7033.8467809999993</v>
      </c>
      <c r="AH21" s="843"/>
      <c r="AK21" s="233"/>
      <c r="AL21" s="238" t="s">
        <v>301</v>
      </c>
      <c r="AM21" s="847">
        <f t="shared" si="5"/>
        <v>185034.01010799999</v>
      </c>
    </row>
    <row r="22" spans="1:39" s="821" customFormat="1">
      <c r="A22" s="238" t="s">
        <v>301</v>
      </c>
      <c r="B22" s="709">
        <v>4211.8842999999997</v>
      </c>
      <c r="C22" s="710">
        <v>0</v>
      </c>
      <c r="D22" s="712">
        <v>30333.44428</v>
      </c>
      <c r="E22" s="713">
        <v>0</v>
      </c>
      <c r="F22" s="233"/>
      <c r="G22" s="234" t="s">
        <v>302</v>
      </c>
      <c r="H22" s="412">
        <f>[10]מים!D25</f>
        <v>27</v>
      </c>
      <c r="I22" s="413">
        <f>[10]מים!L25</f>
        <v>48</v>
      </c>
      <c r="J22" s="233"/>
      <c r="K22" s="234" t="s">
        <v>303</v>
      </c>
      <c r="L22" s="716">
        <v>0.23</v>
      </c>
      <c r="M22" s="716">
        <v>0.23</v>
      </c>
      <c r="N22" s="234" t="s">
        <v>303</v>
      </c>
      <c r="O22" s="421">
        <f>[10]כמות!D26</f>
        <v>103425</v>
      </c>
      <c r="P22" s="233"/>
      <c r="Q22" s="233"/>
      <c r="R22" s="233"/>
      <c r="S22" s="233"/>
      <c r="T22" s="233"/>
      <c r="V22" s="234" t="s">
        <v>302</v>
      </c>
      <c r="W22" s="990">
        <v>0.1</v>
      </c>
      <c r="X22" s="990">
        <v>0.2</v>
      </c>
      <c r="Y22" s="700">
        <f t="shared" si="0"/>
        <v>37003.01412</v>
      </c>
      <c r="Z22" s="700">
        <f t="shared" si="1"/>
        <v>37003014.119999997</v>
      </c>
      <c r="AA22" s="233">
        <f t="shared" si="2"/>
        <v>6851.255758000003</v>
      </c>
      <c r="AB22" s="233"/>
      <c r="AC22" s="233"/>
      <c r="AD22" s="875"/>
      <c r="AE22" s="874"/>
      <c r="AF22" s="234" t="s">
        <v>302</v>
      </c>
      <c r="AG22" s="847">
        <f t="shared" si="3"/>
        <v>37003.01412</v>
      </c>
      <c r="AH22" s="843"/>
      <c r="AK22" s="233"/>
      <c r="AL22" s="234" t="s">
        <v>302</v>
      </c>
      <c r="AM22" s="847">
        <f t="shared" si="5"/>
        <v>6851.255758000003</v>
      </c>
    </row>
    <row r="23" spans="1:39" s="821" customFormat="1">
      <c r="A23" s="234" t="s">
        <v>302</v>
      </c>
      <c r="B23" s="709">
        <v>366369.07198863098</v>
      </c>
      <c r="C23" s="710">
        <v>3661.0692113690357</v>
      </c>
      <c r="D23" s="712">
        <v>33917.34800136905</v>
      </c>
      <c r="E23" s="713">
        <v>338.93078863096446</v>
      </c>
      <c r="F23" s="233"/>
      <c r="G23" s="234" t="s">
        <v>303</v>
      </c>
      <c r="H23" s="412">
        <f>[10]מים!D26</f>
        <v>40</v>
      </c>
      <c r="I23" s="413">
        <f>[10]מים!L26</f>
        <v>0</v>
      </c>
      <c r="J23" s="233"/>
      <c r="K23" s="238" t="s">
        <v>304</v>
      </c>
      <c r="L23" s="716">
        <v>0.2</v>
      </c>
      <c r="M23" s="716">
        <v>0.2</v>
      </c>
      <c r="N23" s="238" t="s">
        <v>304</v>
      </c>
      <c r="O23" s="421">
        <f>[10]כמות!D27</f>
        <v>255473</v>
      </c>
      <c r="P23" s="233"/>
      <c r="Q23" s="233"/>
      <c r="R23" s="233"/>
      <c r="S23" s="233"/>
      <c r="T23" s="233"/>
      <c r="V23" s="234" t="s">
        <v>303</v>
      </c>
      <c r="W23" s="990">
        <v>0.14000000000000001</v>
      </c>
      <c r="X23" s="992">
        <v>0.09</v>
      </c>
      <c r="Y23" s="700">
        <f t="shared" si="0"/>
        <v>14429.818480000002</v>
      </c>
      <c r="Z23" s="700">
        <f t="shared" si="1"/>
        <v>14429818.480000002</v>
      </c>
      <c r="AA23" s="233">
        <f t="shared" si="2"/>
        <v>4463.6010659999984</v>
      </c>
      <c r="AB23" s="233"/>
      <c r="AC23" s="233"/>
      <c r="AD23" s="875"/>
      <c r="AE23" s="874"/>
      <c r="AF23" s="234" t="s">
        <v>303</v>
      </c>
      <c r="AG23" s="847">
        <f t="shared" si="3"/>
        <v>14429.818480000002</v>
      </c>
      <c r="AH23" s="843"/>
      <c r="AK23" s="233"/>
      <c r="AL23" s="234" t="s">
        <v>303</v>
      </c>
      <c r="AM23" s="847">
        <f t="shared" si="5"/>
        <v>4463.6010659999984</v>
      </c>
    </row>
    <row r="24" spans="1:39" s="821" customFormat="1">
      <c r="A24" s="234" t="s">
        <v>303</v>
      </c>
      <c r="B24" s="709">
        <v>103070.132</v>
      </c>
      <c r="C24" s="710">
        <v>0</v>
      </c>
      <c r="D24" s="712">
        <v>49595.567399999985</v>
      </c>
      <c r="E24" s="713">
        <v>0</v>
      </c>
      <c r="F24" s="233"/>
      <c r="G24" s="238" t="s">
        <v>304</v>
      </c>
      <c r="H24" s="412">
        <f>[10]מים!D27</f>
        <v>70</v>
      </c>
      <c r="I24" s="413">
        <f>[10]מים!L27</f>
        <v>0</v>
      </c>
      <c r="J24" s="233"/>
      <c r="K24" s="238" t="s">
        <v>305</v>
      </c>
      <c r="L24" s="716">
        <v>0.66</v>
      </c>
      <c r="M24" s="716">
        <v>0.66</v>
      </c>
      <c r="N24" s="238" t="s">
        <v>305</v>
      </c>
      <c r="O24" s="421">
        <f>[10]כמות!D28</f>
        <v>167584</v>
      </c>
      <c r="P24" s="233"/>
      <c r="Q24" s="233"/>
      <c r="R24" s="233"/>
      <c r="S24" s="233"/>
      <c r="T24" s="233"/>
      <c r="V24" s="238" t="s">
        <v>304</v>
      </c>
      <c r="W24" s="990">
        <v>0.15</v>
      </c>
      <c r="X24" s="992">
        <v>0.3</v>
      </c>
      <c r="Y24" s="700">
        <f t="shared" si="0"/>
        <v>16837.35195</v>
      </c>
      <c r="Z24" s="700">
        <f t="shared" si="1"/>
        <v>16837351.949999999</v>
      </c>
      <c r="AA24" s="233">
        <f t="shared" si="2"/>
        <v>90.584399999999619</v>
      </c>
      <c r="AB24" s="233"/>
      <c r="AC24" s="233"/>
      <c r="AD24" s="875"/>
      <c r="AE24" s="874"/>
      <c r="AF24" s="238" t="s">
        <v>304</v>
      </c>
      <c r="AG24" s="847">
        <f t="shared" si="3"/>
        <v>16837.35195</v>
      </c>
      <c r="AH24" s="843"/>
      <c r="AK24" s="233"/>
      <c r="AL24" s="238" t="s">
        <v>304</v>
      </c>
      <c r="AM24" s="847">
        <f t="shared" si="5"/>
        <v>90.584399999999619</v>
      </c>
    </row>
    <row r="25" spans="1:39" s="821" customFormat="1">
      <c r="A25" s="238" t="s">
        <v>304</v>
      </c>
      <c r="B25" s="709">
        <v>112249.01300000001</v>
      </c>
      <c r="C25" s="710">
        <v>0</v>
      </c>
      <c r="D25" s="712">
        <v>301.94799999999873</v>
      </c>
      <c r="E25" s="713">
        <v>0</v>
      </c>
      <c r="F25" s="233"/>
      <c r="G25" s="238" t="s">
        <v>305</v>
      </c>
      <c r="H25" s="415">
        <f>[10]מים!D28</f>
        <v>10</v>
      </c>
      <c r="I25" s="413">
        <f>[10]מים!L28</f>
        <v>0</v>
      </c>
      <c r="J25" s="233"/>
      <c r="K25" s="238" t="s">
        <v>306</v>
      </c>
      <c r="L25" s="716">
        <v>0.11</v>
      </c>
      <c r="M25" s="716">
        <v>0.11</v>
      </c>
      <c r="N25" s="238" t="s">
        <v>306</v>
      </c>
      <c r="O25" s="421">
        <f>[10]כמות!D29</f>
        <v>91230.6</v>
      </c>
      <c r="P25" s="233"/>
      <c r="Q25" s="233"/>
      <c r="R25" s="233"/>
      <c r="S25" s="233"/>
      <c r="T25" s="233"/>
      <c r="V25" s="238" t="s">
        <v>305</v>
      </c>
      <c r="W25" s="995">
        <v>1.63</v>
      </c>
      <c r="X25" s="992">
        <v>2.4500000000000002</v>
      </c>
      <c r="Y25" s="700">
        <f t="shared" si="0"/>
        <v>137040.3266</v>
      </c>
      <c r="Z25" s="700">
        <f t="shared" si="1"/>
        <v>137040326.59999999</v>
      </c>
      <c r="AA25" s="233">
        <f t="shared" si="2"/>
        <v>3626.8330000000028</v>
      </c>
      <c r="AB25" s="233"/>
      <c r="AC25" s="233"/>
      <c r="AD25" s="875"/>
      <c r="AE25" s="874"/>
      <c r="AF25" s="238" t="s">
        <v>305</v>
      </c>
      <c r="AG25" s="847">
        <f t="shared" si="3"/>
        <v>137040.3266</v>
      </c>
      <c r="AH25" s="843"/>
      <c r="AK25" s="233"/>
      <c r="AL25" s="238" t="s">
        <v>305</v>
      </c>
      <c r="AM25" s="847">
        <f t="shared" si="5"/>
        <v>3626.8330000000028</v>
      </c>
    </row>
    <row r="26" spans="1:39" s="821" customFormat="1">
      <c r="A26" s="238" t="s">
        <v>305</v>
      </c>
      <c r="B26" s="709">
        <v>84073.82</v>
      </c>
      <c r="C26" s="710">
        <v>0</v>
      </c>
      <c r="D26" s="712">
        <v>1480.3400000000011</v>
      </c>
      <c r="E26" s="713">
        <v>0</v>
      </c>
      <c r="F26" s="233"/>
      <c r="G26" s="238" t="s">
        <v>306</v>
      </c>
      <c r="H26" s="412">
        <f>[10]מים!D29</f>
        <v>139</v>
      </c>
      <c r="I26" s="413">
        <f>[10]מים!L29</f>
        <v>13</v>
      </c>
      <c r="J26" s="233"/>
      <c r="K26" s="238" t="s">
        <v>307</v>
      </c>
      <c r="L26" s="716">
        <v>0.2</v>
      </c>
      <c r="M26" s="716">
        <v>0.2</v>
      </c>
      <c r="N26" s="238" t="s">
        <v>307</v>
      </c>
      <c r="O26" s="421">
        <f>[10]כמות!D30</f>
        <v>386487.73999999982</v>
      </c>
      <c r="P26" s="233"/>
      <c r="Q26" s="233"/>
      <c r="R26" s="233"/>
      <c r="S26" s="233"/>
      <c r="T26" s="233"/>
      <c r="V26" s="238" t="s">
        <v>306</v>
      </c>
      <c r="W26" s="990">
        <v>0.4</v>
      </c>
      <c r="X26" s="990">
        <v>0.2</v>
      </c>
      <c r="Y26" s="700">
        <f t="shared" si="0"/>
        <v>35325.367599692006</v>
      </c>
      <c r="Z26" s="700">
        <f t="shared" si="1"/>
        <v>35325367.599692009</v>
      </c>
      <c r="AA26" s="233">
        <f t="shared" si="2"/>
        <v>279.93120000000005</v>
      </c>
      <c r="AB26" s="233"/>
      <c r="AC26" s="233"/>
      <c r="AD26" s="875"/>
      <c r="AE26" s="874"/>
      <c r="AF26" s="238" t="s">
        <v>306</v>
      </c>
      <c r="AG26" s="847">
        <f t="shared" si="3"/>
        <v>35325.367599692006</v>
      </c>
      <c r="AH26" s="843"/>
      <c r="AK26" s="233"/>
      <c r="AL26" s="238" t="s">
        <v>306</v>
      </c>
      <c r="AM26" s="847">
        <f t="shared" si="5"/>
        <v>279.93120000000005</v>
      </c>
    </row>
    <row r="27" spans="1:39" s="821" customFormat="1">
      <c r="A27" s="238" t="s">
        <v>306</v>
      </c>
      <c r="B27" s="709">
        <v>88313.418999230009</v>
      </c>
      <c r="C27" s="710">
        <v>0</v>
      </c>
      <c r="D27" s="712">
        <v>1399.6560000000002</v>
      </c>
      <c r="E27" s="713">
        <v>0</v>
      </c>
      <c r="F27" s="233"/>
      <c r="G27" s="238" t="s">
        <v>307</v>
      </c>
      <c r="H27" s="416">
        <f>[10]מים!D30</f>
        <v>129</v>
      </c>
      <c r="I27" s="413">
        <f>[10]מים!L30</f>
        <v>70</v>
      </c>
      <c r="J27" s="233"/>
      <c r="K27" s="238" t="s">
        <v>308</v>
      </c>
      <c r="L27" s="716">
        <v>0.32</v>
      </c>
      <c r="M27" s="716">
        <v>0.32</v>
      </c>
      <c r="N27" s="238" t="s">
        <v>308</v>
      </c>
      <c r="O27" s="421">
        <f>[10]כמות!D31</f>
        <v>92035.9</v>
      </c>
      <c r="P27" s="233"/>
      <c r="Q27" s="233"/>
      <c r="R27" s="233"/>
      <c r="S27" s="233"/>
      <c r="T27" s="233"/>
      <c r="V27" s="238" t="s">
        <v>307</v>
      </c>
      <c r="W27" s="990">
        <v>0.5</v>
      </c>
      <c r="X27" s="990">
        <v>0.6</v>
      </c>
      <c r="Y27" s="700">
        <f t="shared" si="0"/>
        <v>159345.2168099999</v>
      </c>
      <c r="Z27" s="700">
        <f t="shared" si="1"/>
        <v>159345216.80999988</v>
      </c>
      <c r="AA27" s="233">
        <f t="shared" si="2"/>
        <v>41990.478960000022</v>
      </c>
      <c r="AB27" s="233"/>
      <c r="AC27" s="233"/>
      <c r="AD27" s="875"/>
      <c r="AE27" s="874"/>
      <c r="AF27" s="238" t="s">
        <v>307</v>
      </c>
      <c r="AG27" s="847">
        <f t="shared" si="3"/>
        <v>159345.2168099999</v>
      </c>
      <c r="AH27" s="843"/>
      <c r="AK27" s="233"/>
      <c r="AL27" s="238" t="s">
        <v>307</v>
      </c>
      <c r="AM27" s="847">
        <f t="shared" si="5"/>
        <v>41990.478960000022</v>
      </c>
    </row>
    <row r="28" spans="1:39" s="821" customFormat="1">
      <c r="A28" s="238" t="s">
        <v>307</v>
      </c>
      <c r="B28" s="709">
        <v>318690.43361999979</v>
      </c>
      <c r="C28" s="710">
        <v>0</v>
      </c>
      <c r="D28" s="712">
        <v>69984.131600000037</v>
      </c>
      <c r="E28" s="713">
        <v>0</v>
      </c>
      <c r="F28" s="233"/>
      <c r="G28" s="238" t="s">
        <v>308</v>
      </c>
      <c r="H28" s="412">
        <f>[10]מים!D31</f>
        <v>0</v>
      </c>
      <c r="I28" s="413">
        <f>[10]מים!L31</f>
        <v>0</v>
      </c>
      <c r="J28" s="233"/>
      <c r="K28" s="238" t="s">
        <v>309</v>
      </c>
      <c r="L28" s="716">
        <v>0.25</v>
      </c>
      <c r="M28" s="716">
        <v>0.25</v>
      </c>
      <c r="N28" s="238" t="s">
        <v>309</v>
      </c>
      <c r="O28" s="421">
        <f>[10]כמות!D32</f>
        <v>34273.800000000003</v>
      </c>
      <c r="P28" s="233"/>
      <c r="Q28" s="233"/>
      <c r="R28" s="233"/>
      <c r="S28" s="233"/>
      <c r="T28" s="233"/>
      <c r="V28" s="238" t="s">
        <v>308</v>
      </c>
      <c r="W28" s="992">
        <v>0.52</v>
      </c>
      <c r="X28" s="992">
        <v>0.26</v>
      </c>
      <c r="Y28" s="700">
        <f t="shared" si="0"/>
        <v>46883.892639999998</v>
      </c>
      <c r="Z28" s="700">
        <f t="shared" si="1"/>
        <v>46883892.640000001</v>
      </c>
      <c r="AA28" s="233">
        <f t="shared" si="2"/>
        <v>59.761000000000443</v>
      </c>
      <c r="AB28" s="233"/>
      <c r="AC28" s="233"/>
      <c r="AD28" s="875"/>
      <c r="AE28" s="874"/>
      <c r="AF28" s="238" t="s">
        <v>308</v>
      </c>
      <c r="AG28" s="847">
        <f t="shared" si="3"/>
        <v>46883.892639999998</v>
      </c>
      <c r="AH28" s="843"/>
      <c r="AK28" s="233"/>
      <c r="AL28" s="238" t="s">
        <v>308</v>
      </c>
      <c r="AM28" s="847">
        <f t="shared" si="5"/>
        <v>59.761000000000443</v>
      </c>
    </row>
    <row r="29" spans="1:39" s="821" customFormat="1">
      <c r="A29" s="238" t="s">
        <v>308</v>
      </c>
      <c r="B29" s="709">
        <v>90161.331999999995</v>
      </c>
      <c r="C29" s="710">
        <v>0</v>
      </c>
      <c r="D29" s="712">
        <v>229.8500000000017</v>
      </c>
      <c r="E29" s="713">
        <v>0</v>
      </c>
      <c r="F29" s="233"/>
      <c r="G29" s="238" t="s">
        <v>309</v>
      </c>
      <c r="H29" s="412">
        <f>[10]מים!D32</f>
        <v>0</v>
      </c>
      <c r="I29" s="413">
        <f>[10]מים!L32</f>
        <v>0</v>
      </c>
      <c r="J29" s="233"/>
      <c r="K29" s="238" t="s">
        <v>310</v>
      </c>
      <c r="L29" s="716">
        <v>0.33</v>
      </c>
      <c r="M29" s="716">
        <v>0.33</v>
      </c>
      <c r="N29" s="238" t="s">
        <v>310</v>
      </c>
      <c r="O29" s="421">
        <f>[10]כמות!D34</f>
        <v>89898</v>
      </c>
      <c r="P29" s="233"/>
      <c r="Q29" s="233"/>
      <c r="R29" s="233"/>
      <c r="S29" s="233"/>
      <c r="T29" s="233"/>
      <c r="V29" s="238" t="s">
        <v>309</v>
      </c>
      <c r="W29" s="992">
        <v>0.48</v>
      </c>
      <c r="X29" s="992">
        <v>0.46</v>
      </c>
      <c r="Y29" s="700">
        <f t="shared" si="0"/>
        <v>16311.312</v>
      </c>
      <c r="Z29" s="700">
        <f t="shared" si="1"/>
        <v>16311312</v>
      </c>
      <c r="AA29" s="233">
        <f t="shared" si="2"/>
        <v>0</v>
      </c>
      <c r="AB29" s="233"/>
      <c r="AC29" s="233"/>
      <c r="AD29" s="875"/>
      <c r="AE29" s="874"/>
      <c r="AF29" s="238" t="s">
        <v>309</v>
      </c>
      <c r="AG29" s="847">
        <f t="shared" si="3"/>
        <v>16311.312</v>
      </c>
      <c r="AH29" s="843"/>
      <c r="AK29" s="233"/>
      <c r="AL29" s="238" t="s">
        <v>309</v>
      </c>
      <c r="AM29" s="847">
        <f t="shared" si="5"/>
        <v>0</v>
      </c>
    </row>
    <row r="30" spans="1:39" s="821" customFormat="1">
      <c r="A30" s="238" t="s">
        <v>309</v>
      </c>
      <c r="B30" s="709">
        <v>33981.9</v>
      </c>
      <c r="C30" s="710">
        <v>0</v>
      </c>
      <c r="D30" s="712">
        <v>0</v>
      </c>
      <c r="E30" s="713">
        <v>0</v>
      </c>
      <c r="F30" s="233"/>
      <c r="G30" s="238" t="s">
        <v>310</v>
      </c>
      <c r="H30" s="412">
        <f>[10]מים!D34</f>
        <v>212</v>
      </c>
      <c r="I30" s="413">
        <f>[2]Food!I30</f>
        <v>41</v>
      </c>
      <c r="J30" s="233"/>
      <c r="K30" s="238" t="s">
        <v>311</v>
      </c>
      <c r="L30" s="716">
        <v>0.51</v>
      </c>
      <c r="M30" s="716">
        <v>0.51</v>
      </c>
      <c r="N30" s="238" t="s">
        <v>311</v>
      </c>
      <c r="O30" s="421">
        <f>[10]כמות!D35</f>
        <v>148872</v>
      </c>
      <c r="P30" s="233"/>
      <c r="Q30" s="233"/>
      <c r="R30" s="233"/>
      <c r="S30" s="233"/>
      <c r="T30" s="233"/>
      <c r="V30" s="238" t="s">
        <v>310</v>
      </c>
      <c r="W30" s="990">
        <v>0.4</v>
      </c>
      <c r="X30" s="990">
        <v>0.5</v>
      </c>
      <c r="Y30" s="700">
        <f t="shared" si="0"/>
        <v>30350.318624000003</v>
      </c>
      <c r="Z30" s="700">
        <f t="shared" si="1"/>
        <v>30350318.624000002</v>
      </c>
      <c r="AA30" s="233">
        <f t="shared" si="2"/>
        <v>94325.465242499995</v>
      </c>
      <c r="AB30" s="233"/>
      <c r="AC30" s="233"/>
      <c r="AD30" s="875"/>
      <c r="AE30" s="874"/>
      <c r="AF30" s="238" t="s">
        <v>310</v>
      </c>
      <c r="AG30" s="847">
        <f t="shared" si="3"/>
        <v>30350.318624000003</v>
      </c>
      <c r="AH30" s="843"/>
      <c r="AK30" s="233"/>
      <c r="AL30" s="238" t="s">
        <v>310</v>
      </c>
      <c r="AM30" s="847">
        <f t="shared" si="5"/>
        <v>94325.465242499995</v>
      </c>
    </row>
    <row r="31" spans="1:39" s="821" customFormat="1">
      <c r="A31" s="238" t="s">
        <v>310</v>
      </c>
      <c r="B31" s="709">
        <v>75875.796560000003</v>
      </c>
      <c r="C31" s="710">
        <v>0</v>
      </c>
      <c r="D31" s="712">
        <v>188650.93048499999</v>
      </c>
      <c r="E31" s="713">
        <v>0</v>
      </c>
      <c r="F31" s="233"/>
      <c r="G31" s="238" t="s">
        <v>311</v>
      </c>
      <c r="H31" s="412">
        <f>[10]מים!D35</f>
        <v>159</v>
      </c>
      <c r="I31" s="413">
        <f>[10]מים!L35</f>
        <v>141</v>
      </c>
      <c r="J31" s="233"/>
      <c r="K31" s="238" t="s">
        <v>312</v>
      </c>
      <c r="L31" s="716">
        <v>0.26</v>
      </c>
      <c r="M31" s="716">
        <v>0.26</v>
      </c>
      <c r="N31" s="238" t="s">
        <v>312</v>
      </c>
      <c r="O31" s="421">
        <f>[10]כמות!D36</f>
        <v>74808</v>
      </c>
      <c r="P31" s="233"/>
      <c r="Q31" s="233"/>
      <c r="R31" s="233"/>
      <c r="S31" s="233"/>
      <c r="T31" s="233"/>
      <c r="V31" s="238" t="s">
        <v>311</v>
      </c>
      <c r="W31" s="990">
        <v>0.2</v>
      </c>
      <c r="X31" s="990">
        <v>0.4</v>
      </c>
      <c r="Y31" s="700">
        <f t="shared" si="0"/>
        <v>17483.481200000002</v>
      </c>
      <c r="Z31" s="700">
        <f t="shared" si="1"/>
        <v>17483481.200000003</v>
      </c>
      <c r="AA31" s="233">
        <f t="shared" si="2"/>
        <v>298.38</v>
      </c>
      <c r="AB31" s="233"/>
      <c r="AC31" s="233"/>
      <c r="AD31" s="875"/>
      <c r="AE31" s="874"/>
      <c r="AF31" s="238" t="s">
        <v>311</v>
      </c>
      <c r="AG31" s="847">
        <f t="shared" si="3"/>
        <v>17483.481200000002</v>
      </c>
      <c r="AH31" s="843"/>
      <c r="AK31" s="233"/>
      <c r="AL31" s="238" t="s">
        <v>311</v>
      </c>
      <c r="AM31" s="847">
        <f t="shared" si="5"/>
        <v>298.38</v>
      </c>
    </row>
    <row r="32" spans="1:39" s="821" customFormat="1">
      <c r="A32" s="238" t="s">
        <v>311</v>
      </c>
      <c r="B32" s="709">
        <v>87417.406000000003</v>
      </c>
      <c r="C32" s="710">
        <v>0</v>
      </c>
      <c r="D32" s="712">
        <v>745.94999999999993</v>
      </c>
      <c r="E32" s="713">
        <v>0</v>
      </c>
      <c r="F32" s="233"/>
      <c r="G32" s="238" t="s">
        <v>312</v>
      </c>
      <c r="H32" s="412">
        <f>[10]מים!D36</f>
        <v>290</v>
      </c>
      <c r="I32" s="413">
        <f>[10]מים!L36</f>
        <v>21</v>
      </c>
      <c r="J32" s="233"/>
      <c r="K32" s="238" t="s">
        <v>313</v>
      </c>
      <c r="L32" s="716">
        <v>0.33</v>
      </c>
      <c r="M32" s="716">
        <v>0.33</v>
      </c>
      <c r="N32" s="238" t="s">
        <v>313</v>
      </c>
      <c r="O32" s="421">
        <f>[10]כמות!D37</f>
        <v>269711</v>
      </c>
      <c r="P32" s="233"/>
      <c r="Q32" s="233"/>
      <c r="R32" s="233"/>
      <c r="S32" s="233"/>
      <c r="T32" s="233"/>
      <c r="V32" s="238" t="s">
        <v>312</v>
      </c>
      <c r="W32" s="990">
        <v>0.3</v>
      </c>
      <c r="X32" s="990">
        <v>0.5</v>
      </c>
      <c r="Y32" s="700">
        <f t="shared" si="0"/>
        <v>21236.053199999998</v>
      </c>
      <c r="Z32" s="700">
        <f t="shared" si="1"/>
        <v>21236053.199999999</v>
      </c>
      <c r="AA32" s="233">
        <f t="shared" si="2"/>
        <v>11.790500000001236</v>
      </c>
      <c r="AB32" s="233"/>
      <c r="AC32" s="233"/>
      <c r="AD32" s="875"/>
      <c r="AE32" s="874"/>
      <c r="AF32" s="238" t="s">
        <v>312</v>
      </c>
      <c r="AG32" s="847">
        <f t="shared" si="3"/>
        <v>21236.053199999998</v>
      </c>
      <c r="AH32" s="843"/>
      <c r="AK32" s="233"/>
      <c r="AL32" s="238" t="s">
        <v>312</v>
      </c>
      <c r="AM32" s="847">
        <f t="shared" si="5"/>
        <v>11.790500000001236</v>
      </c>
    </row>
    <row r="33" spans="1:39" s="821" customFormat="1">
      <c r="A33" s="238" t="s">
        <v>312</v>
      </c>
      <c r="B33" s="709">
        <v>70786.843999999997</v>
      </c>
      <c r="C33" s="710">
        <v>0</v>
      </c>
      <c r="D33" s="712">
        <v>23.581000000002472</v>
      </c>
      <c r="E33" s="713">
        <v>0</v>
      </c>
      <c r="F33" s="233"/>
      <c r="G33" s="238" t="s">
        <v>313</v>
      </c>
      <c r="H33" s="412">
        <f>[10]מים!D37</f>
        <v>805</v>
      </c>
      <c r="I33" s="413">
        <f>[10]מים!L37</f>
        <v>0</v>
      </c>
      <c r="J33" s="233"/>
      <c r="K33" s="238" t="s">
        <v>314</v>
      </c>
      <c r="L33" s="716">
        <v>0.63</v>
      </c>
      <c r="M33" s="716">
        <v>0.63</v>
      </c>
      <c r="N33" s="238" t="s">
        <v>314</v>
      </c>
      <c r="O33" s="421">
        <f>[10]כמות!D38</f>
        <v>87000</v>
      </c>
      <c r="P33" s="233"/>
      <c r="Q33" s="233"/>
      <c r="R33" s="233"/>
      <c r="S33" s="233"/>
      <c r="T33" s="233"/>
      <c r="V33" s="238" t="s">
        <v>313</v>
      </c>
      <c r="W33" s="995">
        <v>0.7</v>
      </c>
      <c r="X33" s="992">
        <v>0.8</v>
      </c>
      <c r="Y33" s="700">
        <f t="shared" si="0"/>
        <v>91195.474264999997</v>
      </c>
      <c r="Z33" s="700">
        <f t="shared" si="1"/>
        <v>91195474.265000001</v>
      </c>
      <c r="AA33" s="233">
        <f t="shared" si="2"/>
        <v>113904.80000000003</v>
      </c>
      <c r="AB33" s="233"/>
      <c r="AC33" s="233"/>
      <c r="AD33" s="875"/>
      <c r="AE33" s="874"/>
      <c r="AF33" s="238" t="s">
        <v>313</v>
      </c>
      <c r="AG33" s="847">
        <f t="shared" si="3"/>
        <v>91195.474264999997</v>
      </c>
      <c r="AH33" s="843"/>
      <c r="AK33" s="233"/>
      <c r="AL33" s="238" t="s">
        <v>313</v>
      </c>
      <c r="AM33" s="847">
        <f t="shared" si="5"/>
        <v>113904.80000000003</v>
      </c>
    </row>
    <row r="34" spans="1:39" s="821" customFormat="1">
      <c r="A34" s="238" t="s">
        <v>313</v>
      </c>
      <c r="B34" s="709">
        <v>130279.24895000001</v>
      </c>
      <c r="C34" s="710">
        <v>0</v>
      </c>
      <c r="D34" s="712">
        <v>142381.00000000003</v>
      </c>
      <c r="E34" s="713">
        <v>0</v>
      </c>
      <c r="F34" s="233"/>
      <c r="G34" s="238" t="s">
        <v>314</v>
      </c>
      <c r="H34" s="412">
        <f>[10]מים!D38</f>
        <v>854</v>
      </c>
      <c r="I34" s="413">
        <f>[10]מים!L38</f>
        <v>427</v>
      </c>
      <c r="J34" s="233"/>
      <c r="K34" s="238" t="s">
        <v>315</v>
      </c>
      <c r="L34" s="716">
        <v>0.37</v>
      </c>
      <c r="M34" s="716">
        <v>0.37</v>
      </c>
      <c r="N34" s="238" t="s">
        <v>315</v>
      </c>
      <c r="O34" s="421">
        <f>[10]כמות!D39</f>
        <v>120003</v>
      </c>
      <c r="P34" s="233"/>
      <c r="Q34" s="233"/>
      <c r="R34" s="233"/>
      <c r="S34" s="233"/>
      <c r="T34" s="233"/>
      <c r="V34" s="238" t="s">
        <v>314</v>
      </c>
      <c r="W34" s="995">
        <v>3.87</v>
      </c>
      <c r="X34" s="995">
        <v>3.25</v>
      </c>
      <c r="Y34" s="700">
        <f t="shared" si="0"/>
        <v>335911.54795199999</v>
      </c>
      <c r="Z34" s="700">
        <f t="shared" si="1"/>
        <v>335911547.95200002</v>
      </c>
      <c r="AA34" s="233">
        <f t="shared" si="2"/>
        <v>19148.364299999972</v>
      </c>
      <c r="AB34" s="233"/>
      <c r="AC34" s="233"/>
      <c r="AD34" s="875"/>
      <c r="AE34" s="874"/>
      <c r="AF34" s="238" t="s">
        <v>314</v>
      </c>
      <c r="AG34" s="847">
        <f t="shared" si="3"/>
        <v>335911.54795199999</v>
      </c>
      <c r="AH34" s="843"/>
      <c r="AK34" s="233"/>
      <c r="AL34" s="238" t="s">
        <v>314</v>
      </c>
      <c r="AM34" s="847">
        <f t="shared" si="5"/>
        <v>19148.364299999972</v>
      </c>
    </row>
    <row r="35" spans="1:39" s="821" customFormat="1">
      <c r="A35" s="238" t="s">
        <v>314</v>
      </c>
      <c r="B35" s="709">
        <v>86798.849600000001</v>
      </c>
      <c r="C35" s="710">
        <v>0</v>
      </c>
      <c r="D35" s="712">
        <v>5891.8043999999909</v>
      </c>
      <c r="E35" s="713">
        <v>0</v>
      </c>
      <c r="F35" s="233"/>
      <c r="G35" s="238" t="s">
        <v>315</v>
      </c>
      <c r="H35" s="412">
        <f>[10]מים!D39</f>
        <v>412</v>
      </c>
      <c r="I35" s="413">
        <f>[10]מים!L39</f>
        <v>162</v>
      </c>
      <c r="J35" s="233"/>
      <c r="K35" s="238" t="s">
        <v>316</v>
      </c>
      <c r="L35" s="716">
        <v>0.28999999999999998</v>
      </c>
      <c r="M35" s="716">
        <v>0.28999999999999998</v>
      </c>
      <c r="N35" s="238" t="s">
        <v>316</v>
      </c>
      <c r="O35" s="421">
        <f>[10]כמות!D40</f>
        <v>113000</v>
      </c>
      <c r="P35" s="233"/>
      <c r="Q35" s="233"/>
      <c r="R35" s="233"/>
      <c r="S35" s="233"/>
      <c r="T35" s="233"/>
      <c r="V35" s="238" t="s">
        <v>315</v>
      </c>
      <c r="W35" s="990">
        <v>0.6</v>
      </c>
      <c r="X35" s="990">
        <v>0.8</v>
      </c>
      <c r="Y35" s="700">
        <f t="shared" si="0"/>
        <v>71274.645600000003</v>
      </c>
      <c r="Z35" s="700">
        <f t="shared" si="1"/>
        <v>71274645.600000009</v>
      </c>
      <c r="AA35" s="233">
        <f t="shared" si="2"/>
        <v>13272.96888319999</v>
      </c>
      <c r="AB35" s="233"/>
      <c r="AC35" s="233"/>
      <c r="AD35" s="875"/>
      <c r="AE35" s="874"/>
      <c r="AF35" s="238" t="s">
        <v>315</v>
      </c>
      <c r="AG35" s="847">
        <f t="shared" si="3"/>
        <v>71274.645600000003</v>
      </c>
      <c r="AH35" s="843"/>
      <c r="AK35" s="233"/>
      <c r="AL35" s="238" t="s">
        <v>315</v>
      </c>
      <c r="AM35" s="847">
        <f t="shared" si="5"/>
        <v>13272.96888319999</v>
      </c>
    </row>
    <row r="36" spans="1:39" s="821" customFormat="1">
      <c r="A36" s="238" t="s">
        <v>315</v>
      </c>
      <c r="B36" s="709">
        <v>118791.076</v>
      </c>
      <c r="C36" s="710">
        <v>0</v>
      </c>
      <c r="D36" s="712">
        <v>16591.211103999987</v>
      </c>
      <c r="E36" s="713">
        <v>0</v>
      </c>
      <c r="F36" s="233"/>
      <c r="G36" s="238" t="s">
        <v>316</v>
      </c>
      <c r="H36" s="417">
        <f>[10]מים!D40</f>
        <v>328</v>
      </c>
      <c r="I36" s="413">
        <f>[10]מים!L40</f>
        <v>43</v>
      </c>
      <c r="J36" s="233"/>
      <c r="K36" s="238" t="s">
        <v>317</v>
      </c>
      <c r="L36" s="716">
        <v>0.31</v>
      </c>
      <c r="M36" s="716">
        <v>0.31</v>
      </c>
      <c r="N36" s="238" t="s">
        <v>317</v>
      </c>
      <c r="O36" s="421">
        <f>[10]כמות!D41</f>
        <v>27988.1</v>
      </c>
      <c r="P36" s="233"/>
      <c r="Q36" s="233"/>
      <c r="R36" s="233"/>
      <c r="S36" s="233"/>
      <c r="T36" s="233"/>
      <c r="V36" s="238" t="s">
        <v>316</v>
      </c>
      <c r="W36" s="990">
        <v>0.2</v>
      </c>
      <c r="X36" s="990">
        <v>0.3</v>
      </c>
      <c r="Y36" s="700">
        <f t="shared" si="0"/>
        <v>19201.807607999999</v>
      </c>
      <c r="Z36" s="700">
        <f t="shared" si="1"/>
        <v>19201807.607999999</v>
      </c>
      <c r="AA36" s="233">
        <f t="shared" si="2"/>
        <v>10941.887639999995</v>
      </c>
      <c r="AB36" s="233"/>
      <c r="AC36" s="233"/>
      <c r="AD36" s="875"/>
      <c r="AE36" s="874"/>
      <c r="AF36" s="238" t="s">
        <v>316</v>
      </c>
      <c r="AG36" s="847">
        <f t="shared" si="3"/>
        <v>19201.807607999999</v>
      </c>
      <c r="AH36" s="843"/>
      <c r="AK36" s="233"/>
      <c r="AL36" s="238" t="s">
        <v>316</v>
      </c>
      <c r="AM36" s="847">
        <f t="shared" si="5"/>
        <v>10941.887639999995</v>
      </c>
    </row>
    <row r="37" spans="1:39" s="821" customFormat="1">
      <c r="A37" s="238" t="s">
        <v>316</v>
      </c>
      <c r="B37" s="709">
        <v>96009.038039999999</v>
      </c>
      <c r="C37" s="710">
        <v>0</v>
      </c>
      <c r="D37" s="712">
        <v>36472.958799999986</v>
      </c>
      <c r="E37" s="713">
        <v>0</v>
      </c>
      <c r="F37" s="233"/>
      <c r="G37" s="238" t="s">
        <v>317</v>
      </c>
      <c r="H37" s="412">
        <f>[10]מים!D41</f>
        <v>0</v>
      </c>
      <c r="I37" s="413">
        <f>[10]מים!L41</f>
        <v>0</v>
      </c>
      <c r="J37" s="233"/>
      <c r="K37" s="238" t="s">
        <v>318</v>
      </c>
      <c r="L37" s="716">
        <v>0.31</v>
      </c>
      <c r="M37" s="716">
        <v>0.31</v>
      </c>
      <c r="N37" s="238" t="s">
        <v>318</v>
      </c>
      <c r="O37" s="421">
        <f>[10]כמות!D42</f>
        <v>24500</v>
      </c>
      <c r="P37" s="233"/>
      <c r="Q37" s="233"/>
      <c r="R37" s="233"/>
      <c r="S37" s="233"/>
      <c r="T37" s="233"/>
      <c r="V37" s="238" t="s">
        <v>317</v>
      </c>
      <c r="W37" s="992">
        <v>0.42</v>
      </c>
      <c r="X37" s="992">
        <v>0.6</v>
      </c>
      <c r="Y37" s="700">
        <f t="shared" si="0"/>
        <v>10786.176659999999</v>
      </c>
      <c r="Z37" s="700">
        <f t="shared" si="1"/>
        <v>10786176.659999998</v>
      </c>
      <c r="AA37" s="233">
        <f t="shared" si="2"/>
        <v>4362.9983999999977</v>
      </c>
      <c r="AB37" s="233"/>
      <c r="AC37" s="233"/>
      <c r="AD37" s="875"/>
      <c r="AE37" s="874"/>
      <c r="AF37" s="238" t="s">
        <v>317</v>
      </c>
      <c r="AG37" s="847">
        <f t="shared" si="3"/>
        <v>10786.176659999999</v>
      </c>
      <c r="AH37" s="843"/>
      <c r="AK37" s="233"/>
      <c r="AL37" s="238" t="s">
        <v>317</v>
      </c>
      <c r="AM37" s="847">
        <f t="shared" si="5"/>
        <v>4362.9983999999977</v>
      </c>
    </row>
    <row r="38" spans="1:39" s="821" customFormat="1">
      <c r="A38" s="238" t="s">
        <v>317</v>
      </c>
      <c r="B38" s="709">
        <v>25681.373</v>
      </c>
      <c r="C38" s="710">
        <v>0</v>
      </c>
      <c r="D38" s="712">
        <v>7271.663999999997</v>
      </c>
      <c r="E38" s="713">
        <v>0</v>
      </c>
      <c r="F38" s="233"/>
      <c r="G38" s="238" t="s">
        <v>318</v>
      </c>
      <c r="H38" s="412">
        <f>[10]מים!D42</f>
        <v>0</v>
      </c>
      <c r="I38" s="413">
        <f>[10]מים!L42</f>
        <v>0</v>
      </c>
      <c r="J38" s="233"/>
      <c r="K38" s="238" t="s">
        <v>319</v>
      </c>
      <c r="L38" s="716">
        <v>0.43</v>
      </c>
      <c r="M38" s="716">
        <v>0.43</v>
      </c>
      <c r="N38" s="238" t="s">
        <v>319</v>
      </c>
      <c r="O38" s="421">
        <f>[10]כמות!D43</f>
        <v>62000</v>
      </c>
      <c r="P38" s="233"/>
      <c r="Q38" s="233"/>
      <c r="R38" s="233"/>
      <c r="S38" s="233"/>
      <c r="T38" s="233"/>
      <c r="V38" s="238" t="s">
        <v>318</v>
      </c>
      <c r="W38" s="992">
        <v>0.54</v>
      </c>
      <c r="X38" s="992">
        <v>1.62</v>
      </c>
      <c r="Y38" s="700">
        <f t="shared" si="0"/>
        <v>8463.4459200000001</v>
      </c>
      <c r="Z38" s="700">
        <f t="shared" si="1"/>
        <v>8463445.9199999999</v>
      </c>
      <c r="AA38" s="233">
        <f t="shared" si="2"/>
        <v>11541.179699999999</v>
      </c>
      <c r="AB38" s="233"/>
      <c r="AC38" s="233"/>
      <c r="AD38" s="875"/>
      <c r="AE38" s="874"/>
      <c r="AF38" s="238" t="s">
        <v>318</v>
      </c>
      <c r="AG38" s="847">
        <f t="shared" si="3"/>
        <v>8463.4459200000001</v>
      </c>
      <c r="AH38" s="843"/>
      <c r="AK38" s="233"/>
      <c r="AL38" s="238" t="s">
        <v>318</v>
      </c>
      <c r="AM38" s="847">
        <f t="shared" si="5"/>
        <v>11541.179699999999</v>
      </c>
    </row>
    <row r="39" spans="1:39" s="821" customFormat="1">
      <c r="A39" s="238" t="s">
        <v>318</v>
      </c>
      <c r="B39" s="709">
        <v>15673.048000000001</v>
      </c>
      <c r="C39" s="710">
        <v>0</v>
      </c>
      <c r="D39" s="712">
        <v>7124.1849999999986</v>
      </c>
      <c r="E39" s="713">
        <v>0</v>
      </c>
      <c r="F39" s="233"/>
      <c r="G39" s="238" t="s">
        <v>319</v>
      </c>
      <c r="H39" s="412">
        <f>[10]מים!D43</f>
        <v>0</v>
      </c>
      <c r="I39" s="413">
        <f>[10]מים!L43</f>
        <v>0</v>
      </c>
      <c r="J39" s="233"/>
      <c r="K39" s="238" t="s">
        <v>320</v>
      </c>
      <c r="L39" s="716">
        <v>0</v>
      </c>
      <c r="M39" s="716">
        <v>0</v>
      </c>
      <c r="N39" s="238" t="s">
        <v>320</v>
      </c>
      <c r="O39" s="421">
        <f>[10]כמות!D44</f>
        <v>12191</v>
      </c>
      <c r="P39" s="233"/>
      <c r="Q39" s="233"/>
      <c r="R39" s="233"/>
      <c r="S39" s="233"/>
      <c r="T39" s="233"/>
      <c r="V39" s="238" t="s">
        <v>319</v>
      </c>
      <c r="W39" s="992">
        <v>0.56000000000000005</v>
      </c>
      <c r="X39" s="992">
        <v>0.55000000000000004</v>
      </c>
      <c r="Y39" s="700">
        <f t="shared" si="0"/>
        <v>31374.487200000003</v>
      </c>
      <c r="Z39" s="700">
        <f t="shared" si="1"/>
        <v>31374487.200000003</v>
      </c>
      <c r="AA39" s="233">
        <f t="shared" si="2"/>
        <v>546.44172000000242</v>
      </c>
      <c r="AB39" s="233"/>
      <c r="AC39" s="233"/>
      <c r="AD39" s="875"/>
      <c r="AE39" s="874"/>
      <c r="AF39" s="238" t="s">
        <v>319</v>
      </c>
      <c r="AG39" s="847">
        <f t="shared" si="3"/>
        <v>31374.487200000003</v>
      </c>
      <c r="AH39" s="843"/>
      <c r="AK39" s="233"/>
      <c r="AL39" s="238" t="s">
        <v>319</v>
      </c>
      <c r="AM39" s="847">
        <f t="shared" si="5"/>
        <v>546.44172000000242</v>
      </c>
    </row>
    <row r="40" spans="1:39" s="821" customFormat="1">
      <c r="A40" s="238" t="s">
        <v>319</v>
      </c>
      <c r="B40" s="709">
        <v>56025.87</v>
      </c>
      <c r="C40" s="710">
        <v>0</v>
      </c>
      <c r="D40" s="712">
        <v>993.53040000000442</v>
      </c>
      <c r="E40" s="713">
        <v>0</v>
      </c>
      <c r="F40" s="233"/>
      <c r="G40" s="238" t="s">
        <v>320</v>
      </c>
      <c r="H40" s="412">
        <f>[10]מים!D44</f>
        <v>531</v>
      </c>
      <c r="I40" s="413">
        <f>[10]מים!L44</f>
        <v>114</v>
      </c>
      <c r="J40" s="233"/>
      <c r="K40" s="238" t="s">
        <v>321</v>
      </c>
      <c r="L40" s="716">
        <v>0.32</v>
      </c>
      <c r="M40" s="716">
        <v>0.32</v>
      </c>
      <c r="N40" s="238" t="s">
        <v>321</v>
      </c>
      <c r="O40" s="421">
        <f>[10]כמות!D45</f>
        <v>43966.9</v>
      </c>
      <c r="P40" s="233"/>
      <c r="Q40" s="233"/>
      <c r="R40" s="233"/>
      <c r="S40" s="233"/>
      <c r="T40" s="233"/>
      <c r="V40" s="238" t="s">
        <v>320</v>
      </c>
      <c r="W40" s="990">
        <v>0.7</v>
      </c>
      <c r="X40" s="990">
        <v>0.8</v>
      </c>
      <c r="Y40" s="700">
        <f t="shared" si="0"/>
        <v>7392.3231199999964</v>
      </c>
      <c r="Z40" s="700">
        <f t="shared" si="1"/>
        <v>7392323.1199999964</v>
      </c>
      <c r="AA40" s="233">
        <f t="shared" si="2"/>
        <v>6978.5391999999993</v>
      </c>
      <c r="AB40" s="233"/>
      <c r="AC40" s="233"/>
      <c r="AD40" s="875"/>
      <c r="AE40" s="874"/>
      <c r="AF40" s="238" t="s">
        <v>320</v>
      </c>
      <c r="AG40" s="847">
        <f t="shared" si="3"/>
        <v>7392.3231199999964</v>
      </c>
      <c r="AH40" s="843"/>
      <c r="AK40" s="233"/>
      <c r="AL40" s="238" t="s">
        <v>320</v>
      </c>
      <c r="AM40" s="847">
        <f t="shared" si="5"/>
        <v>6978.5391999999993</v>
      </c>
    </row>
    <row r="41" spans="1:39" s="821" customFormat="1">
      <c r="A41" s="238" t="s">
        <v>320</v>
      </c>
      <c r="B41" s="709">
        <v>10560.461599999995</v>
      </c>
      <c r="C41" s="710">
        <v>0</v>
      </c>
      <c r="D41" s="712">
        <v>8723.1739999999991</v>
      </c>
      <c r="E41" s="713">
        <v>0</v>
      </c>
      <c r="F41" s="233"/>
      <c r="G41" s="238" t="s">
        <v>321</v>
      </c>
      <c r="H41" s="412">
        <f>[10]מים!D45</f>
        <v>1753</v>
      </c>
      <c r="I41" s="413">
        <f>[10]מים!L45</f>
        <v>1334</v>
      </c>
      <c r="J41" s="233"/>
      <c r="K41" s="238" t="s">
        <v>322</v>
      </c>
      <c r="L41" s="716">
        <v>1.3</v>
      </c>
      <c r="M41" s="716">
        <v>1.3</v>
      </c>
      <c r="N41" s="238" t="s">
        <v>322</v>
      </c>
      <c r="O41" s="421">
        <f>[10]כמות!D46</f>
        <v>109959</v>
      </c>
      <c r="P41" s="233"/>
      <c r="Q41" s="233"/>
      <c r="R41" s="233"/>
      <c r="S41" s="233"/>
      <c r="T41" s="233"/>
      <c r="V41" s="238" t="s">
        <v>321</v>
      </c>
      <c r="W41" s="990">
        <v>1.8</v>
      </c>
      <c r="X41" s="990">
        <v>1.5</v>
      </c>
      <c r="Y41" s="700">
        <f t="shared" si="0"/>
        <v>31871.568600000006</v>
      </c>
      <c r="Z41" s="700">
        <f t="shared" si="1"/>
        <v>31871568.600000005</v>
      </c>
      <c r="AA41" s="233">
        <f t="shared" si="2"/>
        <v>18.074999999998891</v>
      </c>
      <c r="AB41" s="233"/>
      <c r="AC41" s="233"/>
      <c r="AD41" s="875"/>
      <c r="AE41" s="874"/>
      <c r="AF41" s="238" t="s">
        <v>321</v>
      </c>
      <c r="AG41" s="847">
        <f t="shared" si="3"/>
        <v>31871.568600000006</v>
      </c>
      <c r="AH41" s="843"/>
      <c r="AK41" s="233"/>
      <c r="AL41" s="238" t="s">
        <v>321</v>
      </c>
      <c r="AM41" s="847">
        <f t="shared" si="5"/>
        <v>18.074999999998891</v>
      </c>
    </row>
    <row r="42" spans="1:39" s="821" customFormat="1">
      <c r="A42" s="238" t="s">
        <v>321</v>
      </c>
      <c r="B42" s="709">
        <v>17706.427000000003</v>
      </c>
      <c r="C42" s="710">
        <v>0</v>
      </c>
      <c r="D42" s="712">
        <v>12.04999999999926</v>
      </c>
      <c r="E42" s="713">
        <v>0</v>
      </c>
      <c r="F42" s="233"/>
      <c r="G42" s="238" t="s">
        <v>322</v>
      </c>
      <c r="H42" s="412">
        <f>[10]מים!D46</f>
        <v>700</v>
      </c>
      <c r="I42" s="413">
        <f>[10]מים!L46</f>
        <v>0</v>
      </c>
      <c r="J42" s="233"/>
      <c r="K42" s="238" t="s">
        <v>323</v>
      </c>
      <c r="L42" s="716">
        <v>0.4</v>
      </c>
      <c r="M42" s="716">
        <v>0.4</v>
      </c>
      <c r="N42" s="238" t="s">
        <v>323</v>
      </c>
      <c r="O42" s="421">
        <f>[10]כמות!D47</f>
        <v>29000</v>
      </c>
      <c r="P42" s="233"/>
      <c r="Q42" s="233"/>
      <c r="R42" s="233"/>
      <c r="S42" s="233"/>
      <c r="T42" s="233"/>
      <c r="V42" s="238" t="s">
        <v>322</v>
      </c>
      <c r="W42" s="990">
        <v>0.9</v>
      </c>
      <c r="X42" s="992">
        <v>1.2</v>
      </c>
      <c r="Y42" s="700">
        <f t="shared" si="0"/>
        <v>36509.577300000004</v>
      </c>
      <c r="Z42" s="700">
        <f t="shared" si="1"/>
        <v>36509577.300000004</v>
      </c>
      <c r="AA42" s="233">
        <f t="shared" si="2"/>
        <v>167.14559999999864</v>
      </c>
      <c r="AB42" s="233"/>
      <c r="AC42" s="233"/>
      <c r="AD42" s="875"/>
      <c r="AE42" s="874"/>
      <c r="AF42" s="238" t="s">
        <v>322</v>
      </c>
      <c r="AG42" s="847">
        <f t="shared" si="3"/>
        <v>36509.577300000004</v>
      </c>
      <c r="AH42" s="843"/>
      <c r="AK42" s="233"/>
      <c r="AL42" s="238" t="s">
        <v>322</v>
      </c>
      <c r="AM42" s="847">
        <f t="shared" si="5"/>
        <v>167.14559999999864</v>
      </c>
    </row>
    <row r="43" spans="1:39" s="821" customFormat="1">
      <c r="A43" s="238" t="s">
        <v>322</v>
      </c>
      <c r="B43" s="709">
        <v>40566.197</v>
      </c>
      <c r="C43" s="710">
        <v>0</v>
      </c>
      <c r="D43" s="712">
        <v>139.28799999999887</v>
      </c>
      <c r="E43" s="713">
        <v>0</v>
      </c>
      <c r="F43" s="233"/>
      <c r="G43" s="238" t="s">
        <v>323</v>
      </c>
      <c r="H43" s="412">
        <f>[10]מים!D47</f>
        <v>0</v>
      </c>
      <c r="I43" s="413">
        <f>[10]מים!L47</f>
        <v>0</v>
      </c>
      <c r="J43" s="233"/>
      <c r="K43" s="238" t="s">
        <v>324</v>
      </c>
      <c r="L43" s="716">
        <v>0.13</v>
      </c>
      <c r="M43" s="716">
        <v>0.13</v>
      </c>
      <c r="N43" s="238" t="s">
        <v>324</v>
      </c>
      <c r="O43" s="421">
        <f>[10]כמות!D48</f>
        <v>44500.1</v>
      </c>
      <c r="P43" s="233"/>
      <c r="Q43" s="233"/>
      <c r="R43" s="233"/>
      <c r="S43" s="233"/>
      <c r="T43" s="233"/>
      <c r="V43" s="238" t="s">
        <v>323</v>
      </c>
      <c r="W43" s="990">
        <v>0.37</v>
      </c>
      <c r="X43" s="995">
        <v>1.5</v>
      </c>
      <c r="Y43" s="700">
        <f t="shared" si="0"/>
        <v>7808.7019999999993</v>
      </c>
      <c r="Z43" s="700">
        <f t="shared" si="1"/>
        <v>7808701.9999999991</v>
      </c>
      <c r="AA43" s="233">
        <f t="shared" si="2"/>
        <v>9.0000000000008349</v>
      </c>
      <c r="AB43" s="233"/>
      <c r="AC43" s="233"/>
      <c r="AD43" s="875"/>
      <c r="AE43" s="874"/>
      <c r="AF43" s="238" t="s">
        <v>323</v>
      </c>
      <c r="AG43" s="847">
        <f t="shared" si="3"/>
        <v>7808.7019999999993</v>
      </c>
      <c r="AH43" s="843"/>
      <c r="AK43" s="233"/>
      <c r="AL43" s="238" t="s">
        <v>323</v>
      </c>
      <c r="AM43" s="847">
        <f>(D44+E44)*X43</f>
        <v>9.0000000000008349</v>
      </c>
    </row>
    <row r="44" spans="1:39" s="821" customFormat="1">
      <c r="A44" s="238" t="s">
        <v>323</v>
      </c>
      <c r="B44" s="709">
        <v>21104.6</v>
      </c>
      <c r="C44" s="710">
        <v>0</v>
      </c>
      <c r="D44" s="712">
        <v>6.0000000000005569</v>
      </c>
      <c r="E44" s="713">
        <v>0</v>
      </c>
      <c r="F44" s="233"/>
      <c r="G44" s="238" t="s">
        <v>324</v>
      </c>
      <c r="H44" s="412">
        <f>[10]מים!D48</f>
        <v>0</v>
      </c>
      <c r="I44" s="413">
        <f>[10]מים!L48</f>
        <v>0</v>
      </c>
      <c r="J44" s="233"/>
      <c r="K44" s="238" t="s">
        <v>325</v>
      </c>
      <c r="L44" s="716">
        <v>0.36</v>
      </c>
      <c r="M44" s="716">
        <v>0.36</v>
      </c>
      <c r="N44" s="238" t="s">
        <v>325</v>
      </c>
      <c r="O44" s="421">
        <f>[10]כמות!D49</f>
        <v>4001</v>
      </c>
      <c r="P44" s="233"/>
      <c r="Q44" s="233"/>
      <c r="R44" s="233"/>
      <c r="S44" s="233"/>
      <c r="T44" s="233"/>
      <c r="V44" s="238" t="s">
        <v>324</v>
      </c>
      <c r="W44" s="990">
        <v>0.38</v>
      </c>
      <c r="X44" s="995">
        <v>1</v>
      </c>
      <c r="Y44" s="700">
        <f t="shared" si="0"/>
        <v>7935.1922999999997</v>
      </c>
      <c r="Z44" s="700">
        <f t="shared" si="1"/>
        <v>7935192.2999999998</v>
      </c>
      <c r="AA44" s="233">
        <f t="shared" si="2"/>
        <v>7.8499999999994197</v>
      </c>
      <c r="AB44" s="233"/>
      <c r="AC44" s="233"/>
      <c r="AD44" s="875"/>
      <c r="AE44" s="874"/>
      <c r="AF44" s="238" t="s">
        <v>324</v>
      </c>
      <c r="AG44" s="847">
        <f t="shared" si="3"/>
        <v>7935.1922999999997</v>
      </c>
      <c r="AH44" s="843"/>
      <c r="AK44" s="233"/>
      <c r="AL44" s="238" t="s">
        <v>324</v>
      </c>
      <c r="AM44" s="847">
        <f t="shared" si="5"/>
        <v>7.8499999999994197</v>
      </c>
    </row>
    <row r="45" spans="1:39" s="821" customFormat="1">
      <c r="A45" s="238" t="s">
        <v>324</v>
      </c>
      <c r="B45" s="709">
        <v>20882.084999999999</v>
      </c>
      <c r="C45" s="710">
        <v>0</v>
      </c>
      <c r="D45" s="712">
        <v>7.8499999999994197</v>
      </c>
      <c r="E45" s="713">
        <v>0</v>
      </c>
      <c r="F45" s="233"/>
      <c r="G45" s="238" t="s">
        <v>325</v>
      </c>
      <c r="H45" s="412">
        <f>[10]מים!D49</f>
        <v>0</v>
      </c>
      <c r="I45" s="413">
        <f>[10]מים!L49</f>
        <v>0</v>
      </c>
      <c r="J45" s="233"/>
      <c r="K45" s="238" t="s">
        <v>326</v>
      </c>
      <c r="L45" s="716">
        <v>0.72</v>
      </c>
      <c r="M45" s="716">
        <v>0.72</v>
      </c>
      <c r="N45" s="238" t="s">
        <v>326</v>
      </c>
      <c r="O45" s="421">
        <f>[10]כמות!D50</f>
        <v>126000</v>
      </c>
      <c r="P45" s="233"/>
      <c r="Q45" s="233"/>
      <c r="R45" s="233"/>
      <c r="S45" s="233"/>
      <c r="T45" s="233"/>
      <c r="V45" s="238" t="s">
        <v>325</v>
      </c>
      <c r="W45" s="990">
        <v>0.44</v>
      </c>
      <c r="X45" s="990">
        <v>0.27</v>
      </c>
      <c r="Y45" s="700">
        <f t="shared" si="0"/>
        <v>1715.2119599999999</v>
      </c>
      <c r="Z45" s="700">
        <f t="shared" si="1"/>
        <v>1715211.96</v>
      </c>
      <c r="AA45" s="233">
        <f t="shared" si="2"/>
        <v>184.32900000000001</v>
      </c>
      <c r="AB45" s="233"/>
      <c r="AC45" s="233"/>
      <c r="AD45" s="875"/>
      <c r="AE45" s="874"/>
      <c r="AF45" s="238" t="s">
        <v>325</v>
      </c>
      <c r="AG45" s="847">
        <f t="shared" si="3"/>
        <v>1715.2119599999999</v>
      </c>
      <c r="AH45" s="843"/>
      <c r="AK45" s="233"/>
      <c r="AL45" s="238" t="s">
        <v>325</v>
      </c>
      <c r="AM45" s="847">
        <f t="shared" si="5"/>
        <v>184.32900000000001</v>
      </c>
    </row>
    <row r="46" spans="1:39" s="821" customFormat="1">
      <c r="A46" s="238" t="s">
        <v>325</v>
      </c>
      <c r="B46" s="709">
        <v>3898.2089999999998</v>
      </c>
      <c r="C46" s="710">
        <v>0</v>
      </c>
      <c r="D46" s="712">
        <v>682.69999999999993</v>
      </c>
      <c r="E46" s="713">
        <v>0</v>
      </c>
      <c r="F46" s="233"/>
      <c r="G46" s="238" t="s">
        <v>326</v>
      </c>
      <c r="H46" s="412">
        <f>[10]מים!D50</f>
        <v>298</v>
      </c>
      <c r="I46" s="413">
        <f>[10]מים!L50</f>
        <v>63</v>
      </c>
      <c r="J46" s="233"/>
      <c r="K46" s="238" t="s">
        <v>327</v>
      </c>
      <c r="L46" s="716">
        <v>0</v>
      </c>
      <c r="M46" s="716">
        <v>0</v>
      </c>
      <c r="N46" s="238" t="s">
        <v>327</v>
      </c>
      <c r="O46" s="421">
        <f>[10]כמות!D51</f>
        <v>77382.919999999984</v>
      </c>
      <c r="P46" s="233"/>
      <c r="Q46" s="233"/>
      <c r="R46" s="233"/>
      <c r="S46" s="233"/>
      <c r="T46" s="233"/>
      <c r="V46" s="238" t="s">
        <v>326</v>
      </c>
      <c r="W46" s="990">
        <v>0.2</v>
      </c>
      <c r="X46" s="990">
        <v>0.3</v>
      </c>
      <c r="Y46" s="700">
        <f t="shared" si="0"/>
        <v>23010.710800000001</v>
      </c>
      <c r="Z46" s="700">
        <f t="shared" si="1"/>
        <v>23010710.800000001</v>
      </c>
      <c r="AA46" s="233">
        <f t="shared" si="2"/>
        <v>32.03310000000203</v>
      </c>
      <c r="AB46" s="233"/>
      <c r="AC46" s="233"/>
      <c r="AD46" s="875"/>
      <c r="AE46" s="874"/>
      <c r="AF46" s="238" t="s">
        <v>326</v>
      </c>
      <c r="AG46" s="847">
        <f t="shared" si="3"/>
        <v>23010.710800000001</v>
      </c>
      <c r="AH46" s="843"/>
      <c r="AK46" s="233"/>
      <c r="AL46" s="238" t="s">
        <v>326</v>
      </c>
      <c r="AM46" s="847">
        <f t="shared" si="5"/>
        <v>32.03310000000203</v>
      </c>
    </row>
    <row r="47" spans="1:39" s="821" customFormat="1">
      <c r="A47" s="238" t="s">
        <v>326</v>
      </c>
      <c r="B47" s="709">
        <v>115053.554</v>
      </c>
      <c r="C47" s="710">
        <v>0</v>
      </c>
      <c r="D47" s="712">
        <v>106.77700000000678</v>
      </c>
      <c r="E47" s="713">
        <v>0</v>
      </c>
      <c r="F47" s="233"/>
      <c r="G47" s="238" t="s">
        <v>327</v>
      </c>
      <c r="H47" s="412">
        <f>[10]מים!D51</f>
        <v>531</v>
      </c>
      <c r="I47" s="413">
        <f>[10]מים!L51</f>
        <v>114</v>
      </c>
      <c r="J47" s="233"/>
      <c r="K47" s="238" t="s">
        <v>328</v>
      </c>
      <c r="L47" s="716">
        <v>0</v>
      </c>
      <c r="M47" s="716">
        <v>2.8</v>
      </c>
      <c r="N47" s="238" t="s">
        <v>328</v>
      </c>
      <c r="O47" s="421">
        <f>[10]כמות!D53</f>
        <v>0</v>
      </c>
      <c r="P47" s="233"/>
      <c r="Q47" s="233"/>
      <c r="R47" s="233"/>
      <c r="S47" s="233"/>
      <c r="T47" s="233"/>
      <c r="V47" s="238" t="s">
        <v>327</v>
      </c>
      <c r="W47" s="990">
        <v>0.7</v>
      </c>
      <c r="X47" s="990">
        <v>0.8</v>
      </c>
      <c r="Y47" s="700">
        <f t="shared" si="0"/>
        <v>43418.363225999965</v>
      </c>
      <c r="Z47" s="700">
        <f t="shared" si="1"/>
        <v>43418363.225999966</v>
      </c>
      <c r="AA47" s="233">
        <f t="shared" si="2"/>
        <v>7027.7561600000045</v>
      </c>
      <c r="AB47" s="233"/>
      <c r="AC47" s="233"/>
      <c r="AD47" s="875"/>
      <c r="AE47" s="874"/>
      <c r="AF47" s="238" t="s">
        <v>327</v>
      </c>
      <c r="AG47" s="847">
        <f t="shared" si="3"/>
        <v>43418.363225999965</v>
      </c>
      <c r="AH47" s="843"/>
      <c r="AK47" s="233"/>
      <c r="AL47" s="238" t="s">
        <v>327</v>
      </c>
      <c r="AM47" s="847">
        <f t="shared" si="5"/>
        <v>7027.7561600000045</v>
      </c>
    </row>
    <row r="48" spans="1:39" s="821" customFormat="1">
      <c r="A48" s="238" t="s">
        <v>327</v>
      </c>
      <c r="B48" s="709">
        <v>62026.233179999952</v>
      </c>
      <c r="C48" s="710">
        <v>0</v>
      </c>
      <c r="D48" s="712">
        <v>8784.6952000000056</v>
      </c>
      <c r="E48" s="713">
        <v>0</v>
      </c>
      <c r="F48" s="233"/>
      <c r="G48" s="238" t="s">
        <v>328</v>
      </c>
      <c r="H48" s="412">
        <f>[10]מים!D53</f>
        <v>0</v>
      </c>
      <c r="I48" s="413">
        <f>[10]מים!L53</f>
        <v>25</v>
      </c>
      <c r="J48" s="233"/>
      <c r="K48" s="238" t="s">
        <v>329</v>
      </c>
      <c r="L48" s="716">
        <v>0</v>
      </c>
      <c r="M48" s="716">
        <v>1.4</v>
      </c>
      <c r="N48" s="238" t="s">
        <v>329</v>
      </c>
      <c r="O48" s="421">
        <f>[10]כמות!D54</f>
        <v>0</v>
      </c>
      <c r="P48" s="233"/>
      <c r="Q48" s="233"/>
      <c r="R48" s="233"/>
      <c r="S48" s="233"/>
      <c r="T48" s="233"/>
      <c r="V48" s="238" t="s">
        <v>328</v>
      </c>
      <c r="W48" s="990">
        <v>0</v>
      </c>
      <c r="X48" s="990">
        <v>7.3</v>
      </c>
      <c r="Y48" s="700">
        <f t="shared" si="0"/>
        <v>0</v>
      </c>
      <c r="Z48" s="700">
        <f t="shared" si="1"/>
        <v>0</v>
      </c>
      <c r="AA48" s="233">
        <f t="shared" si="2"/>
        <v>874911.75030999992</v>
      </c>
      <c r="AB48" s="233"/>
      <c r="AC48" s="233"/>
      <c r="AD48" s="875"/>
      <c r="AE48" s="874"/>
      <c r="AF48" s="238" t="s">
        <v>328</v>
      </c>
      <c r="AG48" s="847">
        <f t="shared" si="3"/>
        <v>0</v>
      </c>
      <c r="AH48" s="843"/>
      <c r="AK48" s="233">
        <v>45</v>
      </c>
      <c r="AL48" s="238" t="s">
        <v>328</v>
      </c>
      <c r="AM48" s="847">
        <f t="shared" si="5"/>
        <v>874911.75030999992</v>
      </c>
    </row>
    <row r="49" spans="1:39" s="821" customFormat="1">
      <c r="A49" s="238" t="s">
        <v>328</v>
      </c>
      <c r="B49" s="709">
        <v>0</v>
      </c>
      <c r="C49" s="710">
        <v>0</v>
      </c>
      <c r="D49" s="712">
        <v>119850.92469999999</v>
      </c>
      <c r="E49" s="713">
        <v>0</v>
      </c>
      <c r="F49" s="233"/>
      <c r="G49" s="238" t="s">
        <v>329</v>
      </c>
      <c r="H49" s="412">
        <f>[10]מים!D54</f>
        <v>0</v>
      </c>
      <c r="I49" s="413">
        <f>[10]מים!L54</f>
        <v>677</v>
      </c>
      <c r="J49" s="233"/>
      <c r="K49" s="238" t="s">
        <v>330</v>
      </c>
      <c r="L49" s="716">
        <v>0</v>
      </c>
      <c r="M49" s="716">
        <v>0</v>
      </c>
      <c r="N49" s="238" t="s">
        <v>330</v>
      </c>
      <c r="O49" s="421">
        <f>[10]כמות!D55</f>
        <v>0</v>
      </c>
      <c r="P49" s="233"/>
      <c r="Q49" s="233"/>
      <c r="R49" s="233"/>
      <c r="S49" s="233"/>
      <c r="T49" s="233"/>
      <c r="V49" s="238" t="s">
        <v>329</v>
      </c>
      <c r="W49" s="990">
        <v>0</v>
      </c>
      <c r="X49" s="990">
        <v>5</v>
      </c>
      <c r="Y49" s="700">
        <f t="shared" si="0"/>
        <v>0</v>
      </c>
      <c r="Z49" s="700">
        <f t="shared" si="1"/>
        <v>0</v>
      </c>
      <c r="AA49" s="233">
        <f t="shared" si="2"/>
        <v>7456.35</v>
      </c>
      <c r="AB49" s="233"/>
      <c r="AC49" s="233"/>
      <c r="AD49" s="875"/>
      <c r="AE49" s="874"/>
      <c r="AF49" s="238" t="s">
        <v>329</v>
      </c>
      <c r="AG49" s="847">
        <f t="shared" si="3"/>
        <v>0</v>
      </c>
      <c r="AH49" s="843"/>
      <c r="AK49" s="233">
        <v>46</v>
      </c>
      <c r="AL49" s="238" t="s">
        <v>329</v>
      </c>
      <c r="AM49" s="847">
        <f t="shared" si="5"/>
        <v>7456.35</v>
      </c>
    </row>
    <row r="50" spans="1:39" s="821" customFormat="1">
      <c r="A50" s="238" t="s">
        <v>329</v>
      </c>
      <c r="B50" s="709">
        <v>0</v>
      </c>
      <c r="C50" s="710">
        <v>0</v>
      </c>
      <c r="D50" s="712">
        <v>1491.27</v>
      </c>
      <c r="E50" s="713">
        <v>0</v>
      </c>
      <c r="F50" s="233"/>
      <c r="G50" s="238" t="s">
        <v>330</v>
      </c>
      <c r="H50" s="412">
        <f>[10]מים!D55</f>
        <v>0</v>
      </c>
      <c r="I50" s="413">
        <f>[10]מים!L55</f>
        <v>0</v>
      </c>
      <c r="J50" s="233"/>
      <c r="K50" s="238" t="s">
        <v>331</v>
      </c>
      <c r="L50" s="716">
        <v>0</v>
      </c>
      <c r="M50" s="716">
        <v>0.8</v>
      </c>
      <c r="N50" s="238" t="s">
        <v>331</v>
      </c>
      <c r="O50" s="421">
        <f>[10]כמות!D57</f>
        <v>39944.73684210526</v>
      </c>
      <c r="P50" s="233"/>
      <c r="Q50" s="233"/>
      <c r="R50" s="233"/>
      <c r="S50" s="233"/>
      <c r="T50" s="233"/>
      <c r="V50" s="238" t="s">
        <v>330</v>
      </c>
      <c r="W50" s="990">
        <v>0</v>
      </c>
      <c r="X50" s="990">
        <v>4.5</v>
      </c>
      <c r="Y50" s="700">
        <f t="shared" si="0"/>
        <v>0</v>
      </c>
      <c r="Z50" s="700">
        <f t="shared" si="1"/>
        <v>0</v>
      </c>
      <c r="AA50" s="233">
        <f t="shared" si="2"/>
        <v>47779.684875000006</v>
      </c>
      <c r="AB50" s="233"/>
      <c r="AC50" s="233"/>
      <c r="AD50" s="875"/>
      <c r="AE50" s="874"/>
      <c r="AF50" s="238" t="s">
        <v>330</v>
      </c>
      <c r="AG50" s="847">
        <f t="shared" si="3"/>
        <v>0</v>
      </c>
      <c r="AH50" s="843"/>
      <c r="AK50" s="233">
        <v>47</v>
      </c>
      <c r="AL50" s="238" t="s">
        <v>330</v>
      </c>
      <c r="AM50" s="847">
        <f t="shared" si="5"/>
        <v>47779.684875000006</v>
      </c>
    </row>
    <row r="51" spans="1:39" s="821" customFormat="1">
      <c r="A51" s="238" t="s">
        <v>330</v>
      </c>
      <c r="B51" s="709">
        <v>0</v>
      </c>
      <c r="C51" s="710">
        <v>0</v>
      </c>
      <c r="D51" s="712">
        <v>10617.707750000001</v>
      </c>
      <c r="E51" s="713">
        <v>0</v>
      </c>
      <c r="F51" s="233"/>
      <c r="G51" s="238" t="s">
        <v>331</v>
      </c>
      <c r="H51" s="412">
        <f>[10]מים!D57</f>
        <v>0</v>
      </c>
      <c r="I51" s="413">
        <f>[10]מים!L57</f>
        <v>18</v>
      </c>
      <c r="J51" s="233"/>
      <c r="K51" s="238" t="s">
        <v>332</v>
      </c>
      <c r="L51" s="716">
        <v>1.6</v>
      </c>
      <c r="M51" s="716">
        <v>1.6</v>
      </c>
      <c r="N51" s="238" t="s">
        <v>332</v>
      </c>
      <c r="O51" s="421">
        <f>[10]כמות!D58</f>
        <v>23500</v>
      </c>
      <c r="P51" s="233"/>
      <c r="Q51" s="233"/>
      <c r="R51" s="233"/>
      <c r="S51" s="233"/>
      <c r="T51" s="233"/>
      <c r="V51" s="238" t="s">
        <v>331</v>
      </c>
      <c r="W51" s="990">
        <v>3.7</v>
      </c>
      <c r="X51" s="990">
        <v>3.3</v>
      </c>
      <c r="Y51" s="700">
        <f t="shared" si="0"/>
        <v>0</v>
      </c>
      <c r="Z51" s="700">
        <f t="shared" si="1"/>
        <v>0</v>
      </c>
      <c r="AA51" s="233">
        <f t="shared" si="2"/>
        <v>150575.69669999997</v>
      </c>
      <c r="AB51" s="233"/>
      <c r="AC51" s="233"/>
      <c r="AD51" s="875"/>
      <c r="AE51" s="874"/>
      <c r="AF51" s="238" t="s">
        <v>331</v>
      </c>
      <c r="AG51" s="847">
        <f t="shared" si="3"/>
        <v>0</v>
      </c>
      <c r="AH51" s="843"/>
      <c r="AK51" s="233"/>
      <c r="AL51" s="238" t="s">
        <v>331</v>
      </c>
      <c r="AM51" s="847">
        <f t="shared" si="5"/>
        <v>150575.69669999997</v>
      </c>
    </row>
    <row r="52" spans="1:39" s="821" customFormat="1">
      <c r="A52" s="238" t="s">
        <v>331</v>
      </c>
      <c r="B52" s="711">
        <v>0</v>
      </c>
      <c r="C52" s="710">
        <v>0</v>
      </c>
      <c r="D52" s="715">
        <v>45628.998999999996</v>
      </c>
      <c r="E52" s="713">
        <v>0</v>
      </c>
      <c r="F52" s="233"/>
      <c r="G52" s="238" t="s">
        <v>332</v>
      </c>
      <c r="H52" s="412">
        <f>[10]מים!D58</f>
        <v>4129</v>
      </c>
      <c r="I52" s="413">
        <f>[10]מים!L58</f>
        <v>2801</v>
      </c>
      <c r="J52" s="233"/>
      <c r="K52" s="238" t="s">
        <v>333</v>
      </c>
      <c r="L52" s="719">
        <v>0</v>
      </c>
      <c r="M52" s="719">
        <v>2.1</v>
      </c>
      <c r="N52" s="238" t="s">
        <v>333</v>
      </c>
      <c r="O52" s="421">
        <f>[10]כמות!D59</f>
        <v>69766.210526315786</v>
      </c>
      <c r="P52" s="233"/>
      <c r="Q52" s="233"/>
      <c r="R52" s="233"/>
      <c r="S52" s="233"/>
      <c r="T52" s="233"/>
      <c r="V52" s="238" t="s">
        <v>332</v>
      </c>
      <c r="W52" s="995">
        <v>3.9</v>
      </c>
      <c r="X52" s="995">
        <v>3.9</v>
      </c>
      <c r="Y52" s="700">
        <f t="shared" si="0"/>
        <v>91267.8</v>
      </c>
      <c r="Z52" s="700">
        <f t="shared" si="1"/>
        <v>91267800</v>
      </c>
      <c r="AA52" s="233">
        <f t="shared" si="2"/>
        <v>24012.268799999991</v>
      </c>
      <c r="AB52" s="233"/>
      <c r="AC52" s="233"/>
      <c r="AD52" s="875"/>
      <c r="AE52" s="874"/>
      <c r="AF52" s="238" t="s">
        <v>332</v>
      </c>
      <c r="AG52" s="847">
        <f t="shared" si="3"/>
        <v>91267.8</v>
      </c>
      <c r="AH52" s="843"/>
      <c r="AK52" s="233"/>
      <c r="AL52" s="238" t="s">
        <v>332</v>
      </c>
      <c r="AM52" s="847">
        <f t="shared" si="5"/>
        <v>24012.268799999991</v>
      </c>
    </row>
    <row r="53" spans="1:39" s="821" customFormat="1">
      <c r="A53" s="238" t="s">
        <v>332</v>
      </c>
      <c r="B53" s="709">
        <v>23402</v>
      </c>
      <c r="C53" s="710">
        <v>0</v>
      </c>
      <c r="D53" s="712">
        <v>6156.9919999999975</v>
      </c>
      <c r="E53" s="713">
        <v>0</v>
      </c>
      <c r="F53" s="233"/>
      <c r="G53" s="238" t="s">
        <v>333</v>
      </c>
      <c r="H53" s="412">
        <f>[10]מים!D59</f>
        <v>0</v>
      </c>
      <c r="I53" s="413">
        <f>[10]מים!L59</f>
        <v>0</v>
      </c>
      <c r="J53" s="233"/>
      <c r="K53" s="238" t="s">
        <v>334</v>
      </c>
      <c r="L53" s="716">
        <v>0</v>
      </c>
      <c r="M53" s="716">
        <v>0</v>
      </c>
      <c r="N53" s="238" t="s">
        <v>334</v>
      </c>
      <c r="O53" s="421">
        <f>[10]כמות!D60</f>
        <v>5851</v>
      </c>
      <c r="P53" s="233"/>
      <c r="Q53" s="233"/>
      <c r="R53" s="233"/>
      <c r="S53" s="233"/>
      <c r="T53" s="233"/>
      <c r="V53" s="238" t="s">
        <v>333</v>
      </c>
      <c r="W53" s="993">
        <v>0</v>
      </c>
      <c r="X53" s="993">
        <v>4.3</v>
      </c>
      <c r="Y53" s="700">
        <f t="shared" si="0"/>
        <v>0</v>
      </c>
      <c r="Z53" s="700">
        <f t="shared" si="1"/>
        <v>0</v>
      </c>
      <c r="AA53" s="233">
        <f t="shared" si="2"/>
        <v>802459.97139999992</v>
      </c>
      <c r="AB53" s="233"/>
      <c r="AC53" s="233"/>
      <c r="AD53" s="875"/>
      <c r="AE53" s="874"/>
      <c r="AF53" s="238" t="s">
        <v>333</v>
      </c>
      <c r="AG53" s="847">
        <f t="shared" si="3"/>
        <v>0</v>
      </c>
      <c r="AH53" s="843"/>
      <c r="AK53" s="233"/>
      <c r="AL53" s="238" t="s">
        <v>333</v>
      </c>
      <c r="AM53" s="847">
        <f t="shared" si="5"/>
        <v>802459.97139999992</v>
      </c>
    </row>
    <row r="54" spans="1:39" s="821" customFormat="1">
      <c r="A54" s="238" t="s">
        <v>333</v>
      </c>
      <c r="B54" s="711">
        <v>0</v>
      </c>
      <c r="C54" s="710">
        <v>0</v>
      </c>
      <c r="D54" s="715">
        <v>186618.598</v>
      </c>
      <c r="E54" s="713">
        <v>0</v>
      </c>
      <c r="F54" s="233"/>
      <c r="G54" s="238" t="s">
        <v>334</v>
      </c>
      <c r="H54" s="412">
        <f>[10]מים!D60</f>
        <v>24</v>
      </c>
      <c r="I54" s="413">
        <f>[10]מים!L60</f>
        <v>34</v>
      </c>
      <c r="J54" s="233"/>
      <c r="K54" s="238" t="s">
        <v>335</v>
      </c>
      <c r="L54" s="720">
        <v>16.350999999999999</v>
      </c>
      <c r="M54" s="716">
        <v>19.7</v>
      </c>
      <c r="N54" s="238" t="s">
        <v>335</v>
      </c>
      <c r="O54" s="421">
        <f>[10]כמות!D62</f>
        <v>58800.72</v>
      </c>
      <c r="P54" s="233"/>
      <c r="Q54" s="233"/>
      <c r="R54" s="233"/>
      <c r="S54" s="233"/>
      <c r="T54" s="233"/>
      <c r="V54" s="238" t="s">
        <v>334</v>
      </c>
      <c r="W54" s="990">
        <v>1.3</v>
      </c>
      <c r="X54" s="990">
        <v>0.8</v>
      </c>
      <c r="Y54" s="700">
        <f t="shared" si="0"/>
        <v>7291.1280000000006</v>
      </c>
      <c r="Z54" s="700">
        <f t="shared" si="1"/>
        <v>7291128.0000000009</v>
      </c>
      <c r="AA54" s="233">
        <f t="shared" si="2"/>
        <v>1071.2000000000003</v>
      </c>
      <c r="AB54" s="233"/>
      <c r="AC54" s="233"/>
      <c r="AD54" s="875"/>
      <c r="AE54" s="874"/>
      <c r="AF54" s="238" t="s">
        <v>334</v>
      </c>
      <c r="AG54" s="847">
        <f t="shared" si="3"/>
        <v>7291.1280000000006</v>
      </c>
      <c r="AH54" s="843"/>
      <c r="AK54" s="233"/>
      <c r="AL54" s="238" t="s">
        <v>334</v>
      </c>
      <c r="AM54" s="847">
        <f t="shared" si="5"/>
        <v>1071.2000000000003</v>
      </c>
    </row>
    <row r="55" spans="1:39" s="821" customFormat="1">
      <c r="A55" s="238" t="s">
        <v>334</v>
      </c>
      <c r="B55" s="709">
        <v>5608.56</v>
      </c>
      <c r="C55" s="710">
        <v>0</v>
      </c>
      <c r="D55" s="712">
        <v>1339.0000000000002</v>
      </c>
      <c r="E55" s="713">
        <v>0</v>
      </c>
      <c r="F55" s="233"/>
      <c r="G55" s="238" t="s">
        <v>335</v>
      </c>
      <c r="H55" s="412">
        <f>[10]מים!D62</f>
        <v>302</v>
      </c>
      <c r="I55" s="413">
        <f>[10]מים!L62</f>
        <v>177</v>
      </c>
      <c r="J55" s="233"/>
      <c r="K55" s="238" t="s">
        <v>336</v>
      </c>
      <c r="L55" s="716">
        <v>25.6</v>
      </c>
      <c r="M55" s="716">
        <v>25.6</v>
      </c>
      <c r="N55" s="238" t="s">
        <v>336</v>
      </c>
      <c r="O55" s="421">
        <f>[10]כמות!D63</f>
        <v>16891.559999999998</v>
      </c>
      <c r="P55" s="233"/>
      <c r="Q55" s="233"/>
      <c r="R55" s="233"/>
      <c r="S55" s="233"/>
      <c r="T55" s="233"/>
      <c r="V55" s="238" t="s">
        <v>335</v>
      </c>
      <c r="W55" s="994">
        <v>17</v>
      </c>
      <c r="X55" s="992">
        <v>166</v>
      </c>
      <c r="Y55" s="700">
        <f t="shared" si="0"/>
        <v>805564.27800000005</v>
      </c>
      <c r="Z55" s="700">
        <f t="shared" si="1"/>
        <v>805564278</v>
      </c>
      <c r="AA55" s="233">
        <f t="shared" si="2"/>
        <v>11062898.0406</v>
      </c>
      <c r="AB55" s="233"/>
      <c r="AC55" s="233"/>
      <c r="AD55" s="875"/>
      <c r="AE55" s="874"/>
      <c r="AF55" s="238" t="s">
        <v>335</v>
      </c>
      <c r="AG55" s="847">
        <f t="shared" si="3"/>
        <v>805564.27800000005</v>
      </c>
      <c r="AH55" s="843"/>
      <c r="AK55" s="233"/>
      <c r="AL55" s="238" t="s">
        <v>335</v>
      </c>
      <c r="AM55" s="847">
        <f t="shared" si="5"/>
        <v>11062898.0406</v>
      </c>
    </row>
    <row r="56" spans="1:39" s="821" customFormat="1">
      <c r="A56" s="238" t="s">
        <v>335</v>
      </c>
      <c r="B56" s="709">
        <v>47386.134000000005</v>
      </c>
      <c r="C56" s="710">
        <v>0</v>
      </c>
      <c r="D56" s="712">
        <v>66643.964099999997</v>
      </c>
      <c r="E56" s="713">
        <v>0</v>
      </c>
      <c r="F56" s="233"/>
      <c r="G56" s="238" t="s">
        <v>336</v>
      </c>
      <c r="H56" s="412">
        <f>[10]מים!D63</f>
        <v>96</v>
      </c>
      <c r="I56" s="413">
        <f>[10]מים!L63</f>
        <v>0</v>
      </c>
      <c r="J56" s="233"/>
      <c r="K56" s="238" t="s">
        <v>337</v>
      </c>
      <c r="L56" s="716">
        <v>5.77</v>
      </c>
      <c r="M56" s="716">
        <v>5.77</v>
      </c>
      <c r="N56" s="238" t="s">
        <v>337</v>
      </c>
      <c r="O56" s="421">
        <f>[10]כמות!D64</f>
        <v>11393.409999999998</v>
      </c>
      <c r="P56" s="233"/>
      <c r="Q56" s="233"/>
      <c r="R56" s="233"/>
      <c r="S56" s="233"/>
      <c r="T56" s="233"/>
      <c r="V56" s="238" t="s">
        <v>336</v>
      </c>
      <c r="W56" s="992">
        <v>20</v>
      </c>
      <c r="X56" s="992">
        <v>20</v>
      </c>
      <c r="Y56" s="700">
        <f t="shared" si="0"/>
        <v>321851.19999999995</v>
      </c>
      <c r="Z56" s="700">
        <f t="shared" si="1"/>
        <v>321851199.99999994</v>
      </c>
      <c r="AA56" s="233">
        <f t="shared" si="2"/>
        <v>14623.152600000034</v>
      </c>
      <c r="AB56" s="233"/>
      <c r="AC56" s="233"/>
      <c r="AD56" s="875"/>
      <c r="AE56" s="874"/>
      <c r="AF56" s="238" t="s">
        <v>336</v>
      </c>
      <c r="AG56" s="847">
        <f t="shared" si="3"/>
        <v>321851.19999999995</v>
      </c>
      <c r="AH56" s="843"/>
      <c r="AK56" s="233"/>
      <c r="AL56" s="238" t="s">
        <v>336</v>
      </c>
      <c r="AM56" s="847">
        <f t="shared" si="5"/>
        <v>14623.152600000034</v>
      </c>
    </row>
    <row r="57" spans="1:39" s="821" customFormat="1">
      <c r="A57" s="238" t="s">
        <v>336</v>
      </c>
      <c r="B57" s="709">
        <v>16092.559999999998</v>
      </c>
      <c r="C57" s="710">
        <v>0</v>
      </c>
      <c r="D57" s="712">
        <v>731.15763000000175</v>
      </c>
      <c r="E57" s="713">
        <v>0</v>
      </c>
      <c r="F57" s="233"/>
      <c r="G57" s="238" t="s">
        <v>337</v>
      </c>
      <c r="H57" s="412">
        <f>[10]מים!D64</f>
        <v>237</v>
      </c>
      <c r="I57" s="413">
        <f>[10]מים!L64</f>
        <v>0</v>
      </c>
      <c r="J57" s="233"/>
      <c r="K57" s="238" t="s">
        <v>338</v>
      </c>
      <c r="L57" s="721">
        <v>0.99450000000000005</v>
      </c>
      <c r="M57" s="716">
        <v>1.53</v>
      </c>
      <c r="N57" s="238" t="s">
        <v>338</v>
      </c>
      <c r="O57" s="421">
        <f>[10]כמות!D65</f>
        <v>421908.58799999999</v>
      </c>
      <c r="P57" s="233"/>
      <c r="Q57" s="233"/>
      <c r="R57" s="233"/>
      <c r="S57" s="233"/>
      <c r="T57" s="233"/>
      <c r="V57" s="238" t="s">
        <v>337</v>
      </c>
      <c r="W57" s="993">
        <v>0</v>
      </c>
      <c r="X57" s="992">
        <v>8</v>
      </c>
      <c r="Y57" s="700">
        <f t="shared" si="0"/>
        <v>0</v>
      </c>
      <c r="Z57" s="700">
        <f t="shared" si="1"/>
        <v>0</v>
      </c>
      <c r="AA57" s="233">
        <f t="shared" si="2"/>
        <v>0</v>
      </c>
      <c r="AB57" s="233"/>
      <c r="AC57" s="233"/>
      <c r="AD57" s="875"/>
      <c r="AE57" s="874"/>
      <c r="AF57" s="238" t="s">
        <v>337</v>
      </c>
      <c r="AG57" s="847">
        <f t="shared" si="3"/>
        <v>0</v>
      </c>
      <c r="AH57" s="843"/>
      <c r="AK57" s="233"/>
      <c r="AL57" s="238" t="s">
        <v>337</v>
      </c>
      <c r="AM57" s="847">
        <f t="shared" si="5"/>
        <v>0</v>
      </c>
    </row>
    <row r="58" spans="1:39" s="821" customFormat="1">
      <c r="A58" s="238" t="s">
        <v>337</v>
      </c>
      <c r="B58" s="709">
        <v>11393.409999999998</v>
      </c>
      <c r="C58" s="710">
        <v>0</v>
      </c>
      <c r="D58" s="712">
        <v>0</v>
      </c>
      <c r="E58" s="713">
        <v>0</v>
      </c>
      <c r="F58" s="233"/>
      <c r="G58" s="238" t="s">
        <v>338</v>
      </c>
      <c r="H58" s="412">
        <f>[10]מים!D65</f>
        <v>179</v>
      </c>
      <c r="I58" s="413">
        <f>[10]מים!L65</f>
        <v>73</v>
      </c>
      <c r="J58" s="233"/>
      <c r="K58" s="238" t="s">
        <v>339</v>
      </c>
      <c r="L58" s="721">
        <v>3.7504999999999997</v>
      </c>
      <c r="M58" s="716">
        <v>5.77</v>
      </c>
      <c r="N58" s="238" t="s">
        <v>339</v>
      </c>
      <c r="O58" s="421">
        <f>[10]כמות!D66</f>
        <v>70132.991399999999</v>
      </c>
      <c r="P58" s="233"/>
      <c r="Q58" s="233"/>
      <c r="R58" s="233"/>
      <c r="S58" s="233"/>
      <c r="T58" s="233"/>
      <c r="V58" s="238" t="s">
        <v>338</v>
      </c>
      <c r="W58" s="993">
        <v>0</v>
      </c>
      <c r="X58" s="993">
        <v>4.5999999999999996</v>
      </c>
      <c r="Y58" s="700">
        <f t="shared" si="0"/>
        <v>0</v>
      </c>
      <c r="Z58" s="700">
        <f t="shared" si="1"/>
        <v>0</v>
      </c>
      <c r="AA58" s="233">
        <f t="shared" si="2"/>
        <v>2402.0559900799144</v>
      </c>
      <c r="AB58" s="233"/>
      <c r="AC58" s="233"/>
      <c r="AD58" s="875"/>
      <c r="AE58" s="874"/>
      <c r="AF58" s="238" t="s">
        <v>338</v>
      </c>
      <c r="AG58" s="847">
        <f t="shared" si="3"/>
        <v>0</v>
      </c>
      <c r="AH58" s="843"/>
      <c r="AK58" s="233">
        <v>55</v>
      </c>
      <c r="AL58" s="238" t="s">
        <v>338</v>
      </c>
      <c r="AM58" s="847">
        <f t="shared" si="5"/>
        <v>2402.0559900799144</v>
      </c>
    </row>
    <row r="59" spans="1:39" s="821" customFormat="1">
      <c r="A59" s="238" t="s">
        <v>338</v>
      </c>
      <c r="B59" s="709">
        <v>417941.8456</v>
      </c>
      <c r="C59" s="710">
        <v>0</v>
      </c>
      <c r="D59" s="712">
        <v>522.18608479998147</v>
      </c>
      <c r="E59" s="713">
        <v>0</v>
      </c>
      <c r="F59" s="233"/>
      <c r="G59" s="238" t="s">
        <v>339</v>
      </c>
      <c r="H59" s="412">
        <f>[10]מים!D66</f>
        <v>0</v>
      </c>
      <c r="I59" s="418">
        <f>[10]מים!L66</f>
        <v>0</v>
      </c>
      <c r="J59" s="233"/>
      <c r="K59" s="238" t="s">
        <v>340</v>
      </c>
      <c r="L59" s="716">
        <v>0</v>
      </c>
      <c r="M59" s="716">
        <v>0</v>
      </c>
      <c r="N59" s="238" t="s">
        <v>340</v>
      </c>
      <c r="O59" s="421">
        <f>[10]כמות!D67</f>
        <v>9650.8251400000008</v>
      </c>
      <c r="P59" s="233"/>
      <c r="Q59" s="233"/>
      <c r="R59" s="233"/>
      <c r="S59" s="233"/>
      <c r="T59" s="233"/>
      <c r="V59" s="238" t="s">
        <v>339</v>
      </c>
      <c r="W59" s="993">
        <v>0</v>
      </c>
      <c r="X59" s="993">
        <v>0</v>
      </c>
      <c r="Y59" s="700">
        <f t="shared" si="0"/>
        <v>0</v>
      </c>
      <c r="Z59" s="700">
        <f t="shared" si="1"/>
        <v>0</v>
      </c>
      <c r="AA59" s="233">
        <f t="shared" si="2"/>
        <v>0</v>
      </c>
      <c r="AB59" s="233"/>
      <c r="AC59" s="233"/>
      <c r="AD59" s="875"/>
      <c r="AE59" s="874"/>
      <c r="AF59" s="238" t="s">
        <v>339</v>
      </c>
      <c r="AG59" s="847">
        <f t="shared" si="3"/>
        <v>0</v>
      </c>
      <c r="AH59" s="843"/>
      <c r="AK59" s="233"/>
      <c r="AL59" s="238" t="s">
        <v>339</v>
      </c>
      <c r="AM59" s="847">
        <f t="shared" si="5"/>
        <v>0</v>
      </c>
    </row>
    <row r="60" spans="1:39" s="821" customFormat="1">
      <c r="A60" s="238" t="s">
        <v>339</v>
      </c>
      <c r="B60" s="709">
        <v>69979.800399999993</v>
      </c>
      <c r="C60" s="710">
        <v>0</v>
      </c>
      <c r="D60" s="712">
        <v>0</v>
      </c>
      <c r="E60" s="713">
        <v>0</v>
      </c>
      <c r="F60" s="233"/>
      <c r="G60" s="238" t="s">
        <v>340</v>
      </c>
      <c r="H60" s="412">
        <f>[10]מים!D67</f>
        <v>214</v>
      </c>
      <c r="I60" s="418">
        <f>[10]מים!L67</f>
        <v>42</v>
      </c>
      <c r="J60" s="233"/>
      <c r="K60" s="238" t="s">
        <v>341</v>
      </c>
      <c r="L60" s="716">
        <v>3.46</v>
      </c>
      <c r="M60" s="716">
        <v>3.46</v>
      </c>
      <c r="N60" s="238" t="s">
        <v>341</v>
      </c>
      <c r="O60" s="421">
        <f>[10]כמות!$D$69</f>
        <v>124440.4</v>
      </c>
      <c r="P60" s="233"/>
      <c r="Q60" s="233"/>
      <c r="R60" s="233"/>
      <c r="S60" s="233"/>
      <c r="T60" s="233"/>
      <c r="V60" s="238" t="s">
        <v>340</v>
      </c>
      <c r="W60" s="993">
        <v>0</v>
      </c>
      <c r="X60" s="993">
        <v>4.5999999999999996</v>
      </c>
      <c r="Y60" s="700">
        <f t="shared" si="0"/>
        <v>0</v>
      </c>
      <c r="Z60" s="700">
        <f t="shared" si="1"/>
        <v>0</v>
      </c>
      <c r="AA60" s="233">
        <f t="shared" si="2"/>
        <v>18678.863385000001</v>
      </c>
      <c r="AB60" s="233"/>
      <c r="AC60" s="233"/>
      <c r="AD60" s="875"/>
      <c r="AE60" s="874"/>
      <c r="AF60" s="238" t="s">
        <v>340</v>
      </c>
      <c r="AG60" s="847">
        <f t="shared" si="3"/>
        <v>0</v>
      </c>
      <c r="AH60" s="843"/>
      <c r="AK60" s="233">
        <v>57</v>
      </c>
      <c r="AL60" s="238" t="s">
        <v>340</v>
      </c>
      <c r="AM60" s="847">
        <f t="shared" si="5"/>
        <v>18678.863385000001</v>
      </c>
    </row>
    <row r="61" spans="1:39" s="821" customFormat="1">
      <c r="A61" s="238" t="s">
        <v>340</v>
      </c>
      <c r="B61" s="709">
        <v>9650.8251400000008</v>
      </c>
      <c r="C61" s="710">
        <v>0</v>
      </c>
      <c r="D61" s="712">
        <v>4060.6224750000006</v>
      </c>
      <c r="E61" s="713">
        <v>0</v>
      </c>
      <c r="F61" s="233"/>
      <c r="G61" s="238" t="s">
        <v>341</v>
      </c>
      <c r="H61" s="412">
        <f>[10]מים!$D$69</f>
        <v>270</v>
      </c>
      <c r="I61" s="418">
        <f>[10]מים!L69</f>
        <v>483</v>
      </c>
      <c r="J61" s="233"/>
      <c r="K61" s="238" t="s">
        <v>342</v>
      </c>
      <c r="L61" s="716">
        <v>3.47</v>
      </c>
      <c r="M61" s="716">
        <v>3.47</v>
      </c>
      <c r="N61" s="238" t="s">
        <v>342</v>
      </c>
      <c r="O61" s="421">
        <f>[10]כמות!D71</f>
        <v>9650.5499999999993</v>
      </c>
      <c r="P61" s="233"/>
      <c r="Q61" s="233"/>
      <c r="R61" s="233"/>
      <c r="S61" s="233"/>
      <c r="T61" s="233"/>
      <c r="V61" s="238" t="s">
        <v>341</v>
      </c>
      <c r="W61" s="993">
        <v>0</v>
      </c>
      <c r="X61" s="992">
        <v>4</v>
      </c>
      <c r="Y61" s="700">
        <f t="shared" si="0"/>
        <v>0</v>
      </c>
      <c r="Z61" s="700">
        <f t="shared" si="1"/>
        <v>0</v>
      </c>
      <c r="AA61" s="233">
        <f t="shared" si="2"/>
        <v>23671.488511999989</v>
      </c>
      <c r="AB61" s="233"/>
      <c r="AC61" s="233"/>
      <c r="AD61" s="658"/>
      <c r="AE61" s="874"/>
      <c r="AF61" s="238" t="s">
        <v>341</v>
      </c>
      <c r="AG61" s="847">
        <f>(B62+C62)*W61</f>
        <v>0</v>
      </c>
      <c r="AH61" s="843"/>
      <c r="AK61" s="233">
        <v>58</v>
      </c>
      <c r="AL61" s="238" t="s">
        <v>341</v>
      </c>
      <c r="AM61" s="847">
        <f t="shared" si="5"/>
        <v>23671.488511999989</v>
      </c>
    </row>
    <row r="62" spans="1:39" s="821" customFormat="1">
      <c r="A62" s="238" t="s">
        <v>341</v>
      </c>
      <c r="B62" s="709">
        <v>124440.4</v>
      </c>
      <c r="C62" s="710">
        <v>0</v>
      </c>
      <c r="D62" s="712">
        <v>5917.8721279999972</v>
      </c>
      <c r="E62" s="713">
        <v>0</v>
      </c>
      <c r="F62" s="233"/>
      <c r="G62" s="238" t="s">
        <v>342</v>
      </c>
      <c r="H62" s="412">
        <f>[10]מים!D71</f>
        <v>0</v>
      </c>
      <c r="I62" s="418">
        <f>[10]מים!L70</f>
        <v>0</v>
      </c>
      <c r="J62" s="233"/>
      <c r="K62" s="238" t="s">
        <v>343</v>
      </c>
      <c r="L62" s="716">
        <v>3.47</v>
      </c>
      <c r="M62" s="716">
        <v>3.47</v>
      </c>
      <c r="N62" s="238" t="s">
        <v>343</v>
      </c>
      <c r="O62" s="421">
        <f>[10]כמות!D72</f>
        <v>0</v>
      </c>
      <c r="P62" s="233"/>
      <c r="Q62" s="233"/>
      <c r="R62" s="233"/>
      <c r="S62" s="233"/>
      <c r="T62" s="233"/>
      <c r="V62" s="238" t="s">
        <v>342</v>
      </c>
      <c r="W62" s="993">
        <v>0</v>
      </c>
      <c r="X62" s="993">
        <v>0</v>
      </c>
      <c r="Y62" s="700">
        <f t="shared" si="0"/>
        <v>0</v>
      </c>
      <c r="Z62" s="700">
        <f t="shared" si="1"/>
        <v>0</v>
      </c>
      <c r="AA62" s="233">
        <f t="shared" si="2"/>
        <v>0</v>
      </c>
      <c r="AB62" s="233"/>
      <c r="AC62" s="233"/>
      <c r="AD62" s="658"/>
      <c r="AE62" s="874"/>
      <c r="AF62" s="238" t="s">
        <v>342</v>
      </c>
      <c r="AG62" s="847">
        <f t="shared" si="3"/>
        <v>0</v>
      </c>
      <c r="AH62" s="843"/>
      <c r="AK62" s="233"/>
      <c r="AL62" s="238" t="s">
        <v>342</v>
      </c>
      <c r="AM62" s="847">
        <f t="shared" si="5"/>
        <v>0</v>
      </c>
    </row>
    <row r="63" spans="1:39" s="821" customFormat="1">
      <c r="A63" s="238" t="s">
        <v>342</v>
      </c>
      <c r="B63" s="709">
        <v>8392.0399999999991</v>
      </c>
      <c r="C63" s="710">
        <v>0</v>
      </c>
      <c r="D63" s="712">
        <v>15650.76351319728</v>
      </c>
      <c r="E63" s="713">
        <v>0</v>
      </c>
      <c r="F63" s="233"/>
      <c r="G63" s="238" t="s">
        <v>343</v>
      </c>
      <c r="H63" s="412">
        <f>[10]מים!D72</f>
        <v>0</v>
      </c>
      <c r="I63" s="418">
        <f>[10]מים!L71</f>
        <v>0</v>
      </c>
      <c r="J63" s="233"/>
      <c r="K63" s="238" t="s">
        <v>344</v>
      </c>
      <c r="L63" s="716">
        <v>3.49</v>
      </c>
      <c r="M63" s="716">
        <v>3.49</v>
      </c>
      <c r="N63" s="238" t="s">
        <v>344</v>
      </c>
      <c r="O63" s="421">
        <f>[10]כמות!D73</f>
        <v>0</v>
      </c>
      <c r="P63" s="233"/>
      <c r="Q63" s="233"/>
      <c r="R63" s="233"/>
      <c r="S63" s="233"/>
      <c r="T63" s="233"/>
      <c r="V63" s="238" t="s">
        <v>343</v>
      </c>
      <c r="W63" s="993">
        <v>0</v>
      </c>
      <c r="X63" s="993">
        <v>0</v>
      </c>
      <c r="Y63" s="700">
        <f t="shared" si="0"/>
        <v>0</v>
      </c>
      <c r="Z63" s="700">
        <f t="shared" si="1"/>
        <v>0</v>
      </c>
      <c r="AA63" s="233">
        <f t="shared" si="2"/>
        <v>0</v>
      </c>
      <c r="AB63" s="233"/>
      <c r="AC63" s="233"/>
      <c r="AD63" s="658"/>
      <c r="AE63" s="874"/>
      <c r="AF63" s="238" t="s">
        <v>343</v>
      </c>
      <c r="AG63" s="847">
        <f t="shared" si="3"/>
        <v>0</v>
      </c>
      <c r="AH63" s="843"/>
      <c r="AK63" s="233"/>
      <c r="AL63" s="238" t="s">
        <v>343</v>
      </c>
      <c r="AM63" s="847">
        <f t="shared" si="5"/>
        <v>0</v>
      </c>
    </row>
    <row r="64" spans="1:39" s="821" customFormat="1">
      <c r="A64" s="238" t="s">
        <v>343</v>
      </c>
      <c r="B64" s="709">
        <v>0</v>
      </c>
      <c r="C64" s="710">
        <v>0</v>
      </c>
      <c r="D64" s="712">
        <v>40252.179258677286</v>
      </c>
      <c r="E64" s="713">
        <v>0</v>
      </c>
      <c r="F64" s="233"/>
      <c r="G64" s="238" t="s">
        <v>344</v>
      </c>
      <c r="H64" s="412">
        <f>[10]מים!D73</f>
        <v>0</v>
      </c>
      <c r="I64" s="418">
        <f>[10]מים!L72</f>
        <v>0</v>
      </c>
      <c r="J64" s="233"/>
      <c r="K64" s="238" t="s">
        <v>345</v>
      </c>
      <c r="L64" s="722">
        <v>0.86519999999999997</v>
      </c>
      <c r="M64" s="722">
        <v>1.03</v>
      </c>
      <c r="N64" s="238" t="s">
        <v>345</v>
      </c>
      <c r="O64" s="421">
        <f>[10]כמות!D75</f>
        <v>1607525.76</v>
      </c>
      <c r="P64" s="233"/>
      <c r="Q64" s="233"/>
      <c r="R64" s="233"/>
      <c r="S64" s="233"/>
      <c r="T64" s="233"/>
      <c r="V64" s="238" t="s">
        <v>344</v>
      </c>
      <c r="W64" s="993">
        <v>0</v>
      </c>
      <c r="X64" s="993">
        <v>0</v>
      </c>
      <c r="Y64" s="700">
        <f t="shared" si="0"/>
        <v>0</v>
      </c>
      <c r="Z64" s="700">
        <f t="shared" si="1"/>
        <v>0</v>
      </c>
      <c r="AA64" s="233">
        <f t="shared" si="2"/>
        <v>0</v>
      </c>
      <c r="AB64" s="233"/>
      <c r="AC64" s="233"/>
      <c r="AD64" s="658"/>
      <c r="AE64" s="874"/>
      <c r="AF64" s="238" t="s">
        <v>344</v>
      </c>
      <c r="AG64" s="847">
        <f t="shared" si="3"/>
        <v>0</v>
      </c>
      <c r="AH64" s="843"/>
      <c r="AK64" s="233"/>
      <c r="AL64" s="238" t="s">
        <v>344</v>
      </c>
      <c r="AM64" s="847">
        <f t="shared" si="5"/>
        <v>0</v>
      </c>
    </row>
    <row r="65" spans="1:45" s="821" customFormat="1">
      <c r="A65" s="238" t="s">
        <v>344</v>
      </c>
      <c r="B65" s="709">
        <v>0</v>
      </c>
      <c r="C65" s="710">
        <v>0</v>
      </c>
      <c r="D65" s="712">
        <v>10837.113799999999</v>
      </c>
      <c r="E65" s="713">
        <v>0</v>
      </c>
      <c r="F65" s="233"/>
      <c r="G65" s="238" t="s">
        <v>345</v>
      </c>
      <c r="H65" s="412">
        <f>[10]מים!D75</f>
        <v>25</v>
      </c>
      <c r="I65" s="418">
        <f>[10]מים!L75</f>
        <v>35</v>
      </c>
      <c r="J65" s="233"/>
      <c r="K65" s="238" t="s">
        <v>346</v>
      </c>
      <c r="L65" s="307">
        <v>0</v>
      </c>
      <c r="M65" s="307">
        <v>0</v>
      </c>
      <c r="N65" s="238" t="s">
        <v>346</v>
      </c>
      <c r="O65" s="421">
        <f>[10]כמות!D76</f>
        <v>48149.672899999998</v>
      </c>
      <c r="P65" s="233"/>
      <c r="Q65" s="233"/>
      <c r="R65" s="233"/>
      <c r="S65" s="233"/>
      <c r="T65" s="233"/>
      <c r="V65" s="238" t="s">
        <v>345</v>
      </c>
      <c r="W65" s="993">
        <v>0</v>
      </c>
      <c r="X65" s="993">
        <v>1.2</v>
      </c>
      <c r="Y65" s="700">
        <f t="shared" si="0"/>
        <v>0</v>
      </c>
      <c r="Z65" s="700">
        <f t="shared" si="1"/>
        <v>0</v>
      </c>
      <c r="AA65" s="233">
        <f t="shared" si="2"/>
        <v>167822.77200000008</v>
      </c>
      <c r="AB65" s="233"/>
      <c r="AC65" s="233"/>
      <c r="AD65" s="658"/>
      <c r="AE65" s="874"/>
      <c r="AF65" s="238" t="s">
        <v>345</v>
      </c>
      <c r="AG65" s="847">
        <f t="shared" si="3"/>
        <v>0</v>
      </c>
      <c r="AH65" s="843"/>
      <c r="AK65" s="233">
        <v>62</v>
      </c>
      <c r="AL65" s="238" t="s">
        <v>345</v>
      </c>
      <c r="AM65" s="847">
        <f t="shared" si="5"/>
        <v>167822.77200000008</v>
      </c>
    </row>
    <row r="66" spans="1:45" s="821" customFormat="1" ht="15" thickBot="1">
      <c r="A66" s="238" t="s">
        <v>345</v>
      </c>
      <c r="B66" s="709">
        <v>1550184.9810079336</v>
      </c>
      <c r="C66" s="710">
        <v>6628.5420920664847</v>
      </c>
      <c r="D66" s="712">
        <v>139256.85209206658</v>
      </c>
      <c r="E66" s="713">
        <v>595.45790793351512</v>
      </c>
      <c r="F66" s="233"/>
      <c r="G66" s="238" t="s">
        <v>346</v>
      </c>
      <c r="H66" s="412">
        <f>[10]מים!D76</f>
        <v>0</v>
      </c>
      <c r="I66" s="418">
        <f>[10]מים!L76</f>
        <v>0</v>
      </c>
      <c r="J66" s="233"/>
      <c r="K66" s="240" t="s">
        <v>347</v>
      </c>
      <c r="L66" s="321">
        <v>0</v>
      </c>
      <c r="M66" s="321">
        <v>0</v>
      </c>
      <c r="N66" s="240" t="s">
        <v>347</v>
      </c>
      <c r="O66" s="422">
        <f>[10]כמות!D77</f>
        <v>0</v>
      </c>
      <c r="P66" s="233"/>
      <c r="Q66" s="233"/>
      <c r="R66" s="233"/>
      <c r="S66" s="233"/>
      <c r="T66" s="233"/>
      <c r="U66" s="233"/>
      <c r="V66" s="238" t="s">
        <v>346</v>
      </c>
      <c r="W66" s="993">
        <v>0</v>
      </c>
      <c r="X66" s="993">
        <v>0</v>
      </c>
      <c r="Y66" s="700">
        <f t="shared" si="0"/>
        <v>0</v>
      </c>
      <c r="Z66" s="700">
        <f t="shared" si="1"/>
        <v>0</v>
      </c>
      <c r="AA66" s="233">
        <f t="shared" si="2"/>
        <v>0</v>
      </c>
      <c r="AB66" s="233"/>
      <c r="AC66" s="233"/>
      <c r="AD66" s="658"/>
      <c r="AE66" s="874"/>
      <c r="AF66" s="238" t="s">
        <v>346</v>
      </c>
      <c r="AG66" s="847">
        <f t="shared" si="3"/>
        <v>0</v>
      </c>
      <c r="AH66" s="843"/>
      <c r="AL66" s="238" t="s">
        <v>346</v>
      </c>
      <c r="AM66" s="847">
        <f t="shared" si="5"/>
        <v>0</v>
      </c>
    </row>
    <row r="67" spans="1:45" s="821" customFormat="1" ht="15" thickBot="1">
      <c r="A67" s="238" t="s">
        <v>346</v>
      </c>
      <c r="B67" s="709">
        <v>48149.672899999998</v>
      </c>
      <c r="C67" s="710">
        <v>0</v>
      </c>
      <c r="D67" s="712">
        <v>409.50000000000108</v>
      </c>
      <c r="E67" s="713">
        <v>0</v>
      </c>
      <c r="F67" s="233"/>
      <c r="G67" s="240" t="s">
        <v>347</v>
      </c>
      <c r="H67" s="419">
        <f>[10]מים!D77</f>
        <v>0</v>
      </c>
      <c r="I67" s="420">
        <f>[10]מים!L77</f>
        <v>0</v>
      </c>
      <c r="J67" s="233"/>
      <c r="K67" s="233"/>
      <c r="L67" s="233"/>
      <c r="M67" s="233"/>
      <c r="N67" s="233"/>
      <c r="O67" s="233"/>
      <c r="P67" s="233"/>
      <c r="Q67" s="233"/>
      <c r="R67" s="233"/>
      <c r="S67" s="233"/>
      <c r="T67" s="233"/>
      <c r="U67" s="233"/>
      <c r="V67" s="243" t="s">
        <v>347</v>
      </c>
      <c r="W67" s="993">
        <v>0</v>
      </c>
      <c r="X67" s="993">
        <v>0</v>
      </c>
      <c r="Y67" s="700">
        <f t="shared" si="0"/>
        <v>0</v>
      </c>
      <c r="Z67" s="700">
        <f t="shared" si="1"/>
        <v>0</v>
      </c>
      <c r="AA67" s="233">
        <f t="shared" si="2"/>
        <v>0</v>
      </c>
      <c r="AB67" s="233"/>
      <c r="AC67" s="233"/>
      <c r="AD67" s="658"/>
      <c r="AE67" s="874"/>
      <c r="AF67" s="240" t="s">
        <v>347</v>
      </c>
      <c r="AG67" s="847">
        <f t="shared" si="3"/>
        <v>0</v>
      </c>
      <c r="AH67" s="843"/>
      <c r="AL67" s="240" t="s">
        <v>347</v>
      </c>
      <c r="AM67" s="847">
        <f t="shared" si="5"/>
        <v>0</v>
      </c>
    </row>
    <row r="68" spans="1:45" s="821" customFormat="1" ht="15" thickBot="1">
      <c r="A68" s="240" t="s">
        <v>347</v>
      </c>
      <c r="B68" s="321">
        <v>0</v>
      </c>
      <c r="C68" s="541">
        <v>0</v>
      </c>
      <c r="D68" s="712">
        <v>6070.3829999999998</v>
      </c>
      <c r="E68" s="713">
        <v>0</v>
      </c>
      <c r="F68" s="233"/>
      <c r="G68" s="233"/>
      <c r="H68" s="659"/>
      <c r="I68" s="658"/>
      <c r="J68" s="233"/>
      <c r="K68" s="233"/>
      <c r="L68" s="233"/>
      <c r="M68" s="233"/>
      <c r="N68" s="233"/>
      <c r="O68" s="233"/>
      <c r="P68" s="233"/>
      <c r="Q68" s="233"/>
      <c r="R68" s="233"/>
      <c r="S68" s="233"/>
      <c r="T68" s="233"/>
      <c r="U68" s="233"/>
      <c r="V68" s="233"/>
      <c r="W68" s="660"/>
      <c r="X68" s="660"/>
      <c r="Y68" s="233"/>
      <c r="Z68" s="233"/>
      <c r="AA68" s="233"/>
      <c r="AB68" s="233"/>
      <c r="AC68" s="233"/>
      <c r="AD68" s="233"/>
      <c r="AE68" s="874"/>
      <c r="AF68" s="233"/>
      <c r="AG68" s="847">
        <f t="shared" si="3"/>
        <v>0</v>
      </c>
      <c r="AH68" s="843"/>
      <c r="AL68" s="233"/>
      <c r="AM68" s="847">
        <f t="shared" ref="AM68" si="6">(H69+I69)*AC68</f>
        <v>0</v>
      </c>
    </row>
    <row r="69" spans="1:45" s="821" customFormat="1" ht="15" thickBot="1">
      <c r="A69" s="233"/>
      <c r="B69" s="657"/>
      <c r="C69" s="233"/>
      <c r="D69" s="663"/>
      <c r="E69" s="233"/>
      <c r="F69" s="233"/>
      <c r="G69" s="233"/>
      <c r="H69" s="233"/>
      <c r="I69" s="233"/>
      <c r="J69" s="233"/>
      <c r="K69" s="233"/>
      <c r="L69" s="233"/>
      <c r="M69" s="233"/>
      <c r="N69" s="233"/>
      <c r="O69" s="233"/>
      <c r="P69" s="233"/>
      <c r="Q69" s="233"/>
      <c r="R69" s="233"/>
      <c r="S69" s="233"/>
      <c r="T69" s="233"/>
      <c r="U69" s="233"/>
      <c r="V69" s="233"/>
      <c r="W69" s="233"/>
      <c r="X69" s="233"/>
      <c r="Y69" s="700">
        <f>SUM(Y4:Y67)</f>
        <v>3462391.7080156924</v>
      </c>
      <c r="Z69" s="700">
        <f>SUM(Z4:Z67)</f>
        <v>3462391708.0156927</v>
      </c>
      <c r="AA69" s="233">
        <f>SUM(AA4:AA67)</f>
        <v>22931451.069709778</v>
      </c>
      <c r="AB69" s="233"/>
      <c r="AC69" s="233"/>
      <c r="AD69" s="848">
        <f>SUM(AD4:AD68)</f>
        <v>0</v>
      </c>
      <c r="AE69" s="848">
        <f>SUM(AE4:AE68)</f>
        <v>0</v>
      </c>
      <c r="AF69" s="821" t="s">
        <v>1632</v>
      </c>
      <c r="AG69" s="848">
        <f>SUM(AG4:AG68)</f>
        <v>3462391.7080156924</v>
      </c>
      <c r="AH69" s="849">
        <f>AG69/1000</f>
        <v>3462.3917080156925</v>
      </c>
      <c r="AL69" s="821" t="s">
        <v>1632</v>
      </c>
      <c r="AM69" s="848">
        <f>SUM(AM4:AM68)</f>
        <v>22931451.069709778</v>
      </c>
    </row>
    <row r="70" spans="1:45" ht="18.600000000000001" thickBot="1">
      <c r="A70" s="958" t="s">
        <v>274</v>
      </c>
      <c r="B70" s="959"/>
      <c r="C70" s="959"/>
      <c r="D70" s="959"/>
      <c r="E70" s="960"/>
      <c r="Y70" s="700">
        <f>Y69/1000</f>
        <v>3462.3917080156925</v>
      </c>
      <c r="Z70" s="700"/>
      <c r="AA70" s="233">
        <f>AA69/1000</f>
        <v>22931.451069709779</v>
      </c>
      <c r="AE70" s="874">
        <f t="shared" ref="AE70" si="7">AD70*1000</f>
        <v>0</v>
      </c>
      <c r="AF70" s="233">
        <v>2050</v>
      </c>
      <c r="AG70" s="873">
        <f>AH69*AJ3</f>
        <v>4500</v>
      </c>
      <c r="AL70" s="233">
        <v>2050</v>
      </c>
      <c r="AM70" s="233">
        <f>AM69*BX5/1000</f>
        <v>57335.974050981466</v>
      </c>
      <c r="AP70" s="657">
        <f>-SUM(AM5,AM11,AM48:AM50,AM58,AM60:AM61,AM65)*BX5+SUM(AM5,AM11,AM48:AM50,AM58,AM60:AM61,AM65)*BX3</f>
        <v>-1048631.4972274862</v>
      </c>
      <c r="AQ70" s="233">
        <f>AP70/1000</f>
        <v>-1048.6314972274863</v>
      </c>
      <c r="AS70" s="872">
        <f>AM70+AP70/1000</f>
        <v>56287.342553753981</v>
      </c>
    </row>
    <row r="71" spans="1:45" ht="16.2" thickBot="1">
      <c r="A71" s="961"/>
      <c r="B71" s="962">
        <v>2017</v>
      </c>
      <c r="C71" s="962"/>
      <c r="D71" s="962"/>
      <c r="E71" s="963"/>
    </row>
    <row r="72" spans="1:45" ht="18.600000000000001" thickBot="1">
      <c r="A72" s="955"/>
      <c r="B72" s="964" t="s">
        <v>276</v>
      </c>
      <c r="C72" s="964"/>
      <c r="D72" s="964" t="s">
        <v>277</v>
      </c>
      <c r="E72" s="965"/>
      <c r="G72" s="951" t="s">
        <v>1512</v>
      </c>
      <c r="H72" s="952"/>
      <c r="I72" s="953"/>
    </row>
    <row r="73" spans="1:45">
      <c r="A73" s="955"/>
      <c r="B73" s="231" t="s">
        <v>281</v>
      </c>
      <c r="C73" s="231" t="s">
        <v>282</v>
      </c>
      <c r="D73" s="231" t="s">
        <v>281</v>
      </c>
      <c r="E73" s="232" t="s">
        <v>282</v>
      </c>
      <c r="G73" s="695"/>
      <c r="H73" s="696" t="s">
        <v>1516</v>
      </c>
      <c r="I73" s="697" t="s">
        <v>403</v>
      </c>
    </row>
    <row r="74" spans="1:45">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45">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45" ht="29.4"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45">
      <c r="A77" s="213" t="s">
        <v>351</v>
      </c>
      <c r="B77" s="235">
        <f>SUBTOTAL(9,B14:B18)</f>
        <v>59085.447560000001</v>
      </c>
      <c r="C77" s="235">
        <f>SUBTOTAL(9,C14:C18)</f>
        <v>0</v>
      </c>
      <c r="D77" s="235">
        <f>SUBTOTAL(9,D14:D18)</f>
        <v>41185.536200000002</v>
      </c>
      <c r="E77" s="236">
        <f>SUBTOTAL(9,E14:E18)</f>
        <v>0</v>
      </c>
    </row>
    <row r="78" spans="1:45">
      <c r="A78" s="213" t="s">
        <v>352</v>
      </c>
      <c r="B78" s="235">
        <f>SUBTOTAL(9,B19:B22)</f>
        <v>26211.005299999997</v>
      </c>
      <c r="C78" s="235">
        <f>SUBTOTAL(9,C19:C22)</f>
        <v>0</v>
      </c>
      <c r="D78" s="235">
        <f>SUBTOTAL(9,D19:D22)</f>
        <v>93866.897280000005</v>
      </c>
      <c r="E78" s="236">
        <f>SUBTOTAL(9,E19:E22)</f>
        <v>0</v>
      </c>
    </row>
    <row r="79" spans="1:45">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45">
      <c r="A80" s="214" t="s">
        <v>354</v>
      </c>
      <c r="B80" s="235">
        <f>SUBTOTAL(9,B31:B48)</f>
        <v>1055136.31693</v>
      </c>
      <c r="C80" s="235">
        <f>SUBTOTAL(9,C31:C48)</f>
        <v>0</v>
      </c>
      <c r="D80" s="235">
        <f>SUBTOTAL(9,D31:D48)</f>
        <v>424609.34938899992</v>
      </c>
      <c r="E80" s="236">
        <f>SUBTOTAL(9,E31:E48)</f>
        <v>0</v>
      </c>
      <c r="G80" s="617"/>
      <c r="H80" s="307">
        <v>7.5999999999999998E-2</v>
      </c>
    </row>
    <row r="81" spans="1:8">
      <c r="A81" s="213" t="s">
        <v>355</v>
      </c>
      <c r="B81" s="235">
        <f>SUBTOTAL(9,B49:B51)</f>
        <v>0</v>
      </c>
      <c r="C81" s="235">
        <f>SUBTOTAL(9,C49:C51)</f>
        <v>0</v>
      </c>
      <c r="D81" s="235">
        <f>SUBTOTAL(9,D49:D51)</f>
        <v>131959.90244999999</v>
      </c>
      <c r="E81" s="236">
        <f>SUBTOTAL(9,E49:E51)</f>
        <v>0</v>
      </c>
    </row>
    <row r="82" spans="1:8">
      <c r="A82" s="213" t="s">
        <v>356</v>
      </c>
      <c r="B82" s="235">
        <f>SUBTOTAL(9,B52:B55)</f>
        <v>29010.560000000001</v>
      </c>
      <c r="C82" s="235">
        <f>SUBTOTAL(9,C52:C55)</f>
        <v>0</v>
      </c>
      <c r="D82" s="235">
        <f>SUBTOTAL(9,D52:D55)</f>
        <v>239743.58899999998</v>
      </c>
      <c r="E82" s="236">
        <f>SUBTOTAL(9,E52:E55)</f>
        <v>0</v>
      </c>
    </row>
    <row r="83" spans="1:8">
      <c r="A83" s="213" t="s">
        <v>357</v>
      </c>
      <c r="B83" s="235">
        <f>SUBTOTAL(9,B56:B61)</f>
        <v>572444.57513999997</v>
      </c>
      <c r="C83" s="235">
        <f>SUBTOTAL(9,C56:C61)</f>
        <v>0</v>
      </c>
      <c r="D83" s="235">
        <f>SUBTOTAL(9,D56:D61)</f>
        <v>71957.930289799973</v>
      </c>
      <c r="E83" s="236">
        <f>SUBTOTAL(9,E56:E61)</f>
        <v>0</v>
      </c>
      <c r="H83" s="700"/>
    </row>
    <row r="84" spans="1:8">
      <c r="A84" s="213" t="s">
        <v>341</v>
      </c>
      <c r="B84" s="235">
        <f>SUBTOTAL(9,B62:B62)</f>
        <v>124440.4</v>
      </c>
      <c r="C84" s="235">
        <f>SUBTOTAL(9,C62:C62)</f>
        <v>0</v>
      </c>
      <c r="D84" s="235">
        <f>SUBTOTAL(9,D62:D62)</f>
        <v>5917.8721279999972</v>
      </c>
      <c r="E84" s="236">
        <f>SUBTOTAL(9,E62:E62)</f>
        <v>0</v>
      </c>
      <c r="H84" s="700"/>
    </row>
    <row r="85" spans="1:8">
      <c r="A85" s="213" t="s">
        <v>358</v>
      </c>
      <c r="B85" s="235">
        <f>SUBTOTAL(9,B63:B65)</f>
        <v>8392.0399999999991</v>
      </c>
      <c r="C85" s="235">
        <f>SUBTOTAL(9,C63:C65)</f>
        <v>0</v>
      </c>
      <c r="D85" s="235">
        <f>SUBTOTAL(9,D63:D65)</f>
        <v>66740.056571874564</v>
      </c>
      <c r="E85" s="236">
        <f>SUBTOTAL(9,E63:E65)</f>
        <v>0</v>
      </c>
      <c r="H85" s="700"/>
    </row>
    <row r="86" spans="1:8" ht="1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topLeftCell="A3" workbookViewId="0">
      <selection activeCell="J10" sqref="J10"/>
    </sheetView>
  </sheetViews>
  <sheetFormatPr defaultRowHeight="14.4"/>
  <cols>
    <col min="1" max="1" width="5.77734375" bestFit="1" customWidth="1"/>
    <col min="2" max="2" width="6.6640625" bestFit="1" customWidth="1"/>
    <col min="3" max="3" width="13.44140625" bestFit="1" customWidth="1"/>
    <col min="4" max="4" width="14.77734375" bestFit="1" customWidth="1"/>
    <col min="5" max="5" width="13.44140625" bestFit="1" customWidth="1"/>
    <col min="6" max="6" width="13.33203125" bestFit="1" customWidth="1"/>
    <col min="9" max="9" width="13.33203125" bestFit="1" customWidth="1"/>
    <col min="10" max="10" width="20.88671875" bestFit="1" customWidth="1"/>
  </cols>
  <sheetData>
    <row r="1" spans="1:10" s="852" customFormat="1" thickBot="1">
      <c r="A1" s="850"/>
      <c r="B1" s="850"/>
      <c r="C1" s="851" t="s">
        <v>1624</v>
      </c>
      <c r="D1" s="850"/>
    </row>
    <row r="2" spans="1:10" s="852" customFormat="1" ht="16.2" thickBot="1">
      <c r="A2" s="853" t="s">
        <v>1531</v>
      </c>
      <c r="B2" s="854" t="s">
        <v>1625</v>
      </c>
      <c r="C2" s="854" t="s">
        <v>1626</v>
      </c>
      <c r="D2" s="854" t="s">
        <v>1627</v>
      </c>
      <c r="E2" s="854" t="s">
        <v>1626</v>
      </c>
      <c r="F2" s="855" t="s">
        <v>1628</v>
      </c>
    </row>
    <row r="3" spans="1:10" s="852" customFormat="1" thickBot="1">
      <c r="A3" s="856">
        <v>2011</v>
      </c>
      <c r="B3" s="857">
        <f t="shared" ref="B3:B13" si="0">A3-$A$14</f>
        <v>-11</v>
      </c>
      <c r="C3" s="858">
        <v>0.66300000000000003</v>
      </c>
      <c r="F3" s="859"/>
    </row>
    <row r="4" spans="1:10" s="852" customFormat="1" thickBot="1">
      <c r="A4" s="860">
        <v>2012</v>
      </c>
      <c r="B4" s="861">
        <f t="shared" si="0"/>
        <v>-10</v>
      </c>
      <c r="C4" s="861">
        <v>0.63700000000000001</v>
      </c>
      <c r="F4" s="859"/>
      <c r="I4" s="862">
        <f>(30-16)/(30-17)</f>
        <v>1.0769230769230769</v>
      </c>
      <c r="J4" s="863" t="s">
        <v>1629</v>
      </c>
    </row>
    <row r="5" spans="1:10" s="852" customFormat="1" ht="13.8">
      <c r="A5" s="860">
        <v>2013</v>
      </c>
      <c r="B5" s="861">
        <f t="shared" si="0"/>
        <v>-9</v>
      </c>
      <c r="C5" s="861">
        <v>0.63600000000000001</v>
      </c>
      <c r="F5" s="859"/>
    </row>
    <row r="6" spans="1:10" s="852" customFormat="1" ht="13.8">
      <c r="A6" s="860">
        <v>2014</v>
      </c>
      <c r="B6" s="861">
        <f t="shared" si="0"/>
        <v>-8</v>
      </c>
      <c r="C6" s="861">
        <v>0.61699999999999999</v>
      </c>
      <c r="F6" s="859"/>
    </row>
    <row r="7" spans="1:10" s="852" customFormat="1" thickBot="1">
      <c r="A7" s="860">
        <v>2015</v>
      </c>
      <c r="B7" s="861">
        <f t="shared" si="0"/>
        <v>-7</v>
      </c>
      <c r="C7" s="861">
        <v>0.59599999999999997</v>
      </c>
      <c r="F7" s="859"/>
    </row>
    <row r="8" spans="1:10" s="852" customFormat="1" ht="15.6">
      <c r="A8" s="860">
        <v>2016</v>
      </c>
      <c r="B8" s="861">
        <f t="shared" si="0"/>
        <v>-6</v>
      </c>
      <c r="C8" s="861">
        <v>0.58399999999999996</v>
      </c>
      <c r="F8" s="859"/>
      <c r="I8" s="864" t="s">
        <v>1630</v>
      </c>
      <c r="J8" s="865" t="s">
        <v>1628</v>
      </c>
    </row>
    <row r="9" spans="1:10" s="852" customFormat="1" ht="13.8">
      <c r="A9" s="860">
        <v>2017</v>
      </c>
      <c r="B9" s="861">
        <f t="shared" si="0"/>
        <v>-5</v>
      </c>
      <c r="C9" s="861">
        <v>0.57899999999999996</v>
      </c>
      <c r="D9" s="861">
        <v>15</v>
      </c>
      <c r="E9" s="861">
        <f>0.008+0.045*(C9/0.9)*$D$9/D9</f>
        <v>3.6949999999999997E-2</v>
      </c>
      <c r="F9" s="866">
        <f>E9*1000</f>
        <v>36.949999999999996</v>
      </c>
      <c r="I9" s="860">
        <v>2017</v>
      </c>
      <c r="J9" s="866">
        <f t="shared" ref="J9:J42" si="1">F9</f>
        <v>36.949999999999996</v>
      </c>
    </row>
    <row r="10" spans="1:10" s="852" customFormat="1" ht="13.8">
      <c r="A10" s="860">
        <v>2018</v>
      </c>
      <c r="B10" s="861">
        <f t="shared" si="0"/>
        <v>-4</v>
      </c>
      <c r="C10" s="861">
        <v>0.57399999999999995</v>
      </c>
      <c r="D10" s="861">
        <f t="shared" ref="D10:D21" si="2">D9+$I$4</f>
        <v>16.076923076923077</v>
      </c>
      <c r="E10" s="861">
        <f t="shared" ref="E10:E42" si="3">0.008+0.045*(C10/0.9)*$D$9/D10</f>
        <v>3.4777511961722476E-2</v>
      </c>
      <c r="F10" s="866">
        <f t="shared" ref="F10:F42" si="4">E10*1000</f>
        <v>34.777511961722475</v>
      </c>
      <c r="I10" s="860">
        <v>2018</v>
      </c>
      <c r="J10" s="866">
        <f t="shared" si="1"/>
        <v>34.777511961722475</v>
      </c>
    </row>
    <row r="11" spans="1:10" s="852" customFormat="1" ht="13.8">
      <c r="A11" s="860">
        <v>2019</v>
      </c>
      <c r="B11" s="861">
        <f t="shared" si="0"/>
        <v>-3</v>
      </c>
      <c r="C11" s="861">
        <v>0.56000000000000005</v>
      </c>
      <c r="D11" s="861">
        <f t="shared" si="2"/>
        <v>17.153846153846153</v>
      </c>
      <c r="E11" s="861">
        <f t="shared" si="3"/>
        <v>3.2484304932735422E-2</v>
      </c>
      <c r="F11" s="866">
        <f t="shared" si="4"/>
        <v>32.484304932735419</v>
      </c>
      <c r="I11" s="860">
        <v>2019</v>
      </c>
      <c r="J11" s="866">
        <f t="shared" si="1"/>
        <v>32.484304932735419</v>
      </c>
    </row>
    <row r="12" spans="1:10" s="852" customFormat="1" ht="13.8">
      <c r="A12" s="860">
        <v>2020</v>
      </c>
      <c r="B12" s="861">
        <f t="shared" si="0"/>
        <v>-2</v>
      </c>
      <c r="C12" s="861">
        <v>0.55000000000000004</v>
      </c>
      <c r="D12" s="861">
        <f>D11+$I$4</f>
        <v>18.23076923076923</v>
      </c>
      <c r="E12" s="861">
        <f t="shared" si="3"/>
        <v>3.0626582278481012E-2</v>
      </c>
      <c r="F12" s="866">
        <f t="shared" si="4"/>
        <v>30.626582278481013</v>
      </c>
      <c r="I12" s="860">
        <v>2020</v>
      </c>
      <c r="J12" s="866">
        <f t="shared" si="1"/>
        <v>30.626582278481013</v>
      </c>
    </row>
    <row r="13" spans="1:10" s="852" customFormat="1" ht="13.8">
      <c r="A13" s="860">
        <v>2021</v>
      </c>
      <c r="B13" s="861">
        <f t="shared" si="0"/>
        <v>-1</v>
      </c>
      <c r="C13" s="861">
        <v>0.54</v>
      </c>
      <c r="D13" s="861">
        <f t="shared" si="2"/>
        <v>19.307692307692307</v>
      </c>
      <c r="E13" s="861">
        <f t="shared" si="3"/>
        <v>2.8976095617529882E-2</v>
      </c>
      <c r="F13" s="866">
        <f t="shared" si="4"/>
        <v>28.976095617529882</v>
      </c>
      <c r="I13" s="860">
        <v>2021</v>
      </c>
      <c r="J13" s="866">
        <f t="shared" si="1"/>
        <v>28.976095617529882</v>
      </c>
    </row>
    <row r="14" spans="1:10" s="852" customFormat="1" ht="13.8">
      <c r="A14" s="867">
        <v>2022</v>
      </c>
      <c r="B14" s="868">
        <f>A14-$A$14</f>
        <v>0</v>
      </c>
      <c r="C14" s="868">
        <v>0.53</v>
      </c>
      <c r="D14" s="861">
        <f t="shared" si="2"/>
        <v>20.384615384615383</v>
      </c>
      <c r="E14" s="861">
        <f>0.008+0.045*(C14/0.9)*$D$9/D14</f>
        <v>2.75E-2</v>
      </c>
      <c r="F14" s="866">
        <f t="shared" si="4"/>
        <v>27.5</v>
      </c>
      <c r="I14" s="860">
        <v>2022</v>
      </c>
      <c r="J14" s="866">
        <f t="shared" si="1"/>
        <v>27.5</v>
      </c>
    </row>
    <row r="15" spans="1:10" s="852" customFormat="1" ht="13.8">
      <c r="A15" s="860">
        <v>2023</v>
      </c>
      <c r="B15" s="861">
        <f t="shared" ref="B15:B42" si="5">A15-$A$14</f>
        <v>1</v>
      </c>
      <c r="C15" s="861">
        <f>$C$14-($C$14-0.1)/(2050-2022)*B15</f>
        <v>0.51464285714285718</v>
      </c>
      <c r="D15" s="861">
        <f t="shared" si="2"/>
        <v>21.46153846153846</v>
      </c>
      <c r="E15" s="861">
        <f t="shared" si="3"/>
        <v>2.5984831029185872E-2</v>
      </c>
      <c r="F15" s="866">
        <f t="shared" si="4"/>
        <v>25.984831029185873</v>
      </c>
      <c r="I15" s="860">
        <v>2023</v>
      </c>
      <c r="J15" s="866">
        <f t="shared" si="1"/>
        <v>25.984831029185873</v>
      </c>
    </row>
    <row r="16" spans="1:10" s="852" customFormat="1" ht="13.8">
      <c r="A16" s="860">
        <v>2024</v>
      </c>
      <c r="B16" s="861">
        <f t="shared" si="5"/>
        <v>2</v>
      </c>
      <c r="C16" s="861">
        <f t="shared" ref="C16:C42" si="6">$C$14-($C$14-0.1)/(2050-2022)*B16</f>
        <v>0.49928571428571433</v>
      </c>
      <c r="D16" s="861">
        <f t="shared" si="2"/>
        <v>22.538461538461537</v>
      </c>
      <c r="E16" s="861">
        <f>0.008+0.045*(C16/0.9)*$D$9/D16</f>
        <v>2.4614456362749879E-2</v>
      </c>
      <c r="F16" s="866">
        <f t="shared" si="4"/>
        <v>24.614456362749877</v>
      </c>
      <c r="I16" s="860">
        <v>2024</v>
      </c>
      <c r="J16" s="866">
        <f t="shared" si="1"/>
        <v>24.614456362749877</v>
      </c>
    </row>
    <row r="17" spans="1:10" s="852" customFormat="1" ht="13.8">
      <c r="A17" s="860">
        <v>2025</v>
      </c>
      <c r="B17" s="861">
        <f t="shared" si="5"/>
        <v>3</v>
      </c>
      <c r="C17" s="861">
        <f t="shared" si="6"/>
        <v>0.48392857142857143</v>
      </c>
      <c r="D17" s="861">
        <f t="shared" si="2"/>
        <v>23.615384615384613</v>
      </c>
      <c r="E17" s="861">
        <f t="shared" si="3"/>
        <v>2.3369067007910659E-2</v>
      </c>
      <c r="F17" s="866">
        <f t="shared" si="4"/>
        <v>23.369067007910658</v>
      </c>
      <c r="I17" s="860">
        <v>2025</v>
      </c>
      <c r="J17" s="866">
        <f t="shared" si="1"/>
        <v>23.369067007910658</v>
      </c>
    </row>
    <row r="18" spans="1:10" s="852" customFormat="1" ht="13.8">
      <c r="A18" s="860">
        <v>2026</v>
      </c>
      <c r="B18" s="861">
        <f t="shared" si="5"/>
        <v>4</v>
      </c>
      <c r="C18" s="861">
        <f t="shared" si="6"/>
        <v>0.46857142857142858</v>
      </c>
      <c r="D18" s="861">
        <f t="shared" si="2"/>
        <v>24.69230769230769</v>
      </c>
      <c r="E18" s="861">
        <f t="shared" si="3"/>
        <v>2.2232309746328442E-2</v>
      </c>
      <c r="F18" s="866">
        <f t="shared" si="4"/>
        <v>22.232309746328443</v>
      </c>
      <c r="I18" s="860">
        <v>2026</v>
      </c>
      <c r="J18" s="866">
        <f t="shared" si="1"/>
        <v>22.232309746328443</v>
      </c>
    </row>
    <row r="19" spans="1:10" s="852" customFormat="1" ht="13.8">
      <c r="A19" s="860">
        <v>2027</v>
      </c>
      <c r="B19" s="861">
        <f t="shared" si="5"/>
        <v>5</v>
      </c>
      <c r="C19" s="861">
        <f t="shared" si="6"/>
        <v>0.45321428571428574</v>
      </c>
      <c r="D19" s="861">
        <f t="shared" si="2"/>
        <v>25.769230769230766</v>
      </c>
      <c r="E19" s="861">
        <f t="shared" si="3"/>
        <v>2.1190565031982946E-2</v>
      </c>
      <c r="F19" s="866">
        <f t="shared" si="4"/>
        <v>21.190565031982945</v>
      </c>
      <c r="I19" s="860">
        <v>2027</v>
      </c>
      <c r="J19" s="866">
        <f t="shared" si="1"/>
        <v>21.190565031982945</v>
      </c>
    </row>
    <row r="20" spans="1:10" s="852" customFormat="1" ht="13.8">
      <c r="A20" s="860">
        <v>2028</v>
      </c>
      <c r="B20" s="861">
        <f t="shared" si="5"/>
        <v>6</v>
      </c>
      <c r="C20" s="861">
        <f t="shared" si="6"/>
        <v>0.43785714285714289</v>
      </c>
      <c r="D20" s="861">
        <f t="shared" si="2"/>
        <v>26.846153846153843</v>
      </c>
      <c r="E20" s="861">
        <f t="shared" si="3"/>
        <v>2.023239869013508E-2</v>
      </c>
      <c r="F20" s="866">
        <f t="shared" si="4"/>
        <v>20.232398690135081</v>
      </c>
      <c r="I20" s="860">
        <v>2028</v>
      </c>
      <c r="J20" s="866">
        <f t="shared" si="1"/>
        <v>20.232398690135081</v>
      </c>
    </row>
    <row r="21" spans="1:10" s="852" customFormat="1" ht="13.8">
      <c r="A21" s="860">
        <v>2029</v>
      </c>
      <c r="B21" s="861">
        <f t="shared" si="5"/>
        <v>7</v>
      </c>
      <c r="C21" s="861">
        <f t="shared" si="6"/>
        <v>0.42249999999999999</v>
      </c>
      <c r="D21" s="861">
        <f t="shared" si="2"/>
        <v>27.92307692307692</v>
      </c>
      <c r="E21" s="861">
        <f t="shared" si="3"/>
        <v>1.934814049586777E-2</v>
      </c>
      <c r="F21" s="866">
        <f t="shared" si="4"/>
        <v>19.348140495867771</v>
      </c>
      <c r="I21" s="860">
        <v>2029</v>
      </c>
      <c r="J21" s="866">
        <f t="shared" si="1"/>
        <v>19.348140495867771</v>
      </c>
    </row>
    <row r="22" spans="1:10" s="852" customFormat="1" ht="13.8">
      <c r="A22" s="860">
        <v>2030</v>
      </c>
      <c r="B22" s="861">
        <f t="shared" si="5"/>
        <v>8</v>
      </c>
      <c r="C22" s="861">
        <f t="shared" si="6"/>
        <v>0.40714285714285714</v>
      </c>
      <c r="D22" s="861">
        <v>30</v>
      </c>
      <c r="E22" s="861">
        <f t="shared" si="3"/>
        <v>1.8178571428571426E-2</v>
      </c>
      <c r="F22" s="866">
        <f t="shared" si="4"/>
        <v>18.178571428571427</v>
      </c>
      <c r="I22" s="860">
        <v>2030</v>
      </c>
      <c r="J22" s="866">
        <f t="shared" si="1"/>
        <v>18.178571428571427</v>
      </c>
    </row>
    <row r="23" spans="1:10" s="852" customFormat="1" ht="13.8">
      <c r="A23" s="860">
        <v>2031</v>
      </c>
      <c r="B23" s="861">
        <f t="shared" si="5"/>
        <v>9</v>
      </c>
      <c r="C23" s="861">
        <f t="shared" si="6"/>
        <v>0.39178571428571429</v>
      </c>
      <c r="D23" s="861">
        <v>30</v>
      </c>
      <c r="E23" s="861">
        <f t="shared" si="3"/>
        <v>1.7794642857142856E-2</v>
      </c>
      <c r="F23" s="866">
        <f t="shared" si="4"/>
        <v>17.794642857142858</v>
      </c>
      <c r="I23" s="860">
        <v>2031</v>
      </c>
      <c r="J23" s="866">
        <f t="shared" si="1"/>
        <v>17.794642857142858</v>
      </c>
    </row>
    <row r="24" spans="1:10" s="852" customFormat="1" ht="13.8">
      <c r="A24" s="860">
        <v>2032</v>
      </c>
      <c r="B24" s="861">
        <f t="shared" si="5"/>
        <v>10</v>
      </c>
      <c r="C24" s="861">
        <f t="shared" si="6"/>
        <v>0.37642857142857145</v>
      </c>
      <c r="D24" s="861">
        <v>30</v>
      </c>
      <c r="E24" s="861">
        <f t="shared" si="3"/>
        <v>1.7410714285714286E-2</v>
      </c>
      <c r="F24" s="866">
        <f t="shared" si="4"/>
        <v>17.410714285714285</v>
      </c>
      <c r="I24" s="860">
        <v>2032</v>
      </c>
      <c r="J24" s="866">
        <f t="shared" si="1"/>
        <v>17.410714285714285</v>
      </c>
    </row>
    <row r="25" spans="1:10" s="852" customFormat="1" ht="13.8">
      <c r="A25" s="860">
        <v>2033</v>
      </c>
      <c r="B25" s="861">
        <f t="shared" si="5"/>
        <v>11</v>
      </c>
      <c r="C25" s="861">
        <f t="shared" si="6"/>
        <v>0.3610714285714286</v>
      </c>
      <c r="D25" s="861">
        <v>30</v>
      </c>
      <c r="E25" s="861">
        <f t="shared" si="3"/>
        <v>1.7026785714285717E-2</v>
      </c>
      <c r="F25" s="866">
        <f t="shared" si="4"/>
        <v>17.026785714285715</v>
      </c>
      <c r="I25" s="860">
        <v>2033</v>
      </c>
      <c r="J25" s="866">
        <f t="shared" si="1"/>
        <v>17.026785714285715</v>
      </c>
    </row>
    <row r="26" spans="1:10" s="852" customFormat="1" ht="13.8">
      <c r="A26" s="860">
        <v>2034</v>
      </c>
      <c r="B26" s="861">
        <f t="shared" si="5"/>
        <v>12</v>
      </c>
      <c r="C26" s="861">
        <f t="shared" si="6"/>
        <v>0.34571428571428575</v>
      </c>
      <c r="D26" s="861">
        <v>30</v>
      </c>
      <c r="E26" s="861">
        <f t="shared" si="3"/>
        <v>1.6642857142857143E-2</v>
      </c>
      <c r="F26" s="866">
        <f t="shared" si="4"/>
        <v>16.642857142857142</v>
      </c>
      <c r="I26" s="860">
        <v>2034</v>
      </c>
      <c r="J26" s="866">
        <f t="shared" si="1"/>
        <v>16.642857142857142</v>
      </c>
    </row>
    <row r="27" spans="1:10" s="852" customFormat="1" ht="13.8">
      <c r="A27" s="860">
        <v>2035</v>
      </c>
      <c r="B27" s="861">
        <f t="shared" si="5"/>
        <v>13</v>
      </c>
      <c r="C27" s="861">
        <f t="shared" si="6"/>
        <v>0.33035714285714285</v>
      </c>
      <c r="D27" s="861">
        <v>30</v>
      </c>
      <c r="E27" s="861">
        <f t="shared" si="3"/>
        <v>1.625892857142857E-2</v>
      </c>
      <c r="F27" s="866">
        <f t="shared" si="4"/>
        <v>16.258928571428569</v>
      </c>
      <c r="I27" s="860">
        <v>2035</v>
      </c>
      <c r="J27" s="866">
        <f t="shared" si="1"/>
        <v>16.258928571428569</v>
      </c>
    </row>
    <row r="28" spans="1:10" s="852" customFormat="1" ht="13.8">
      <c r="A28" s="860">
        <v>2036</v>
      </c>
      <c r="B28" s="861">
        <f t="shared" si="5"/>
        <v>14</v>
      </c>
      <c r="C28" s="861">
        <f t="shared" si="6"/>
        <v>0.315</v>
      </c>
      <c r="D28" s="861">
        <v>30</v>
      </c>
      <c r="E28" s="861">
        <f t="shared" si="3"/>
        <v>1.5875E-2</v>
      </c>
      <c r="F28" s="866">
        <f t="shared" si="4"/>
        <v>15.875</v>
      </c>
      <c r="I28" s="860">
        <v>2036</v>
      </c>
      <c r="J28" s="866">
        <f t="shared" si="1"/>
        <v>15.875</v>
      </c>
    </row>
    <row r="29" spans="1:10" s="852" customFormat="1" ht="13.8">
      <c r="A29" s="860">
        <v>2037</v>
      </c>
      <c r="B29" s="861">
        <f t="shared" si="5"/>
        <v>15</v>
      </c>
      <c r="C29" s="861">
        <f t="shared" si="6"/>
        <v>0.2996428571428571</v>
      </c>
      <c r="D29" s="861">
        <v>30</v>
      </c>
      <c r="E29" s="861">
        <f t="shared" si="3"/>
        <v>1.5491071428571427E-2</v>
      </c>
      <c r="F29" s="866">
        <f t="shared" si="4"/>
        <v>15.491071428571427</v>
      </c>
      <c r="I29" s="860">
        <v>2037</v>
      </c>
      <c r="J29" s="866">
        <f t="shared" si="1"/>
        <v>15.491071428571427</v>
      </c>
    </row>
    <row r="30" spans="1:10" s="852" customFormat="1" ht="13.8">
      <c r="A30" s="860">
        <v>2038</v>
      </c>
      <c r="B30" s="861">
        <f t="shared" si="5"/>
        <v>16</v>
      </c>
      <c r="C30" s="861">
        <f t="shared" si="6"/>
        <v>0.28428571428571425</v>
      </c>
      <c r="D30" s="861">
        <v>30</v>
      </c>
      <c r="E30" s="861">
        <f t="shared" si="3"/>
        <v>1.5107142857142855E-2</v>
      </c>
      <c r="F30" s="866">
        <f t="shared" si="4"/>
        <v>15.107142857142856</v>
      </c>
      <c r="I30" s="860">
        <v>2038</v>
      </c>
      <c r="J30" s="866">
        <f t="shared" si="1"/>
        <v>15.107142857142856</v>
      </c>
    </row>
    <row r="31" spans="1:10" s="852" customFormat="1" ht="13.8">
      <c r="A31" s="860">
        <v>2039</v>
      </c>
      <c r="B31" s="861">
        <f t="shared" si="5"/>
        <v>17</v>
      </c>
      <c r="C31" s="861">
        <f t="shared" si="6"/>
        <v>0.26892857142857141</v>
      </c>
      <c r="D31" s="861">
        <v>30</v>
      </c>
      <c r="E31" s="861">
        <f t="shared" si="3"/>
        <v>1.4723214285714286E-2</v>
      </c>
      <c r="F31" s="866">
        <f t="shared" si="4"/>
        <v>14.723214285714286</v>
      </c>
      <c r="I31" s="860">
        <v>2039</v>
      </c>
      <c r="J31" s="866">
        <f t="shared" si="1"/>
        <v>14.723214285714286</v>
      </c>
    </row>
    <row r="32" spans="1:10" s="852" customFormat="1" ht="13.8">
      <c r="A32" s="860">
        <v>2040</v>
      </c>
      <c r="B32" s="861">
        <f t="shared" si="5"/>
        <v>18</v>
      </c>
      <c r="C32" s="861">
        <f t="shared" si="6"/>
        <v>0.25357142857142856</v>
      </c>
      <c r="D32" s="861">
        <v>30</v>
      </c>
      <c r="E32" s="861">
        <f t="shared" si="3"/>
        <v>1.4339285714285714E-2</v>
      </c>
      <c r="F32" s="866">
        <f t="shared" si="4"/>
        <v>14.339285714285714</v>
      </c>
      <c r="I32" s="860">
        <v>2040</v>
      </c>
      <c r="J32" s="866">
        <f t="shared" si="1"/>
        <v>14.339285714285714</v>
      </c>
    </row>
    <row r="33" spans="1:10" s="852" customFormat="1" ht="13.8">
      <c r="A33" s="860">
        <v>2041</v>
      </c>
      <c r="B33" s="861">
        <f t="shared" si="5"/>
        <v>19</v>
      </c>
      <c r="C33" s="861">
        <f t="shared" si="6"/>
        <v>0.23821428571428571</v>
      </c>
      <c r="D33" s="861">
        <v>30</v>
      </c>
      <c r="E33" s="861">
        <f t="shared" si="3"/>
        <v>1.3955357142857143E-2</v>
      </c>
      <c r="F33" s="866">
        <f t="shared" si="4"/>
        <v>13.955357142857142</v>
      </c>
      <c r="I33" s="860">
        <v>2041</v>
      </c>
      <c r="J33" s="866">
        <f t="shared" si="1"/>
        <v>13.955357142857142</v>
      </c>
    </row>
    <row r="34" spans="1:10" s="852" customFormat="1" ht="13.8">
      <c r="A34" s="860">
        <v>2042</v>
      </c>
      <c r="B34" s="861">
        <f t="shared" si="5"/>
        <v>20</v>
      </c>
      <c r="C34" s="861">
        <f t="shared" si="6"/>
        <v>0.22285714285714286</v>
      </c>
      <c r="D34" s="861">
        <v>30</v>
      </c>
      <c r="E34" s="861">
        <f t="shared" si="3"/>
        <v>1.3571428571428571E-2</v>
      </c>
      <c r="F34" s="866">
        <f t="shared" si="4"/>
        <v>13.571428571428571</v>
      </c>
      <c r="I34" s="860">
        <v>2042</v>
      </c>
      <c r="J34" s="866">
        <f t="shared" si="1"/>
        <v>13.571428571428571</v>
      </c>
    </row>
    <row r="35" spans="1:10" s="852" customFormat="1" ht="13.8">
      <c r="A35" s="860">
        <v>2043</v>
      </c>
      <c r="B35" s="861">
        <f t="shared" si="5"/>
        <v>21</v>
      </c>
      <c r="C35" s="861">
        <f t="shared" si="6"/>
        <v>0.20749999999999996</v>
      </c>
      <c r="D35" s="861">
        <v>30</v>
      </c>
      <c r="E35" s="861">
        <f t="shared" si="3"/>
        <v>1.3187499999999998E-2</v>
      </c>
      <c r="F35" s="866">
        <f t="shared" si="4"/>
        <v>13.187499999999998</v>
      </c>
      <c r="I35" s="860">
        <v>2043</v>
      </c>
      <c r="J35" s="866">
        <f t="shared" si="1"/>
        <v>13.187499999999998</v>
      </c>
    </row>
    <row r="36" spans="1:10" s="852" customFormat="1" ht="13.8">
      <c r="A36" s="860">
        <v>2044</v>
      </c>
      <c r="B36" s="861">
        <f t="shared" si="5"/>
        <v>22</v>
      </c>
      <c r="C36" s="861">
        <f t="shared" si="6"/>
        <v>0.19214285714285712</v>
      </c>
      <c r="D36" s="861">
        <v>30</v>
      </c>
      <c r="E36" s="861">
        <f t="shared" si="3"/>
        <v>1.2803571428571428E-2</v>
      </c>
      <c r="F36" s="866">
        <f t="shared" si="4"/>
        <v>12.803571428571429</v>
      </c>
      <c r="I36" s="860">
        <v>2044</v>
      </c>
      <c r="J36" s="866">
        <f t="shared" si="1"/>
        <v>12.803571428571429</v>
      </c>
    </row>
    <row r="37" spans="1:10" s="852" customFormat="1" ht="13.8">
      <c r="A37" s="860">
        <v>2045</v>
      </c>
      <c r="B37" s="861">
        <f t="shared" si="5"/>
        <v>23</v>
      </c>
      <c r="C37" s="861">
        <f t="shared" si="6"/>
        <v>0.17678571428571427</v>
      </c>
      <c r="D37" s="861">
        <v>30</v>
      </c>
      <c r="E37" s="861">
        <f t="shared" si="3"/>
        <v>1.2419642857142857E-2</v>
      </c>
      <c r="F37" s="866">
        <f t="shared" si="4"/>
        <v>12.419642857142856</v>
      </c>
      <c r="I37" s="860">
        <v>2045</v>
      </c>
      <c r="J37" s="866">
        <f t="shared" si="1"/>
        <v>12.419642857142856</v>
      </c>
    </row>
    <row r="38" spans="1:10" s="852" customFormat="1" ht="13.8">
      <c r="A38" s="860">
        <v>2046</v>
      </c>
      <c r="B38" s="861">
        <f t="shared" si="5"/>
        <v>24</v>
      </c>
      <c r="C38" s="861">
        <f t="shared" si="6"/>
        <v>0.16142857142857142</v>
      </c>
      <c r="D38" s="861">
        <v>30</v>
      </c>
      <c r="E38" s="861">
        <f t="shared" si="3"/>
        <v>1.2035714285714285E-2</v>
      </c>
      <c r="F38" s="866">
        <f t="shared" si="4"/>
        <v>12.035714285714285</v>
      </c>
      <c r="I38" s="860">
        <v>2046</v>
      </c>
      <c r="J38" s="866">
        <f t="shared" si="1"/>
        <v>12.035714285714285</v>
      </c>
    </row>
    <row r="39" spans="1:10" s="852" customFormat="1" ht="13.8">
      <c r="A39" s="860">
        <v>2047</v>
      </c>
      <c r="B39" s="861">
        <f t="shared" si="5"/>
        <v>25</v>
      </c>
      <c r="C39" s="861">
        <f t="shared" si="6"/>
        <v>0.14607142857142857</v>
      </c>
      <c r="D39" s="861">
        <v>30</v>
      </c>
      <c r="E39" s="861">
        <f t="shared" si="3"/>
        <v>1.1651785714285715E-2</v>
      </c>
      <c r="F39" s="866">
        <f t="shared" si="4"/>
        <v>11.651785714285715</v>
      </c>
      <c r="I39" s="860">
        <v>2047</v>
      </c>
      <c r="J39" s="866">
        <f t="shared" si="1"/>
        <v>11.651785714285715</v>
      </c>
    </row>
    <row r="40" spans="1:10" s="852" customFormat="1" ht="13.8">
      <c r="A40" s="860">
        <v>2048</v>
      </c>
      <c r="B40" s="861">
        <f t="shared" si="5"/>
        <v>26</v>
      </c>
      <c r="C40" s="861">
        <f t="shared" si="6"/>
        <v>0.13071428571428567</v>
      </c>
      <c r="D40" s="861">
        <v>30</v>
      </c>
      <c r="E40" s="861">
        <f t="shared" si="3"/>
        <v>1.1267857142857142E-2</v>
      </c>
      <c r="F40" s="866">
        <f t="shared" si="4"/>
        <v>11.267857142857142</v>
      </c>
      <c r="I40" s="860">
        <v>2048</v>
      </c>
      <c r="J40" s="866">
        <f t="shared" si="1"/>
        <v>11.267857142857142</v>
      </c>
    </row>
    <row r="41" spans="1:10" s="852" customFormat="1" ht="13.8">
      <c r="A41" s="860">
        <v>2049</v>
      </c>
      <c r="B41" s="861">
        <f t="shared" si="5"/>
        <v>27</v>
      </c>
      <c r="C41" s="861">
        <f t="shared" si="6"/>
        <v>0.11535714285714282</v>
      </c>
      <c r="D41" s="861">
        <v>30</v>
      </c>
      <c r="E41" s="861">
        <f t="shared" si="3"/>
        <v>1.088392857142857E-2</v>
      </c>
      <c r="F41" s="866">
        <f t="shared" si="4"/>
        <v>10.883928571428571</v>
      </c>
      <c r="I41" s="860">
        <v>2049</v>
      </c>
      <c r="J41" s="866">
        <f t="shared" si="1"/>
        <v>10.883928571428571</v>
      </c>
    </row>
    <row r="42" spans="1:10" s="852" customFormat="1" thickBot="1">
      <c r="A42" s="869">
        <v>2050</v>
      </c>
      <c r="B42" s="870">
        <f t="shared" si="5"/>
        <v>28</v>
      </c>
      <c r="C42" s="870">
        <f t="shared" si="6"/>
        <v>9.9999999999999978E-2</v>
      </c>
      <c r="D42" s="870">
        <v>30</v>
      </c>
      <c r="E42" s="870">
        <f t="shared" si="3"/>
        <v>1.0499999999999999E-2</v>
      </c>
      <c r="F42" s="871">
        <f t="shared" si="4"/>
        <v>10.499999999999998</v>
      </c>
      <c r="I42" s="869">
        <v>2050</v>
      </c>
      <c r="J42" s="871">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4"/>
  <cols>
    <col min="1" max="1" width="20.88671875" bestFit="1" customWidth="1"/>
    <col min="2" max="2" width="23.109375" bestFit="1" customWidth="1"/>
    <col min="3" max="3" width="23.109375" customWidth="1"/>
    <col min="4" max="4" width="26.88671875" customWidth="1"/>
    <col min="5" max="5" width="15.33203125" bestFit="1" customWidth="1"/>
  </cols>
  <sheetData>
    <row r="1" spans="1:5" ht="21.6" thickBot="1">
      <c r="A1" s="971" t="s">
        <v>1506</v>
      </c>
      <c r="B1" s="972"/>
      <c r="C1" s="972"/>
      <c r="D1" s="972"/>
      <c r="E1" s="973"/>
    </row>
    <row r="2" spans="1:5" ht="15.6">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4"/>
  <cols>
    <col min="1" max="1" width="20.21875" bestFit="1" customWidth="1"/>
    <col min="2" max="2" width="27.21875" customWidth="1"/>
    <col min="3" max="9" width="22.109375" bestFit="1" customWidth="1"/>
    <col min="10" max="10" width="34.77734375" bestFit="1" customWidth="1"/>
    <col min="11" max="11" width="29.109375" bestFit="1" customWidth="1"/>
    <col min="12" max="12" width="22.109375" bestFit="1" customWidth="1"/>
    <col min="13" max="13" width="27.6640625" bestFit="1" customWidth="1"/>
    <col min="14" max="15" width="22.109375" bestFit="1" customWidth="1"/>
    <col min="16" max="16" width="11.77734375" bestFit="1" customWidth="1"/>
    <col min="17" max="17" width="12" bestFit="1" customWidth="1"/>
    <col min="18" max="18" width="17.6640625" customWidth="1"/>
    <col min="20" max="20" width="35.109375" bestFit="1" customWidth="1"/>
    <col min="21" max="21" width="16" bestFit="1" customWidth="1"/>
    <col min="22" max="22" width="15.88671875" bestFit="1" customWidth="1"/>
    <col min="23" max="23" width="14.33203125" bestFit="1" customWidth="1"/>
    <col min="24" max="24" width="13.6640625" bestFit="1" customWidth="1"/>
    <col min="25" max="25" width="26.6640625" customWidth="1"/>
    <col min="26" max="26" width="15.88671875" bestFit="1" customWidth="1"/>
    <col min="29" max="29" width="18" bestFit="1" customWidth="1"/>
    <col min="30" max="30" width="16.6640625" customWidth="1"/>
    <col min="31" max="31" width="14.33203125" bestFit="1" customWidth="1"/>
    <col min="32" max="33" width="12.21875" bestFit="1" customWidth="1"/>
    <col min="34" max="35" width="13.33203125" bestFit="1" customWidth="1"/>
    <col min="38" max="38" width="18" bestFit="1" customWidth="1"/>
    <col min="39" max="39" width="4.6640625" bestFit="1" customWidth="1"/>
    <col min="40" max="40" width="10.77734375" bestFit="1" customWidth="1"/>
    <col min="41" max="41" width="8.77734375" bestFit="1" customWidth="1"/>
    <col min="42" max="42" width="9.77734375" bestFit="1" customWidth="1"/>
    <col min="43" max="43" width="6.109375" bestFit="1" customWidth="1"/>
    <col min="44" max="44" width="10.77734375" bestFit="1" customWidth="1"/>
    <col min="47" max="47" width="18" bestFit="1" customWidth="1"/>
    <col min="48" max="48" width="4.88671875" bestFit="1" customWidth="1"/>
    <col min="49" max="49" width="10.77734375" bestFit="1" customWidth="1"/>
    <col min="50" max="50" width="8.77734375" bestFit="1" customWidth="1"/>
    <col min="51" max="51" width="9.77734375" bestFit="1" customWidth="1"/>
    <col min="52" max="52" width="6.109375" bestFit="1" customWidth="1"/>
    <col min="53" max="53" width="9.77734375" bestFit="1" customWidth="1"/>
    <col min="56" max="56" width="18" bestFit="1" customWidth="1"/>
    <col min="58" max="58" width="10.6640625" bestFit="1" customWidth="1"/>
    <col min="60" max="60" width="9.6640625" bestFit="1" customWidth="1"/>
    <col min="61" max="61" width="6.21875" bestFit="1" customWidth="1"/>
    <col min="65" max="65" width="18" bestFit="1" customWidth="1"/>
    <col min="66" max="66" width="10.6640625" bestFit="1" customWidth="1"/>
    <col min="67" max="67" width="12.21875" bestFit="1" customWidth="1"/>
    <col min="68" max="69" width="9.6640625" bestFit="1" customWidth="1"/>
    <col min="70" max="71" width="10.6640625" bestFit="1" customWidth="1"/>
  </cols>
  <sheetData>
    <row r="1" spans="1:72" ht="18.600000000000001" thickBot="1">
      <c r="A1" s="974" t="s">
        <v>43</v>
      </c>
      <c r="B1" s="975"/>
      <c r="C1" s="975"/>
      <c r="D1" s="975"/>
      <c r="E1" s="975"/>
      <c r="F1" s="975"/>
      <c r="G1" s="975"/>
      <c r="H1" s="975"/>
      <c r="I1" s="975"/>
      <c r="J1" s="975"/>
      <c r="K1" s="975"/>
      <c r="L1" s="975"/>
      <c r="M1" s="975"/>
      <c r="N1" s="975"/>
      <c r="O1" s="976"/>
    </row>
    <row r="2" spans="1:72" ht="29.4"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12" t="s">
        <v>99</v>
      </c>
      <c r="U2" s="913"/>
      <c r="V2" s="913"/>
      <c r="W2" s="913"/>
      <c r="X2" s="913"/>
      <c r="Y2" s="913"/>
      <c r="Z2" s="913"/>
      <c r="AA2" s="914"/>
      <c r="AC2" s="912" t="s">
        <v>101</v>
      </c>
      <c r="AD2" s="913"/>
      <c r="AE2" s="913"/>
      <c r="AF2" s="913"/>
      <c r="AG2" s="913"/>
      <c r="AH2" s="913"/>
      <c r="AI2" s="913"/>
      <c r="AJ2" s="914"/>
      <c r="AL2" s="912" t="s">
        <v>103</v>
      </c>
      <c r="AM2" s="913"/>
      <c r="AN2" s="913"/>
      <c r="AO2" s="913"/>
      <c r="AP2" s="913"/>
      <c r="AQ2" s="913"/>
      <c r="AR2" s="913"/>
      <c r="AS2" s="914"/>
      <c r="AU2" s="912" t="s">
        <v>102</v>
      </c>
      <c r="AV2" s="913"/>
      <c r="AW2" s="913"/>
      <c r="AX2" s="913"/>
      <c r="AY2" s="913"/>
      <c r="AZ2" s="913"/>
      <c r="BA2" s="913"/>
      <c r="BB2" s="914"/>
      <c r="BD2" s="904" t="s">
        <v>104</v>
      </c>
      <c r="BE2" s="905"/>
      <c r="BF2" s="905"/>
      <c r="BG2" s="905"/>
      <c r="BH2" s="905"/>
      <c r="BI2" s="905"/>
      <c r="BJ2" s="905"/>
      <c r="BK2" s="906"/>
      <c r="BM2" s="915" t="s">
        <v>105</v>
      </c>
      <c r="BN2" s="916"/>
      <c r="BO2" s="916"/>
      <c r="BP2" s="916"/>
      <c r="BQ2" s="916"/>
      <c r="BR2" s="916"/>
      <c r="BS2" s="916"/>
      <c r="BT2" s="917"/>
    </row>
    <row r="3" spans="1:72" ht="43.2">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74" t="s">
        <v>174</v>
      </c>
      <c r="B13" s="975"/>
      <c r="C13" s="975"/>
      <c r="D13" s="975"/>
      <c r="E13" s="975"/>
      <c r="F13" s="975"/>
      <c r="G13" s="975"/>
      <c r="J13" s="974" t="s">
        <v>183</v>
      </c>
      <c r="K13" s="975"/>
      <c r="L13" s="975"/>
      <c r="M13" s="975"/>
      <c r="N13" s="975"/>
      <c r="O13" s="975"/>
      <c r="P13" s="975"/>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29.4"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29.4"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29.4"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29.4"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600000000000001"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904" t="s">
        <v>117</v>
      </c>
      <c r="U20" s="905"/>
      <c r="V20" s="905"/>
      <c r="W20" s="905"/>
      <c r="X20" s="905"/>
      <c r="Y20" s="905"/>
      <c r="Z20" s="905"/>
      <c r="AA20" s="906"/>
      <c r="AC20" s="912" t="s">
        <v>116</v>
      </c>
      <c r="AD20" s="913"/>
      <c r="AE20" s="913"/>
      <c r="AF20" s="913"/>
      <c r="AG20" s="913"/>
      <c r="AH20" s="913"/>
      <c r="AI20" s="913"/>
      <c r="AJ20" s="914"/>
      <c r="AL20" s="912" t="s">
        <v>115</v>
      </c>
      <c r="AM20" s="913"/>
      <c r="AN20" s="913"/>
      <c r="AO20" s="913"/>
      <c r="AP20" s="913"/>
      <c r="AQ20" s="913"/>
      <c r="AR20" s="913"/>
      <c r="AS20" s="914"/>
      <c r="AU20" s="912" t="s">
        <v>114</v>
      </c>
      <c r="AV20" s="913"/>
      <c r="AW20" s="913"/>
      <c r="AX20" s="913"/>
      <c r="AY20" s="913"/>
      <c r="AZ20" s="913"/>
      <c r="BA20" s="913"/>
      <c r="BB20" s="914"/>
      <c r="BD20" s="912" t="s">
        <v>113</v>
      </c>
      <c r="BE20" s="913"/>
      <c r="BF20" s="913"/>
      <c r="BG20" s="913"/>
      <c r="BH20" s="913"/>
      <c r="BI20" s="913"/>
      <c r="BJ20" s="913"/>
      <c r="BK20" s="914"/>
      <c r="BM20" s="912" t="s">
        <v>112</v>
      </c>
      <c r="BN20" s="913"/>
      <c r="BO20" s="913"/>
      <c r="BP20" s="913"/>
      <c r="BQ20" s="913"/>
      <c r="BR20" s="913"/>
      <c r="BS20" s="913"/>
      <c r="BT20" s="914"/>
    </row>
    <row r="21" spans="1:72" ht="43.8"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899999999999999" customHeight="1" thickBot="1">
      <c r="A22" s="977" t="s">
        <v>200</v>
      </c>
      <c r="B22" s="978"/>
      <c r="C22" s="978"/>
      <c r="D22" s="978"/>
      <c r="E22" s="978"/>
      <c r="F22" s="978"/>
      <c r="G22" s="978"/>
      <c r="H22" s="979"/>
      <c r="J22" s="912" t="s">
        <v>190</v>
      </c>
      <c r="K22" s="913"/>
      <c r="L22" s="913"/>
      <c r="M22" s="913"/>
      <c r="N22" s="913"/>
      <c r="O22" s="913"/>
      <c r="P22" s="913"/>
      <c r="Q22" s="914"/>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600000000000001" thickBot="1">
      <c r="A27" s="904" t="s">
        <v>481</v>
      </c>
      <c r="B27" s="905"/>
      <c r="C27" s="905"/>
      <c r="D27" s="905"/>
      <c r="E27" s="905"/>
      <c r="F27" s="905"/>
      <c r="G27" s="905"/>
      <c r="H27" s="905"/>
      <c r="I27" s="906"/>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c r="A29" s="450" t="s">
        <v>121</v>
      </c>
      <c r="B29" s="434"/>
      <c r="C29" s="434">
        <f>U35+W35+Y35+Z35+AD35+AF35+AH35+AI35</f>
        <v>2426498.1425555637</v>
      </c>
      <c r="D29" s="434"/>
      <c r="E29" s="434">
        <f>V35+X35+AE35+AG35</f>
        <v>2902224.7226336203</v>
      </c>
      <c r="F29" s="434">
        <f>'[12]רכב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c r="A31" s="450" t="s">
        <v>122</v>
      </c>
      <c r="B31" s="434">
        <f>'[12]רכב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c r="A32" s="450" t="s">
        <v>181</v>
      </c>
      <c r="C32" s="434">
        <f>[2]FuelProductionEmissionsForTrans!C32</f>
        <v>0</v>
      </c>
      <c r="D32" s="434">
        <f>'[12]רכב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c r="A33" s="450" t="s">
        <v>182</v>
      </c>
      <c r="B33" s="434">
        <f>[2]FuelProductionEmissionsForTrans!B32</f>
        <v>0</v>
      </c>
      <c r="D33" s="556">
        <f>'[12]רכב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c r="A34" s="450" t="s">
        <v>488</v>
      </c>
      <c r="B34" s="434">
        <v>0</v>
      </c>
      <c r="C34" s="434">
        <v>0</v>
      </c>
      <c r="D34" s="434">
        <v>0</v>
      </c>
      <c r="E34" s="434">
        <f>'[12]רכב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 thickBot="1">
      <c r="A35" s="546" t="s">
        <v>16</v>
      </c>
      <c r="B35" s="436">
        <v>0</v>
      </c>
      <c r="C35" s="436">
        <f>SUM(C29:C34)</f>
        <v>2502456.6925555635</v>
      </c>
      <c r="D35" s="436">
        <v>0</v>
      </c>
      <c r="E35" s="436">
        <f>SUM(E29:E34)</f>
        <v>3001885</v>
      </c>
      <c r="F35" s="436">
        <v>0</v>
      </c>
      <c r="G35" s="436">
        <f>SUM(B35:F35)</f>
        <v>5504341.6925555635</v>
      </c>
      <c r="H35" s="436">
        <f>G35*AC51</f>
        <v>5689481.3110337332</v>
      </c>
      <c r="I35" s="551">
        <f>'[12]רכב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600000000000001" thickBot="1">
      <c r="A38" s="904" t="s">
        <v>480</v>
      </c>
      <c r="B38" s="905"/>
      <c r="C38" s="905"/>
      <c r="D38" s="905"/>
      <c r="E38" s="905"/>
      <c r="F38" s="906"/>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3.2">
      <c r="A39" s="52" t="s">
        <v>191</v>
      </c>
      <c r="B39" s="53" t="s">
        <v>161</v>
      </c>
      <c r="C39" s="53" t="s">
        <v>185</v>
      </c>
      <c r="D39" s="53" t="s">
        <v>192</v>
      </c>
      <c r="E39" s="53" t="s">
        <v>193</v>
      </c>
      <c r="F39" s="545" t="s">
        <v>489</v>
      </c>
      <c r="G39" s="49"/>
    </row>
    <row r="40" spans="1:72">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 thickBot="1">
      <c r="Y46" s="52" t="s">
        <v>150</v>
      </c>
      <c r="Z46" s="116">
        <v>1.1800365860374284E-3</v>
      </c>
      <c r="AA46" s="116">
        <v>0</v>
      </c>
      <c r="AB46" s="117">
        <v>0</v>
      </c>
    </row>
    <row r="47" spans="1:72" ht="15" thickBot="1"/>
    <row r="48" spans="1:72" ht="19.5" customHeight="1" thickBot="1">
      <c r="A48" s="904" t="s">
        <v>476</v>
      </c>
      <c r="B48" s="905"/>
      <c r="C48" s="905"/>
      <c r="D48" s="905"/>
      <c r="E48" s="905"/>
      <c r="F48" s="905"/>
      <c r="G48" s="905"/>
      <c r="H48" s="906"/>
    </row>
    <row r="49" spans="1:31" ht="15" thickBot="1">
      <c r="A49" s="52" t="s">
        <v>149</v>
      </c>
      <c r="B49" s="53" t="s">
        <v>48</v>
      </c>
      <c r="C49" s="53" t="s">
        <v>108</v>
      </c>
      <c r="D49" s="53" t="s">
        <v>192</v>
      </c>
      <c r="E49" s="53" t="s">
        <v>193</v>
      </c>
      <c r="F49" s="544" t="s">
        <v>489</v>
      </c>
      <c r="G49" s="53" t="s">
        <v>165</v>
      </c>
      <c r="H49" s="54" t="s">
        <v>45</v>
      </c>
    </row>
    <row r="50" spans="1:31" ht="58.2" thickBot="1">
      <c r="A50" s="450" t="s">
        <v>60</v>
      </c>
      <c r="B50" s="438">
        <f>'[12]רכב מוטורי וסיכום'!T48</f>
        <v>5.5636485967574438E-4</v>
      </c>
      <c r="C50" s="438">
        <f>'[12]רכב מוטורי וסיכום'!U48</f>
        <v>9.654874301831621E-4</v>
      </c>
      <c r="D50" s="438">
        <f>'[12]רכב מוטורי וסיכום'!V48</f>
        <v>2.3517897743721662E-4</v>
      </c>
      <c r="E50" s="438">
        <f>'[12]רכב מוטורי וסיכום'!W48</f>
        <v>5.769537870691045E-4</v>
      </c>
      <c r="F50" s="438">
        <f>'[12]רכב מוטורי וסיכום'!X48</f>
        <v>7.5558773463151949E-5</v>
      </c>
      <c r="G50" s="615">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600000000000001" thickBot="1">
      <c r="A51" s="450" t="s">
        <v>156</v>
      </c>
      <c r="B51" s="438">
        <f>'[12]רכב מוטורי וסיכום'!T49</f>
        <v>32.560077246264704</v>
      </c>
      <c r="C51" s="438">
        <f>'[12]רכב מוטורי וסיכום'!U49</f>
        <v>56.503110792048965</v>
      </c>
      <c r="D51" s="438">
        <f>'[12]רכב מוטורי וסיכום'!V49</f>
        <v>13.763352481528328</v>
      </c>
      <c r="E51" s="438">
        <f>'[12]רכב מוטורי וסיכום'!W49</f>
        <v>33.765000696563568</v>
      </c>
      <c r="F51" s="438">
        <f>'[12]רכב מוטורי וסיכום'!X49</f>
        <v>4.4219174841974649</v>
      </c>
      <c r="G51" s="441">
        <f>[2]FuelProductionEmissionsForTrans!F50</f>
        <v>0</v>
      </c>
      <c r="H51" s="308">
        <f>'[12]רכב מוטורי וסיכום'!$AE$49</f>
        <v>9.0719328969623128</v>
      </c>
      <c r="J51" s="904" t="s">
        <v>97</v>
      </c>
      <c r="K51" s="905"/>
      <c r="L51" s="905"/>
      <c r="M51" s="905"/>
      <c r="N51" s="905"/>
      <c r="O51" s="906"/>
      <c r="X51" s="52" t="s">
        <v>60</v>
      </c>
      <c r="Y51" s="158">
        <v>5.5636485967574438E-4</v>
      </c>
      <c r="Z51" s="159">
        <v>9.6548743018316199E-4</v>
      </c>
      <c r="AA51" s="160">
        <v>28</v>
      </c>
      <c r="AC51" s="141">
        <v>1.0336351972350417</v>
      </c>
      <c r="AE51" s="142">
        <v>1.22</v>
      </c>
    </row>
    <row r="52" spans="1:31" ht="87" thickBot="1">
      <c r="A52" s="450" t="s">
        <v>170</v>
      </c>
      <c r="B52" s="440">
        <f>'[12]רכב מוטורי וסיכום'!T50</f>
        <v>2.8164830929158994E-6</v>
      </c>
      <c r="C52" s="440">
        <f>'[12]רכב מוטורי וסיכום'!U50</f>
        <v>4.887582269517385E-6</v>
      </c>
      <c r="D52" s="440">
        <f>'[12]רכב מוטורי וסיכום'!V50</f>
        <v>1.1905453808624999E-6</v>
      </c>
      <c r="E52" s="440">
        <f>'[12]רכב מוטורי וסיכום'!W50</f>
        <v>2.9207103188022865E-6</v>
      </c>
      <c r="F52" s="440">
        <f>'[12]רכב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29.4" thickBot="1">
      <c r="A53" s="450" t="s">
        <v>144</v>
      </c>
      <c r="B53" s="439">
        <f>'[12]רכב מוטורי וסיכום'!T51</f>
        <v>32.575666728267997</v>
      </c>
      <c r="C53" s="439">
        <f>'[12]רכב מוטורי וסיכום'!U51</f>
        <v>56.530163990423169</v>
      </c>
      <c r="D53" s="439">
        <f>'[12]רכב מוטורי וסיכום'!V51</f>
        <v>13.769942255078094</v>
      </c>
      <c r="E53" s="439">
        <f>'[12]רכב מוטורי וסיכום'!W51</f>
        <v>33.781167085442782</v>
      </c>
      <c r="F53" s="439">
        <f>'[12]רכב מוטורי וסיכום'!X51</f>
        <v>4.4240346598576625</v>
      </c>
      <c r="G53" s="441">
        <v>0</v>
      </c>
      <c r="H53" s="442">
        <f>'[13]מקדמי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29.4" thickBot="1">
      <c r="A54" s="450" t="s">
        <v>168</v>
      </c>
      <c r="B54" s="438">
        <f>'[12]רכב מוטורי וסיכום'!T52</f>
        <v>6.0369739037952362E-2</v>
      </c>
      <c r="C54" s="438">
        <f>'[12]רכב מוטורי וסיכום'!U52</f>
        <v>0.10476259093457235</v>
      </c>
      <c r="D54" s="438">
        <f>'[12]רכב מוטורי וסיכום'!V52</f>
        <v>2.5518674028715303E-2</v>
      </c>
      <c r="E54" s="438">
        <f>'[12]רכב מוטורי וסיכום'!W52</f>
        <v>6.260379130094558E-2</v>
      </c>
      <c r="F54" s="438">
        <f>'[12]רכב מוטורי וסיכום'!X52</f>
        <v>8.1986907632101615E-3</v>
      </c>
      <c r="G54" s="441">
        <f>'[13]מקדמי פליטה משימוש באנרגיה'!$W$13*1000</f>
        <v>1220</v>
      </c>
      <c r="H54" s="308">
        <f>'[12]רכב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 thickBot="1">
      <c r="A55" s="450" t="s">
        <v>172</v>
      </c>
      <c r="B55" s="437">
        <f>'[12]רכב מוטורי וסיכום'!T53</f>
        <v>6.4165304615471083E-2</v>
      </c>
      <c r="C55" s="437">
        <f>'[12]רכב מוטורי וסיכום'!U53</f>
        <v>0.111349223414679</v>
      </c>
      <c r="D55" s="437">
        <f>'[12]רכב מוטורי וסיכום'!V53</f>
        <v>2.7123083825259599E-2</v>
      </c>
      <c r="E55" s="437">
        <f>'[12]רכב מוטורי וסיכום'!W53</f>
        <v>6.6539816188094E-2</v>
      </c>
      <c r="F55" s="437">
        <f>'[12]רכב מוטורי וסיכום'!X53</f>
        <v>8.7141587598831005E-3</v>
      </c>
      <c r="G55">
        <v>0</v>
      </c>
      <c r="H55">
        <f>'[13]מקדמי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29.4"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600000000000001" thickBot="1">
      <c r="A58" s="904" t="s">
        <v>482</v>
      </c>
      <c r="B58" s="905"/>
      <c r="C58" s="905"/>
      <c r="D58" s="905"/>
      <c r="E58" s="905"/>
      <c r="F58" s="905"/>
      <c r="G58" s="905"/>
      <c r="H58" s="906"/>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7734375" defaultRowHeight="14.4"/>
  <cols>
    <col min="1" max="1" width="23.33203125" customWidth="1"/>
    <col min="2" max="2" width="11.109375" customWidth="1"/>
    <col min="3" max="3" width="9.88671875" customWidth="1"/>
    <col min="4" max="4" width="15.77734375" customWidth="1"/>
    <col min="6" max="6" width="19" customWidth="1"/>
    <col min="9" max="9" width="43.88671875" bestFit="1" customWidth="1"/>
    <col min="11" max="11" width="15" bestFit="1" customWidth="1"/>
    <col min="12" max="12" width="12.21875" bestFit="1" customWidth="1"/>
    <col min="14" max="15" width="15" bestFit="1" customWidth="1"/>
  </cols>
  <sheetData>
    <row r="1" spans="1:15" ht="57.6">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4"/>
  <cols>
    <col min="1" max="1" width="32.21875" bestFit="1" customWidth="1"/>
    <col min="2" max="2" width="36.33203125" bestFit="1" customWidth="1"/>
    <col min="3" max="3" width="30.21875" bestFit="1" customWidth="1"/>
    <col min="4" max="4" width="29.88671875" bestFit="1" customWidth="1"/>
    <col min="5" max="5" width="23.6640625" bestFit="1" customWidth="1"/>
    <col min="6" max="6" width="25.88671875" bestFit="1" customWidth="1"/>
    <col min="7" max="7" width="28" bestFit="1" customWidth="1"/>
    <col min="8" max="9" width="23.6640625" bestFit="1" customWidth="1"/>
    <col min="10" max="10" width="52.33203125" bestFit="1" customWidth="1"/>
    <col min="11" max="11" width="23.6640625" bestFit="1" customWidth="1"/>
    <col min="12" max="12" width="71.33203125" bestFit="1" customWidth="1"/>
    <col min="13" max="15" width="23.6640625" bestFit="1" customWidth="1"/>
  </cols>
  <sheetData>
    <row r="1" spans="1:15" ht="21">
      <c r="A1" s="980" t="s">
        <v>395</v>
      </c>
      <c r="B1" s="981"/>
      <c r="C1" s="981"/>
      <c r="D1" s="981"/>
      <c r="E1" s="981"/>
      <c r="F1" s="981"/>
      <c r="G1" s="981"/>
      <c r="H1" s="981"/>
      <c r="I1" s="981"/>
      <c r="J1" s="981"/>
      <c r="K1" s="981"/>
      <c r="L1" s="981"/>
      <c r="M1" s="981"/>
      <c r="N1" s="981"/>
      <c r="O1" s="982"/>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35">
        <v>367</v>
      </c>
      <c r="C3" s="835">
        <v>367</v>
      </c>
      <c r="D3" s="835">
        <v>367</v>
      </c>
      <c r="E3" s="835">
        <v>367</v>
      </c>
      <c r="F3" s="835">
        <v>367</v>
      </c>
      <c r="G3" s="835">
        <v>367</v>
      </c>
      <c r="H3" s="835">
        <v>367</v>
      </c>
      <c r="I3" s="835">
        <v>367</v>
      </c>
      <c r="J3" s="835">
        <v>367</v>
      </c>
      <c r="K3" s="835">
        <v>367</v>
      </c>
      <c r="L3" s="189"/>
      <c r="M3" s="189"/>
      <c r="N3" s="189"/>
      <c r="O3" s="160"/>
    </row>
    <row r="4" spans="1:15">
      <c r="A4" s="224" t="s">
        <v>380</v>
      </c>
      <c r="B4" s="834">
        <v>187</v>
      </c>
      <c r="C4" s="834">
        <v>187</v>
      </c>
      <c r="D4" s="834">
        <v>187</v>
      </c>
      <c r="E4" s="834">
        <v>187</v>
      </c>
      <c r="F4" s="834">
        <v>187</v>
      </c>
      <c r="G4" s="834">
        <v>187</v>
      </c>
      <c r="H4" s="834">
        <v>187</v>
      </c>
      <c r="I4" s="834">
        <v>187</v>
      </c>
      <c r="J4" s="834">
        <v>187</v>
      </c>
      <c r="K4" s="834">
        <v>187</v>
      </c>
      <c r="L4" s="130"/>
      <c r="M4" s="130"/>
      <c r="N4" s="130"/>
      <c r="O4" s="114"/>
    </row>
    <row r="5" spans="1:15">
      <c r="A5" s="224" t="s">
        <v>381</v>
      </c>
      <c r="B5" s="833">
        <v>126</v>
      </c>
      <c r="C5" s="833">
        <v>126</v>
      </c>
      <c r="D5" s="833">
        <v>126</v>
      </c>
      <c r="E5" s="833">
        <v>126</v>
      </c>
      <c r="F5" s="833">
        <v>126</v>
      </c>
      <c r="G5" s="833">
        <v>126</v>
      </c>
      <c r="H5" s="833">
        <v>126</v>
      </c>
      <c r="I5" s="833">
        <v>126</v>
      </c>
      <c r="J5" s="833">
        <v>126</v>
      </c>
      <c r="K5" s="833">
        <v>126</v>
      </c>
      <c r="L5" s="130"/>
      <c r="M5" s="130"/>
      <c r="N5" s="130"/>
      <c r="O5" s="114"/>
    </row>
    <row r="6" spans="1:15">
      <c r="A6" s="224" t="s">
        <v>382</v>
      </c>
      <c r="B6" s="833">
        <v>392</v>
      </c>
      <c r="C6" s="833">
        <v>392</v>
      </c>
      <c r="D6" s="833">
        <v>392</v>
      </c>
      <c r="E6" s="833">
        <v>392</v>
      </c>
      <c r="F6" s="833">
        <v>392</v>
      </c>
      <c r="G6" s="833">
        <v>392</v>
      </c>
      <c r="H6" s="833">
        <v>392</v>
      </c>
      <c r="I6" s="833">
        <v>392</v>
      </c>
      <c r="J6" s="833">
        <v>392</v>
      </c>
      <c r="K6" s="833">
        <v>392</v>
      </c>
      <c r="L6" s="130"/>
      <c r="M6" s="130"/>
      <c r="N6" s="130"/>
      <c r="O6" s="114"/>
    </row>
    <row r="7" spans="1:15">
      <c r="A7" s="224" t="s">
        <v>383</v>
      </c>
      <c r="B7" s="833">
        <v>548</v>
      </c>
      <c r="C7" s="833">
        <v>548</v>
      </c>
      <c r="D7" s="833">
        <v>548</v>
      </c>
      <c r="E7" s="833">
        <v>548</v>
      </c>
      <c r="F7" s="833">
        <v>548</v>
      </c>
      <c r="G7" s="833">
        <v>548</v>
      </c>
      <c r="H7" s="833">
        <v>548</v>
      </c>
      <c r="I7" s="833">
        <v>548</v>
      </c>
      <c r="J7" s="833">
        <v>548</v>
      </c>
      <c r="K7" s="833">
        <v>548</v>
      </c>
      <c r="L7" s="130"/>
      <c r="M7" s="130"/>
      <c r="N7" s="130"/>
      <c r="O7" s="114"/>
    </row>
    <row r="8" spans="1:15">
      <c r="A8" s="224" t="s">
        <v>384</v>
      </c>
      <c r="B8" s="833">
        <v>708</v>
      </c>
      <c r="C8" s="833">
        <v>708</v>
      </c>
      <c r="D8" s="833">
        <v>708</v>
      </c>
      <c r="E8" s="833">
        <v>708</v>
      </c>
      <c r="F8" s="833">
        <v>708</v>
      </c>
      <c r="G8" s="833">
        <v>708</v>
      </c>
      <c r="H8" s="833">
        <v>708</v>
      </c>
      <c r="I8" s="833">
        <v>708</v>
      </c>
      <c r="J8" s="833">
        <v>708</v>
      </c>
      <c r="K8" s="833">
        <v>708</v>
      </c>
      <c r="L8" s="130"/>
      <c r="M8" s="130"/>
      <c r="N8" s="130"/>
      <c r="O8" s="114"/>
    </row>
    <row r="9" spans="1:15">
      <c r="A9" s="224" t="s">
        <v>385</v>
      </c>
      <c r="B9" s="833">
        <v>141</v>
      </c>
      <c r="C9" s="833">
        <v>141</v>
      </c>
      <c r="D9" s="833">
        <v>141</v>
      </c>
      <c r="E9" s="833">
        <v>141</v>
      </c>
      <c r="F9" s="833">
        <v>141</v>
      </c>
      <c r="G9" s="833">
        <v>141</v>
      </c>
      <c r="H9" s="833">
        <v>141</v>
      </c>
      <c r="I9" s="833">
        <v>141</v>
      </c>
      <c r="J9" s="833">
        <v>141</v>
      </c>
      <c r="K9" s="833">
        <v>141</v>
      </c>
      <c r="L9" s="130"/>
      <c r="M9" s="130"/>
      <c r="N9" s="130"/>
      <c r="O9" s="114"/>
    </row>
    <row r="10" spans="1:15">
      <c r="A10" s="224" t="s">
        <v>386</v>
      </c>
      <c r="B10" s="832">
        <v>8769</v>
      </c>
      <c r="C10" s="832">
        <v>8769</v>
      </c>
      <c r="D10" s="832">
        <v>8769</v>
      </c>
      <c r="E10" s="832">
        <v>8769</v>
      </c>
      <c r="F10" s="832">
        <v>8769</v>
      </c>
      <c r="G10" s="832">
        <v>8769</v>
      </c>
      <c r="H10" s="832">
        <v>8769</v>
      </c>
      <c r="I10" s="832">
        <v>8769</v>
      </c>
      <c r="J10" s="832">
        <v>8769</v>
      </c>
      <c r="K10" s="832">
        <v>8769</v>
      </c>
      <c r="L10" s="130"/>
      <c r="M10" s="130"/>
      <c r="N10" s="130"/>
      <c r="O10" s="114"/>
    </row>
    <row r="11" spans="1:15">
      <c r="A11" s="224" t="s">
        <v>387</v>
      </c>
      <c r="B11" s="833">
        <v>620</v>
      </c>
      <c r="C11" s="833">
        <v>620</v>
      </c>
      <c r="D11" s="833">
        <v>620</v>
      </c>
      <c r="E11" s="833">
        <v>620</v>
      </c>
      <c r="F11" s="833">
        <v>620</v>
      </c>
      <c r="G11" s="833">
        <v>620</v>
      </c>
      <c r="H11" s="833">
        <v>620</v>
      </c>
      <c r="I11" s="833">
        <v>620</v>
      </c>
      <c r="J11" s="833">
        <v>620</v>
      </c>
      <c r="K11" s="833">
        <v>620</v>
      </c>
      <c r="L11" s="130"/>
      <c r="M11" s="130"/>
      <c r="N11" s="130"/>
      <c r="O11" s="114"/>
    </row>
    <row r="12" spans="1:15">
      <c r="A12" s="224" t="s">
        <v>246</v>
      </c>
      <c r="B12" s="833">
        <v>90</v>
      </c>
      <c r="C12" s="833">
        <v>90</v>
      </c>
      <c r="D12" s="833">
        <v>90</v>
      </c>
      <c r="E12" s="833">
        <v>90</v>
      </c>
      <c r="F12" s="833">
        <v>90</v>
      </c>
      <c r="G12" s="833">
        <v>90</v>
      </c>
      <c r="H12" s="833">
        <v>90</v>
      </c>
      <c r="I12" s="833">
        <v>90</v>
      </c>
      <c r="J12" s="833">
        <v>90</v>
      </c>
      <c r="K12" s="833">
        <v>90</v>
      </c>
      <c r="L12" s="130"/>
      <c r="M12" s="130"/>
      <c r="N12" s="130"/>
      <c r="O12" s="114"/>
    </row>
    <row r="13" spans="1:15" ht="15" thickBot="1">
      <c r="A13" s="225" t="s">
        <v>16</v>
      </c>
      <c r="B13" s="831">
        <f>SUM(B3:B12)</f>
        <v>11948</v>
      </c>
      <c r="D13" s="116"/>
      <c r="E13" s="116"/>
      <c r="F13" s="116"/>
      <c r="G13" s="116"/>
      <c r="H13" s="116"/>
      <c r="I13" s="116"/>
      <c r="J13" s="116"/>
      <c r="K13" s="116"/>
      <c r="L13" s="116"/>
      <c r="M13" s="116"/>
      <c r="N13" s="116"/>
      <c r="O13" s="117"/>
    </row>
    <row r="16" spans="1:15" ht="15" thickBot="1"/>
    <row r="17" spans="1:14" ht="21.6" thickBot="1">
      <c r="A17" s="986" t="s">
        <v>478</v>
      </c>
      <c r="B17" s="987"/>
      <c r="C17" s="987"/>
      <c r="D17" s="987"/>
      <c r="E17" s="987"/>
      <c r="F17" s="987"/>
      <c r="G17" s="988"/>
      <c r="J17" s="980" t="s">
        <v>1478</v>
      </c>
      <c r="K17" s="981"/>
      <c r="L17" s="981"/>
      <c r="M17" s="981"/>
      <c r="N17" s="982"/>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36"/>
      <c r="J21" s="535" t="s">
        <v>381</v>
      </c>
      <c r="K21" s="307">
        <v>27972</v>
      </c>
      <c r="L21" s="307">
        <v>2520</v>
      </c>
      <c r="M21" s="307">
        <v>7056</v>
      </c>
      <c r="N21" s="308">
        <f t="shared" si="0"/>
        <v>37548</v>
      </c>
    </row>
    <row r="22" spans="1:14" ht="21.6" thickBot="1">
      <c r="A22" s="986" t="s">
        <v>397</v>
      </c>
      <c r="B22" s="987"/>
      <c r="C22" s="987"/>
      <c r="D22" s="987"/>
      <c r="E22" s="987"/>
      <c r="F22" s="988"/>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6">
        <v>0.57133968785942613</v>
      </c>
      <c r="C24" s="796">
        <v>1.2892012132304275E-3</v>
      </c>
      <c r="D24" s="796">
        <v>3.8015684271714907E-5</v>
      </c>
      <c r="E24" s="796">
        <v>4.9072038661496531E-5</v>
      </c>
      <c r="F24" s="798">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6" thickBot="1">
      <c r="A28" s="980" t="s">
        <v>398</v>
      </c>
      <c r="B28" s="981"/>
      <c r="C28" s="981"/>
      <c r="D28" s="981"/>
      <c r="E28" s="981"/>
      <c r="F28" s="981"/>
      <c r="G28" s="981"/>
      <c r="H28" s="982"/>
      <c r="J28" s="526" t="s">
        <v>246</v>
      </c>
      <c r="K28" s="637">
        <v>1946718</v>
      </c>
      <c r="L28" s="637">
        <v>175380</v>
      </c>
      <c r="M28" s="637">
        <v>491064</v>
      </c>
      <c r="N28" s="311">
        <f t="shared" si="0"/>
        <v>2613162</v>
      </c>
    </row>
    <row r="29" spans="1:14">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1">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799">
        <v>1753266.4429530201</v>
      </c>
      <c r="C41" s="525">
        <v>738217.44966442953</v>
      </c>
      <c r="D41" s="525">
        <v>341425.57046979869</v>
      </c>
      <c r="E41" s="525">
        <v>30759.060402684565</v>
      </c>
      <c r="F41" s="525">
        <v>86125.36912751678</v>
      </c>
      <c r="G41" s="525">
        <v>0</v>
      </c>
      <c r="H41" s="531">
        <v>0</v>
      </c>
    </row>
    <row r="42" spans="1:12" ht="15" customHeight="1" thickBot="1">
      <c r="A42" s="532" t="s">
        <v>486</v>
      </c>
      <c r="B42" s="799">
        <v>10846073.900536913</v>
      </c>
      <c r="C42" s="533">
        <v>4566767.9581208052</v>
      </c>
      <c r="D42" s="533">
        <v>2112130.180630873</v>
      </c>
      <c r="E42" s="533">
        <v>190281.99825503357</v>
      </c>
      <c r="F42" s="797">
        <v>532789.59511409397</v>
      </c>
      <c r="G42" s="533">
        <v>0</v>
      </c>
      <c r="H42" s="534">
        <v>0</v>
      </c>
    </row>
    <row r="43" spans="1:12" ht="15" customHeight="1"/>
    <row r="44" spans="1:12" ht="15" customHeight="1" thickBot="1"/>
    <row r="45" spans="1:12" ht="15" customHeight="1">
      <c r="A45" s="983" t="s">
        <v>479</v>
      </c>
      <c r="B45" s="984"/>
      <c r="C45" s="984"/>
      <c r="D45" s="984"/>
      <c r="E45" s="984"/>
      <c r="F45" s="984"/>
      <c r="G45" s="985"/>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4"/>
  <cols>
    <col min="2" max="2" width="27.109375" bestFit="1" customWidth="1"/>
    <col min="3" max="4" width="22.6640625" bestFit="1" customWidth="1"/>
  </cols>
  <sheetData>
    <row r="1" spans="1:5">
      <c r="A1" t="s">
        <v>1531</v>
      </c>
      <c r="B1" t="s">
        <v>1612</v>
      </c>
      <c r="C1" t="s">
        <v>1613</v>
      </c>
      <c r="D1" t="s">
        <v>1614</v>
      </c>
    </row>
    <row r="2" spans="1:5">
      <c r="A2" s="828">
        <v>1950</v>
      </c>
      <c r="B2" s="824">
        <v>1323</v>
      </c>
      <c r="C2" s="825">
        <f>SUM($B$2:B2)</f>
        <v>1323</v>
      </c>
      <c r="D2">
        <f>C2/1000</f>
        <v>1.323</v>
      </c>
    </row>
    <row r="3" spans="1:5">
      <c r="A3" s="828">
        <v>1951</v>
      </c>
      <c r="B3" s="824">
        <v>2450</v>
      </c>
      <c r="C3" s="825">
        <f>SUM($B$2:B3)</f>
        <v>3773</v>
      </c>
      <c r="D3">
        <f t="shared" ref="D3:D66" si="0">C3/1000</f>
        <v>3.7730000000000001</v>
      </c>
      <c r="E3" s="727">
        <f>(B3-B2)/B2</f>
        <v>0.85185185185185186</v>
      </c>
    </row>
    <row r="4" spans="1:5">
      <c r="A4" s="828">
        <v>1952</v>
      </c>
      <c r="B4" s="824">
        <v>2414</v>
      </c>
      <c r="C4" s="825">
        <f>SUM($B$2:B4)</f>
        <v>6187</v>
      </c>
      <c r="D4">
        <f t="shared" si="0"/>
        <v>6.1870000000000003</v>
      </c>
      <c r="E4" s="727">
        <f t="shared" ref="E4:E67" si="1">(B4-B3)/B3</f>
        <v>-1.4693877551020407E-2</v>
      </c>
    </row>
    <row r="5" spans="1:5">
      <c r="A5" s="828">
        <v>1953</v>
      </c>
      <c r="B5" s="824">
        <v>1449</v>
      </c>
      <c r="C5" s="825">
        <f>SUM($B$2:B5)</f>
        <v>7636</v>
      </c>
      <c r="D5">
        <f t="shared" si="0"/>
        <v>7.6360000000000001</v>
      </c>
      <c r="E5" s="727">
        <f t="shared" si="1"/>
        <v>-0.39975144987572492</v>
      </c>
    </row>
    <row r="6" spans="1:5">
      <c r="A6" s="828">
        <v>1954</v>
      </c>
      <c r="B6" s="824">
        <v>1739</v>
      </c>
      <c r="C6" s="825">
        <f>SUM($B$2:B6)</f>
        <v>9375</v>
      </c>
      <c r="D6">
        <f t="shared" si="0"/>
        <v>9.375</v>
      </c>
      <c r="E6" s="727">
        <f t="shared" si="1"/>
        <v>0.20013802622498275</v>
      </c>
    </row>
    <row r="7" spans="1:5">
      <c r="A7" s="828">
        <v>1955</v>
      </c>
      <c r="B7" s="824">
        <v>2145</v>
      </c>
      <c r="C7" s="825">
        <f>SUM($B$2:B7)</f>
        <v>11520</v>
      </c>
      <c r="D7">
        <f t="shared" si="0"/>
        <v>11.52</v>
      </c>
      <c r="E7" s="727">
        <f t="shared" si="1"/>
        <v>0.23346751006325475</v>
      </c>
    </row>
    <row r="8" spans="1:5">
      <c r="A8" s="828">
        <v>1956</v>
      </c>
      <c r="B8" s="824">
        <v>2183</v>
      </c>
      <c r="C8" s="825">
        <f>SUM($B$2:B8)</f>
        <v>13703</v>
      </c>
      <c r="D8">
        <f t="shared" si="0"/>
        <v>13.702999999999999</v>
      </c>
      <c r="E8" s="727">
        <f t="shared" si="1"/>
        <v>1.7715617715617717E-2</v>
      </c>
    </row>
    <row r="9" spans="1:5">
      <c r="A9" s="828">
        <v>1957</v>
      </c>
      <c r="B9" s="824">
        <v>2054</v>
      </c>
      <c r="C9" s="825">
        <f>SUM($B$2:B9)</f>
        <v>15757</v>
      </c>
      <c r="D9">
        <f t="shared" si="0"/>
        <v>15.757</v>
      </c>
      <c r="E9" s="727">
        <f t="shared" si="1"/>
        <v>-5.9092991296381125E-2</v>
      </c>
    </row>
    <row r="10" spans="1:5">
      <c r="A10" s="828">
        <v>1958</v>
      </c>
      <c r="B10" s="824">
        <v>2709</v>
      </c>
      <c r="C10" s="825">
        <f>SUM($B$2:B10)</f>
        <v>18466</v>
      </c>
      <c r="D10">
        <f t="shared" si="0"/>
        <v>18.466000000000001</v>
      </c>
      <c r="E10" s="727">
        <f t="shared" si="1"/>
        <v>0.31888997078870496</v>
      </c>
    </row>
    <row r="11" spans="1:5">
      <c r="A11" s="828">
        <v>1959</v>
      </c>
      <c r="B11" s="824">
        <v>2850</v>
      </c>
      <c r="C11" s="825">
        <f>SUM($B$2:B11)</f>
        <v>21316</v>
      </c>
      <c r="D11">
        <f t="shared" si="0"/>
        <v>21.315999999999999</v>
      </c>
      <c r="E11" s="727">
        <f t="shared" si="1"/>
        <v>5.2048726467331122E-2</v>
      </c>
    </row>
    <row r="12" spans="1:5">
      <c r="A12" s="828">
        <v>1960</v>
      </c>
      <c r="B12" s="824">
        <v>3485</v>
      </c>
      <c r="C12" s="825">
        <f>SUM($B$2:B12)</f>
        <v>24801</v>
      </c>
      <c r="D12">
        <f t="shared" si="0"/>
        <v>24.800999999999998</v>
      </c>
      <c r="E12" s="727">
        <f t="shared" si="1"/>
        <v>0.22280701754385965</v>
      </c>
    </row>
    <row r="13" spans="1:5">
      <c r="A13" s="828">
        <v>1961</v>
      </c>
      <c r="B13" s="824">
        <v>3406</v>
      </c>
      <c r="C13" s="825">
        <f>SUM($B$2:B13)</f>
        <v>28207</v>
      </c>
      <c r="D13">
        <f t="shared" si="0"/>
        <v>28.207000000000001</v>
      </c>
      <c r="E13" s="727">
        <f t="shared" si="1"/>
        <v>-2.2668579626972739E-2</v>
      </c>
    </row>
    <row r="14" spans="1:5">
      <c r="A14" s="829">
        <v>1962</v>
      </c>
      <c r="B14" s="824">
        <v>3951</v>
      </c>
      <c r="C14" s="825">
        <f>SUM($B$2:B14)</f>
        <v>32158</v>
      </c>
      <c r="D14">
        <f t="shared" si="0"/>
        <v>32.158000000000001</v>
      </c>
      <c r="E14" s="727">
        <f t="shared" si="1"/>
        <v>0.16001174398120963</v>
      </c>
    </row>
    <row r="15" spans="1:5">
      <c r="A15" s="829">
        <v>1963</v>
      </c>
      <c r="B15" s="824">
        <v>4078</v>
      </c>
      <c r="C15" s="825">
        <f>SUM($B$2:B15)</f>
        <v>36236</v>
      </c>
      <c r="D15">
        <f t="shared" si="0"/>
        <v>36.235999999999997</v>
      </c>
      <c r="E15" s="727">
        <f t="shared" si="1"/>
        <v>3.2143761073146038E-2</v>
      </c>
    </row>
    <row r="16" spans="1:5">
      <c r="A16" s="829">
        <v>1964</v>
      </c>
      <c r="B16" s="824">
        <v>4365</v>
      </c>
      <c r="C16" s="825">
        <f>SUM($B$2:B16)</f>
        <v>40601</v>
      </c>
      <c r="D16">
        <f t="shared" si="0"/>
        <v>40.600999999999999</v>
      </c>
      <c r="E16" s="727">
        <f t="shared" si="1"/>
        <v>7.0377636096125545E-2</v>
      </c>
    </row>
    <row r="17" spans="1:5">
      <c r="A17" s="829">
        <v>1965</v>
      </c>
      <c r="B17" s="824">
        <v>4724</v>
      </c>
      <c r="C17" s="825">
        <f>SUM($B$2:B17)</f>
        <v>45325</v>
      </c>
      <c r="D17">
        <f t="shared" si="0"/>
        <v>45.325000000000003</v>
      </c>
      <c r="E17" s="727">
        <f t="shared" si="1"/>
        <v>8.2245131729667811E-2</v>
      </c>
    </row>
    <row r="18" spans="1:5">
      <c r="A18" s="828">
        <v>1966</v>
      </c>
      <c r="B18" s="824">
        <v>4871</v>
      </c>
      <c r="C18" s="825">
        <f>SUM($B$2:B18)</f>
        <v>50196</v>
      </c>
      <c r="D18">
        <f t="shared" si="0"/>
        <v>50.195999999999998</v>
      </c>
      <c r="E18" s="727">
        <f t="shared" si="1"/>
        <v>3.1117696867061811E-2</v>
      </c>
    </row>
    <row r="19" spans="1:5">
      <c r="A19" s="829">
        <v>1967</v>
      </c>
      <c r="B19" s="824">
        <v>3518</v>
      </c>
      <c r="C19" s="825">
        <f>SUM($B$2:B19)</f>
        <v>53714</v>
      </c>
      <c r="D19">
        <f t="shared" si="0"/>
        <v>53.713999999999999</v>
      </c>
      <c r="E19" s="727">
        <f t="shared" si="1"/>
        <v>-0.27776637240812974</v>
      </c>
    </row>
    <row r="20" spans="1:5">
      <c r="A20" s="828">
        <v>1968</v>
      </c>
      <c r="B20" s="824">
        <v>3423</v>
      </c>
      <c r="C20" s="825">
        <f>SUM($B$2:B20)</f>
        <v>57137</v>
      </c>
      <c r="D20">
        <f t="shared" si="0"/>
        <v>57.137</v>
      </c>
      <c r="E20" s="727">
        <f t="shared" si="1"/>
        <v>-2.7003979533826036E-2</v>
      </c>
    </row>
    <row r="21" spans="1:5">
      <c r="A21" s="829">
        <v>1969</v>
      </c>
      <c r="B21" s="823">
        <v>3644</v>
      </c>
      <c r="C21" s="825">
        <f>SUM($B$2:B21)</f>
        <v>60781</v>
      </c>
      <c r="D21">
        <f t="shared" si="0"/>
        <v>60.780999999999999</v>
      </c>
      <c r="E21" s="727">
        <f t="shared" si="1"/>
        <v>6.4563248612328372E-2</v>
      </c>
    </row>
    <row r="22" spans="1:5">
      <c r="A22" s="828">
        <v>1970</v>
      </c>
      <c r="B22" s="823">
        <v>4478</v>
      </c>
      <c r="C22" s="825">
        <f>SUM($B$2:B22)</f>
        <v>65259</v>
      </c>
      <c r="D22">
        <f t="shared" si="0"/>
        <v>65.259</v>
      </c>
      <c r="E22" s="727">
        <f t="shared" si="1"/>
        <v>0.22886937431394072</v>
      </c>
    </row>
    <row r="23" spans="1:5">
      <c r="A23" s="829">
        <v>1971</v>
      </c>
      <c r="B23" s="823">
        <v>5337</v>
      </c>
      <c r="C23" s="825">
        <f>SUM($B$2:B23)</f>
        <v>70596</v>
      </c>
      <c r="D23">
        <f t="shared" si="0"/>
        <v>70.596000000000004</v>
      </c>
      <c r="E23" s="727">
        <f t="shared" si="1"/>
        <v>0.19182670835194282</v>
      </c>
    </row>
    <row r="24" spans="1:5">
      <c r="A24" s="828">
        <v>1972</v>
      </c>
      <c r="B24" s="823">
        <v>6035</v>
      </c>
      <c r="C24" s="825">
        <f>SUM($B$2:B24)</f>
        <v>76631</v>
      </c>
      <c r="D24">
        <f t="shared" si="0"/>
        <v>76.631</v>
      </c>
      <c r="E24" s="727">
        <f t="shared" si="1"/>
        <v>0.13078508525388796</v>
      </c>
    </row>
    <row r="25" spans="1:5">
      <c r="A25" s="829">
        <v>1973</v>
      </c>
      <c r="B25" s="823">
        <v>6530</v>
      </c>
      <c r="C25" s="825">
        <f>SUM($B$2:B25)</f>
        <v>83161</v>
      </c>
      <c r="D25">
        <f t="shared" si="0"/>
        <v>83.161000000000001</v>
      </c>
      <c r="E25" s="727">
        <f t="shared" si="1"/>
        <v>8.2021541010770499E-2</v>
      </c>
    </row>
    <row r="26" spans="1:5">
      <c r="A26" s="828">
        <v>1974</v>
      </c>
      <c r="B26" s="824">
        <v>6598</v>
      </c>
      <c r="C26" s="825">
        <f>SUM($B$2:B26)</f>
        <v>89759</v>
      </c>
      <c r="D26">
        <f t="shared" si="0"/>
        <v>89.759</v>
      </c>
      <c r="E26" s="727">
        <f t="shared" si="1"/>
        <v>1.0413476263399694E-2</v>
      </c>
    </row>
    <row r="27" spans="1:5">
      <c r="A27" s="828">
        <v>1975</v>
      </c>
      <c r="B27" s="824">
        <v>7152</v>
      </c>
      <c r="C27" s="825">
        <f>SUM($B$2:B27)</f>
        <v>96911</v>
      </c>
      <c r="D27">
        <f t="shared" si="0"/>
        <v>96.911000000000001</v>
      </c>
      <c r="E27" s="727">
        <f t="shared" si="1"/>
        <v>8.3964837829645353E-2</v>
      </c>
    </row>
    <row r="28" spans="1:5">
      <c r="A28" s="828">
        <v>1976</v>
      </c>
      <c r="B28" s="824">
        <v>7110</v>
      </c>
      <c r="C28" s="825">
        <f>SUM($B$2:B28)</f>
        <v>104021</v>
      </c>
      <c r="D28">
        <f t="shared" si="0"/>
        <v>104.021</v>
      </c>
      <c r="E28" s="727">
        <f t="shared" si="1"/>
        <v>-5.8724832214765103E-3</v>
      </c>
    </row>
    <row r="29" spans="1:5">
      <c r="A29" s="828">
        <v>1977</v>
      </c>
      <c r="B29" s="824">
        <v>5870</v>
      </c>
      <c r="C29" s="825">
        <f>SUM($B$2:B29)</f>
        <v>109891</v>
      </c>
      <c r="D29">
        <f t="shared" si="0"/>
        <v>109.89100000000001</v>
      </c>
      <c r="E29" s="727">
        <f t="shared" si="1"/>
        <v>-0.17440225035161744</v>
      </c>
    </row>
    <row r="30" spans="1:5">
      <c r="A30" s="828">
        <v>1978</v>
      </c>
      <c r="B30" s="824">
        <v>5250</v>
      </c>
      <c r="C30" s="825">
        <f>SUM($B$2:B30)</f>
        <v>115141</v>
      </c>
      <c r="D30">
        <f t="shared" si="0"/>
        <v>115.14100000000001</v>
      </c>
      <c r="E30" s="727">
        <f t="shared" si="1"/>
        <v>-0.10562180579216354</v>
      </c>
    </row>
    <row r="31" spans="1:5">
      <c r="A31" s="828">
        <v>1979</v>
      </c>
      <c r="B31" s="824">
        <v>5350</v>
      </c>
      <c r="C31" s="825">
        <f>SUM($B$2:B31)</f>
        <v>120491</v>
      </c>
      <c r="D31">
        <f t="shared" si="0"/>
        <v>120.491</v>
      </c>
      <c r="E31" s="727">
        <f t="shared" si="1"/>
        <v>1.9047619047619049E-2</v>
      </c>
    </row>
    <row r="32" spans="1:5">
      <c r="A32" s="828">
        <v>1980</v>
      </c>
      <c r="B32" s="824">
        <v>5140</v>
      </c>
      <c r="C32" s="825">
        <f>SUM($B$2:B32)</f>
        <v>125631</v>
      </c>
      <c r="D32">
        <f t="shared" si="0"/>
        <v>125.631</v>
      </c>
      <c r="E32" s="727">
        <f t="shared" si="1"/>
        <v>-3.925233644859813E-2</v>
      </c>
    </row>
    <row r="33" spans="1:5">
      <c r="A33" s="828">
        <v>1981</v>
      </c>
      <c r="B33" s="824">
        <v>4890</v>
      </c>
      <c r="C33" s="825">
        <f>SUM($B$2:B33)</f>
        <v>130521</v>
      </c>
      <c r="D33">
        <f t="shared" si="0"/>
        <v>130.52099999999999</v>
      </c>
      <c r="E33" s="727">
        <f t="shared" si="1"/>
        <v>-4.8638132295719845E-2</v>
      </c>
    </row>
    <row r="34" spans="1:5">
      <c r="A34" s="828">
        <v>1982</v>
      </c>
      <c r="B34" s="824">
        <v>4905</v>
      </c>
      <c r="C34" s="825">
        <f>SUM($B$2:B34)</f>
        <v>135426</v>
      </c>
      <c r="D34">
        <f t="shared" si="0"/>
        <v>135.42599999999999</v>
      </c>
      <c r="E34" s="727">
        <f t="shared" si="1"/>
        <v>3.0674846625766872E-3</v>
      </c>
    </row>
    <row r="35" spans="1:5">
      <c r="A35" s="828">
        <v>1983</v>
      </c>
      <c r="B35" s="823">
        <v>5045</v>
      </c>
      <c r="C35" s="825">
        <f>SUM($B$2:B35)</f>
        <v>140471</v>
      </c>
      <c r="D35">
        <f t="shared" si="0"/>
        <v>140.471</v>
      </c>
      <c r="E35" s="727">
        <f t="shared" si="1"/>
        <v>2.8542303771661569E-2</v>
      </c>
    </row>
    <row r="36" spans="1:5">
      <c r="A36" s="828">
        <v>1984</v>
      </c>
      <c r="B36" s="823">
        <v>5010</v>
      </c>
      <c r="C36" s="825">
        <f>SUM($B$2:B36)</f>
        <v>145481</v>
      </c>
      <c r="D36">
        <f t="shared" si="0"/>
        <v>145.48099999999999</v>
      </c>
      <c r="E36" s="727">
        <f t="shared" si="1"/>
        <v>-6.9375619425173438E-3</v>
      </c>
    </row>
    <row r="37" spans="1:5">
      <c r="A37" s="828">
        <v>1985</v>
      </c>
      <c r="B37" s="823">
        <v>4500</v>
      </c>
      <c r="C37" s="825">
        <f>SUM($B$2:B37)</f>
        <v>149981</v>
      </c>
      <c r="D37">
        <f t="shared" si="0"/>
        <v>149.98099999999999</v>
      </c>
      <c r="E37" s="727">
        <f t="shared" si="1"/>
        <v>-0.10179640718562874</v>
      </c>
    </row>
    <row r="38" spans="1:5">
      <c r="A38" s="828">
        <v>1986</v>
      </c>
      <c r="B38" s="823">
        <v>4140</v>
      </c>
      <c r="C38" s="825">
        <f>SUM($B$2:B38)</f>
        <v>154121</v>
      </c>
      <c r="D38">
        <f t="shared" si="0"/>
        <v>154.12100000000001</v>
      </c>
      <c r="E38" s="727">
        <f t="shared" si="1"/>
        <v>-0.08</v>
      </c>
    </row>
    <row r="39" spans="1:5">
      <c r="A39" s="828">
        <v>1987</v>
      </c>
      <c r="B39" s="823">
        <v>4120</v>
      </c>
      <c r="C39" s="825">
        <f>SUM($B$2:B39)</f>
        <v>158241</v>
      </c>
      <c r="D39">
        <f t="shared" si="0"/>
        <v>158.24100000000001</v>
      </c>
      <c r="E39" s="727">
        <f t="shared" si="1"/>
        <v>-4.830917874396135E-3</v>
      </c>
    </row>
    <row r="40" spans="1:5">
      <c r="A40" s="828">
        <v>1988</v>
      </c>
      <c r="B40" s="823">
        <v>3980</v>
      </c>
      <c r="C40" s="825">
        <f>SUM($B$2:B40)</f>
        <v>162221</v>
      </c>
      <c r="D40">
        <f t="shared" si="0"/>
        <v>162.221</v>
      </c>
      <c r="E40" s="727">
        <f t="shared" si="1"/>
        <v>-3.3980582524271843E-2</v>
      </c>
    </row>
    <row r="41" spans="1:5">
      <c r="A41" s="828">
        <v>1989</v>
      </c>
      <c r="B41" s="823">
        <v>4460</v>
      </c>
      <c r="C41" s="825">
        <f>SUM($B$2:B41)</f>
        <v>166681</v>
      </c>
      <c r="D41">
        <f t="shared" si="0"/>
        <v>166.68100000000001</v>
      </c>
      <c r="E41" s="727">
        <f t="shared" si="1"/>
        <v>0.12060301507537688</v>
      </c>
    </row>
    <row r="42" spans="1:5">
      <c r="A42" s="828">
        <v>1990</v>
      </c>
      <c r="B42" s="823">
        <v>4150</v>
      </c>
      <c r="C42" s="825">
        <f>SUM($B$2:B42)</f>
        <v>170831</v>
      </c>
      <c r="D42">
        <f t="shared" si="0"/>
        <v>170.83099999999999</v>
      </c>
      <c r="E42" s="727">
        <f t="shared" si="1"/>
        <v>-6.9506726457399109E-2</v>
      </c>
    </row>
    <row r="43" spans="1:5">
      <c r="A43" s="828">
        <v>1991</v>
      </c>
      <c r="B43" s="823">
        <v>6380</v>
      </c>
      <c r="C43" s="825">
        <f>SUM($B$2:B43)</f>
        <v>177211</v>
      </c>
      <c r="D43">
        <f t="shared" si="0"/>
        <v>177.21100000000001</v>
      </c>
      <c r="E43" s="727">
        <f t="shared" si="1"/>
        <v>0.53734939759036149</v>
      </c>
    </row>
    <row r="44" spans="1:5">
      <c r="A44" s="828">
        <v>1992</v>
      </c>
      <c r="B44" s="823">
        <v>9270</v>
      </c>
      <c r="C44" s="825">
        <f>SUM($B$2:B44)</f>
        <v>186481</v>
      </c>
      <c r="D44">
        <f t="shared" si="0"/>
        <v>186.48099999999999</v>
      </c>
      <c r="E44" s="727">
        <f t="shared" si="1"/>
        <v>0.45297805642633227</v>
      </c>
    </row>
    <row r="45" spans="1:5">
      <c r="A45" s="828">
        <v>1993</v>
      </c>
      <c r="B45" s="823">
        <v>7680</v>
      </c>
      <c r="C45" s="825">
        <f>SUM($B$2:B45)</f>
        <v>194161</v>
      </c>
      <c r="D45">
        <f t="shared" si="0"/>
        <v>194.161</v>
      </c>
      <c r="E45" s="727">
        <f t="shared" si="1"/>
        <v>-0.17152103559870549</v>
      </c>
    </row>
    <row r="46" spans="1:5">
      <c r="A46" s="828">
        <v>1994</v>
      </c>
      <c r="B46" s="823">
        <v>6890</v>
      </c>
      <c r="C46" s="825">
        <f>SUM($B$2:B46)</f>
        <v>201051</v>
      </c>
      <c r="D46">
        <f t="shared" si="0"/>
        <v>201.05099999999999</v>
      </c>
      <c r="E46" s="727">
        <f t="shared" si="1"/>
        <v>-0.10286458333333333</v>
      </c>
    </row>
    <row r="47" spans="1:5">
      <c r="A47" s="829">
        <v>1995</v>
      </c>
      <c r="B47" s="824">
        <v>8694</v>
      </c>
      <c r="C47" s="825">
        <f>SUM($B$2:B47)</f>
        <v>209745</v>
      </c>
      <c r="D47">
        <f t="shared" si="0"/>
        <v>209.745</v>
      </c>
      <c r="E47" s="727">
        <f t="shared" si="1"/>
        <v>0.26182873730043543</v>
      </c>
    </row>
    <row r="48" spans="1:5">
      <c r="A48" s="828">
        <v>1996</v>
      </c>
      <c r="B48" s="827">
        <v>10353</v>
      </c>
      <c r="C48" s="825">
        <f>SUM($B$2:B48)</f>
        <v>220098</v>
      </c>
      <c r="D48">
        <f t="shared" si="0"/>
        <v>220.09800000000001</v>
      </c>
      <c r="E48" s="727">
        <f t="shared" si="1"/>
        <v>0.19082125603864733</v>
      </c>
    </row>
    <row r="49" spans="1:5">
      <c r="A49" s="829">
        <v>1997</v>
      </c>
      <c r="B49" s="827">
        <v>13340</v>
      </c>
      <c r="C49" s="825">
        <f>SUM($B$2:B49)</f>
        <v>233438</v>
      </c>
      <c r="D49">
        <f t="shared" si="0"/>
        <v>233.43799999999999</v>
      </c>
      <c r="E49" s="727">
        <f t="shared" si="1"/>
        <v>0.28851540616246496</v>
      </c>
    </row>
    <row r="50" spans="1:5">
      <c r="A50" s="828">
        <v>1998</v>
      </c>
      <c r="B50" s="827">
        <v>11513</v>
      </c>
      <c r="C50" s="825">
        <f>SUM($B$2:B50)</f>
        <v>244951</v>
      </c>
      <c r="D50">
        <f t="shared" si="0"/>
        <v>244.95099999999999</v>
      </c>
      <c r="E50" s="727">
        <f t="shared" si="1"/>
        <v>-0.13695652173913042</v>
      </c>
    </row>
    <row r="51" spans="1:5">
      <c r="A51" s="829">
        <v>1999</v>
      </c>
      <c r="B51" s="827">
        <v>9822</v>
      </c>
      <c r="C51" s="825">
        <f>SUM($B$2:B51)</f>
        <v>254773</v>
      </c>
      <c r="D51">
        <f t="shared" si="0"/>
        <v>254.773</v>
      </c>
      <c r="E51" s="727">
        <f t="shared" si="1"/>
        <v>-0.14687744289064536</v>
      </c>
    </row>
    <row r="52" spans="1:5">
      <c r="A52" s="828">
        <v>2000</v>
      </c>
      <c r="B52" s="827">
        <v>9305</v>
      </c>
      <c r="C52" s="825">
        <f>SUM($B$2:B52)</f>
        <v>264078</v>
      </c>
      <c r="D52">
        <f t="shared" si="0"/>
        <v>264.07799999999997</v>
      </c>
      <c r="E52" s="727">
        <f t="shared" si="1"/>
        <v>-5.2636937487273466E-2</v>
      </c>
    </row>
    <row r="53" spans="1:5">
      <c r="A53" s="829">
        <v>2001</v>
      </c>
      <c r="B53" s="827">
        <v>9076</v>
      </c>
      <c r="C53" s="825">
        <f>SUM($B$2:B53)</f>
        <v>273154</v>
      </c>
      <c r="D53">
        <f t="shared" si="0"/>
        <v>273.154</v>
      </c>
      <c r="E53" s="727">
        <f t="shared" si="1"/>
        <v>-2.4610424502955402E-2</v>
      </c>
    </row>
    <row r="54" spans="1:5">
      <c r="A54" s="828">
        <v>2002</v>
      </c>
      <c r="B54" s="827">
        <v>8467</v>
      </c>
      <c r="C54" s="825">
        <f>SUM($B$2:B54)</f>
        <v>281621</v>
      </c>
      <c r="D54">
        <f t="shared" si="0"/>
        <v>281.62099999999998</v>
      </c>
      <c r="E54" s="727">
        <f t="shared" si="1"/>
        <v>-6.7100044072278542E-2</v>
      </c>
    </row>
    <row r="55" spans="1:5">
      <c r="A55" s="829">
        <v>2003</v>
      </c>
      <c r="B55" s="827">
        <v>8100</v>
      </c>
      <c r="C55" s="825">
        <f>SUM($B$2:B55)</f>
        <v>289721</v>
      </c>
      <c r="D55">
        <f t="shared" si="0"/>
        <v>289.721</v>
      </c>
      <c r="E55" s="727">
        <f t="shared" si="1"/>
        <v>-4.3344750206684775E-2</v>
      </c>
    </row>
    <row r="56" spans="1:5">
      <c r="A56" s="828">
        <v>2004</v>
      </c>
      <c r="B56" s="827">
        <v>7496</v>
      </c>
      <c r="C56" s="825">
        <f>SUM($B$2:B56)</f>
        <v>297217</v>
      </c>
      <c r="D56">
        <f t="shared" si="0"/>
        <v>297.21699999999998</v>
      </c>
      <c r="E56" s="727">
        <f t="shared" si="1"/>
        <v>-7.4567901234567899E-2</v>
      </c>
    </row>
    <row r="57" spans="1:5">
      <c r="A57" s="829">
        <v>2005</v>
      </c>
      <c r="B57" s="827">
        <v>7590</v>
      </c>
      <c r="C57" s="825">
        <f>SUM($B$2:B57)</f>
        <v>304807</v>
      </c>
      <c r="D57">
        <f t="shared" si="0"/>
        <v>304.80700000000002</v>
      </c>
      <c r="E57" s="727">
        <f t="shared" si="1"/>
        <v>1.2540021344717182E-2</v>
      </c>
    </row>
    <row r="58" spans="1:5">
      <c r="A58" s="828">
        <v>2006</v>
      </c>
      <c r="B58" s="827">
        <v>7100.3149999999996</v>
      </c>
      <c r="C58" s="825">
        <f>SUM($B$2:B58)</f>
        <v>311907.315</v>
      </c>
      <c r="D58">
        <f t="shared" si="0"/>
        <v>311.90731499999998</v>
      </c>
      <c r="E58" s="727">
        <f t="shared" si="1"/>
        <v>-6.4517127799736548E-2</v>
      </c>
    </row>
    <row r="59" spans="1:5">
      <c r="A59" s="829">
        <v>2007</v>
      </c>
      <c r="B59" s="827">
        <v>7252.3029999999999</v>
      </c>
      <c r="C59" s="825">
        <f>SUM($B$2:B59)</f>
        <v>319159.61800000002</v>
      </c>
      <c r="D59">
        <f t="shared" si="0"/>
        <v>319.15961800000002</v>
      </c>
      <c r="E59" s="727">
        <f t="shared" si="1"/>
        <v>2.1405810868954447E-2</v>
      </c>
    </row>
    <row r="60" spans="1:5">
      <c r="A60" s="828">
        <v>2008</v>
      </c>
      <c r="B60" s="827">
        <v>7141.0119999999997</v>
      </c>
      <c r="C60" s="825">
        <f>SUM($B$2:B60)</f>
        <v>326300.63</v>
      </c>
      <c r="D60">
        <f t="shared" si="0"/>
        <v>326.30063000000001</v>
      </c>
      <c r="E60" s="727">
        <f t="shared" si="1"/>
        <v>-1.5345608146819041E-2</v>
      </c>
    </row>
    <row r="61" spans="1:5">
      <c r="A61" s="830">
        <v>2009</v>
      </c>
      <c r="B61" s="827">
        <v>8919</v>
      </c>
      <c r="C61" s="825">
        <f>SUM($B$2:B61)</f>
        <v>335219.63</v>
      </c>
      <c r="D61">
        <f t="shared" si="0"/>
        <v>335.21963</v>
      </c>
      <c r="E61" s="727">
        <f t="shared" si="1"/>
        <v>0.24898263719484023</v>
      </c>
    </row>
    <row r="62" spans="1:5">
      <c r="A62" s="830">
        <v>2010</v>
      </c>
      <c r="B62" s="827">
        <v>10382</v>
      </c>
      <c r="C62" s="825">
        <f>SUM($B$2:B62)</f>
        <v>345601.63</v>
      </c>
      <c r="D62">
        <f t="shared" si="0"/>
        <v>345.60163</v>
      </c>
      <c r="E62" s="727">
        <f t="shared" si="1"/>
        <v>0.16403184213476849</v>
      </c>
    </row>
    <row r="63" spans="1:5">
      <c r="A63" s="830">
        <v>2011</v>
      </c>
      <c r="B63" s="827">
        <v>11469</v>
      </c>
      <c r="C63" s="825">
        <f>SUM($B$2:B63)</f>
        <v>357070.63</v>
      </c>
      <c r="D63">
        <f t="shared" si="0"/>
        <v>357.07062999999999</v>
      </c>
      <c r="E63" s="727">
        <f t="shared" si="1"/>
        <v>0.1047004430745521</v>
      </c>
    </row>
    <row r="64" spans="1:5">
      <c r="A64" s="830">
        <v>2012</v>
      </c>
      <c r="B64" s="827">
        <v>11100</v>
      </c>
      <c r="C64" s="825">
        <f>SUM($B$2:B64)</f>
        <v>368170.63</v>
      </c>
      <c r="D64">
        <f t="shared" si="0"/>
        <v>368.17063000000002</v>
      </c>
      <c r="E64" s="727">
        <f t="shared" si="1"/>
        <v>-3.2173685587235157E-2</v>
      </c>
    </row>
    <row r="65" spans="1:5">
      <c r="A65" s="830">
        <v>2013</v>
      </c>
      <c r="B65" s="827">
        <v>12091</v>
      </c>
      <c r="C65" s="825">
        <f>SUM($B$2:B65)</f>
        <v>380261.63</v>
      </c>
      <c r="D65">
        <f t="shared" si="0"/>
        <v>380.26163000000003</v>
      </c>
      <c r="E65" s="727">
        <f t="shared" si="1"/>
        <v>8.9279279279279283E-2</v>
      </c>
    </row>
    <row r="66" spans="1:5">
      <c r="A66" s="830">
        <v>2014</v>
      </c>
      <c r="B66" s="827">
        <v>10865</v>
      </c>
      <c r="C66" s="825">
        <f>SUM($B$2:B66)</f>
        <v>391126.63</v>
      </c>
      <c r="D66">
        <f t="shared" si="0"/>
        <v>391.12662999999998</v>
      </c>
      <c r="E66" s="727">
        <f t="shared" si="1"/>
        <v>-0.10139773385162518</v>
      </c>
    </row>
    <row r="67" spans="1:5">
      <c r="A67" s="830">
        <v>2015</v>
      </c>
      <c r="B67" s="827">
        <v>12925</v>
      </c>
      <c r="C67" s="825">
        <f>SUM($B$2:B67)</f>
        <v>404051.63</v>
      </c>
      <c r="D67">
        <f t="shared" ref="D67:D69" si="2">C67/1000</f>
        <v>404.05162999999999</v>
      </c>
      <c r="E67" s="727">
        <f t="shared" si="1"/>
        <v>0.18959963184537507</v>
      </c>
    </row>
    <row r="68" spans="1:5">
      <c r="A68" s="830">
        <v>2016</v>
      </c>
      <c r="B68" s="827">
        <v>12508</v>
      </c>
      <c r="C68" s="825">
        <f>SUM($B$2:B68)</f>
        <v>416559.63</v>
      </c>
      <c r="D68">
        <f t="shared" si="2"/>
        <v>416.55963000000003</v>
      </c>
      <c r="E68" s="727">
        <f t="shared" ref="E68:E69" si="3">(B68-B67)/B67</f>
        <v>-3.2263056092843329E-2</v>
      </c>
    </row>
    <row r="69" spans="1:5">
      <c r="A69" s="830">
        <v>2017</v>
      </c>
      <c r="B69" s="827">
        <v>13327</v>
      </c>
      <c r="C69" s="825">
        <f>SUM($B$2:B69)</f>
        <v>429886.63</v>
      </c>
      <c r="D69">
        <f t="shared" si="2"/>
        <v>429.88663000000003</v>
      </c>
      <c r="E69" s="727">
        <f t="shared" si="3"/>
        <v>6.5478094019827307E-2</v>
      </c>
    </row>
    <row r="71" spans="1:5">
      <c r="E71" s="826">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shiri nitzan</cp:lastModifiedBy>
  <dcterms:created xsi:type="dcterms:W3CDTF">2020-10-29T14:33:01Z</dcterms:created>
  <dcterms:modified xsi:type="dcterms:W3CDTF">2024-05-05T17:07:17Z</dcterms:modified>
</cp:coreProperties>
</file>