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collado/Dropbox/Code/spatialDLPFC/raw-data/sample_info/"/>
    </mc:Choice>
  </mc:AlternateContent>
  <xr:revisionPtr revIDLastSave="0" documentId="13_ncr:1_{1236EFFE-11B6-F44D-8F8F-5DED1A70A309}" xr6:coauthVersionLast="47" xr6:coauthVersionMax="47" xr10:uidLastSave="{00000000-0000-0000-0000-000000000000}"/>
  <bookViews>
    <workbookView xWindow="3040" yWindow="1600" windowWidth="42160" windowHeight="22460" xr2:uid="{B66B734A-5F93-044A-AE59-DEF2AFBEF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3" i="1" l="1"/>
  <c r="Q13" i="1"/>
  <c r="R13" i="1" s="1"/>
  <c r="AA12" i="1"/>
  <c r="Q12" i="1"/>
  <c r="R12" i="1" s="1"/>
  <c r="AA11" i="1"/>
  <c r="Q11" i="1"/>
  <c r="R11" i="1" s="1"/>
  <c r="AA10" i="1"/>
  <c r="Q10" i="1"/>
  <c r="R10" i="1" s="1"/>
  <c r="AA9" i="1"/>
  <c r="Q9" i="1"/>
  <c r="R9" i="1" s="1"/>
  <c r="AA8" i="1"/>
  <c r="Q8" i="1"/>
  <c r="R8" i="1" s="1"/>
  <c r="AA7" i="1"/>
  <c r="Q7" i="1"/>
  <c r="R7" i="1" s="1"/>
  <c r="AA6" i="1"/>
  <c r="Q6" i="1"/>
  <c r="R6" i="1" s="1"/>
  <c r="AA5" i="1"/>
  <c r="U5" i="1"/>
  <c r="Q5" i="1"/>
  <c r="R5" i="1" s="1"/>
  <c r="AA4" i="1"/>
  <c r="U4" i="1"/>
  <c r="Q4" i="1"/>
  <c r="R4" i="1" s="1"/>
  <c r="AA3" i="1"/>
  <c r="U3" i="1"/>
  <c r="Q3" i="1"/>
  <c r="R3" i="1" s="1"/>
  <c r="AA2" i="1"/>
  <c r="U2" i="1"/>
  <c r="Q2" i="1"/>
  <c r="R2" i="1" s="1"/>
  <c r="AA19" i="1"/>
  <c r="Q19" i="1"/>
  <c r="R19" i="1" s="1"/>
  <c r="AA18" i="1"/>
  <c r="Q18" i="1"/>
  <c r="R18" i="1" s="1"/>
  <c r="AA17" i="1"/>
  <c r="Q17" i="1"/>
  <c r="R17" i="1" s="1"/>
  <c r="AA16" i="1"/>
  <c r="Q16" i="1"/>
  <c r="R16" i="1" s="1"/>
  <c r="AA15" i="1"/>
  <c r="Q15" i="1"/>
  <c r="R15" i="1" s="1"/>
  <c r="AA14" i="1"/>
  <c r="Q14" i="1"/>
  <c r="R14" i="1" s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U31" i="1"/>
  <c r="P31" i="1"/>
  <c r="R31" i="1" s="1"/>
  <c r="U30" i="1"/>
  <c r="P30" i="1"/>
  <c r="R30" i="1" s="1"/>
  <c r="U29" i="1"/>
  <c r="P29" i="1"/>
  <c r="R29" i="1" s="1"/>
  <c r="U28" i="1"/>
  <c r="P28" i="1"/>
  <c r="R28" i="1" s="1"/>
  <c r="U27" i="1"/>
  <c r="P27" i="1"/>
  <c r="R27" i="1" s="1"/>
  <c r="U26" i="1"/>
  <c r="P26" i="1"/>
  <c r="R26" i="1" s="1"/>
  <c r="U25" i="1"/>
  <c r="P25" i="1"/>
  <c r="R25" i="1" s="1"/>
  <c r="U24" i="1"/>
  <c r="P24" i="1"/>
  <c r="R24" i="1" s="1"/>
  <c r="U23" i="1"/>
  <c r="U22" i="1"/>
  <c r="U21" i="1"/>
  <c r="A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U2" authorId="0" shapeId="0" xr:uid="{91698BD3-DC09-E145-AFB8-AE81E2FCE8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diluted 1:10
</t>
        </r>
      </text>
    </comment>
  </commentList>
</comments>
</file>

<file path=xl/sharedStrings.xml><?xml version="1.0" encoding="utf-8"?>
<sst xmlns="http://schemas.openxmlformats.org/spreadsheetml/2006/main" count="397" uniqueCount="229">
  <si>
    <t>Sample #</t>
  </si>
  <si>
    <t>Tissue</t>
  </si>
  <si>
    <t>Brain</t>
  </si>
  <si>
    <t>Slide #</t>
  </si>
  <si>
    <t>Array #</t>
  </si>
  <si>
    <t>Ct</t>
  </si>
  <si>
    <t>cDNA Amp Cycle</t>
  </si>
  <si>
    <t>qbit (ng/uL)</t>
  </si>
  <si>
    <t>[cDNA] pg/ul</t>
  </si>
  <si>
    <t>Total cDNA ng</t>
  </si>
  <si>
    <t>cDNA Input</t>
  </si>
  <si>
    <t>SI cycles</t>
  </si>
  <si>
    <t>Agilent [pg/ul]</t>
  </si>
  <si>
    <t>index_name</t>
  </si>
  <si>
    <t>index(i7)</t>
  </si>
  <si>
    <t>index2_workflow_a(i5)</t>
  </si>
  <si>
    <t>index2_workflow_b(i5)</t>
  </si>
  <si>
    <t>% Coverage Array</t>
  </si>
  <si>
    <t>DLPFC</t>
  </si>
  <si>
    <t>V10B01-002</t>
  </si>
  <si>
    <t>A1</t>
  </si>
  <si>
    <t>SI-TT-F11</t>
  </si>
  <si>
    <t>TTCACACCTT</t>
  </si>
  <si>
    <t>TAGTGTACAC</t>
  </si>
  <si>
    <t>GTGTACACTA</t>
  </si>
  <si>
    <t>B1</t>
  </si>
  <si>
    <t>SI-TT-G11</t>
  </si>
  <si>
    <t>GATAACCTGC</t>
  </si>
  <si>
    <t>CATTAGAAAC</t>
  </si>
  <si>
    <t>GTTTCTAATG</t>
  </si>
  <si>
    <t>C1</t>
  </si>
  <si>
    <t>SI-TT-H11</t>
  </si>
  <si>
    <t>ACAATCGATC</t>
  </si>
  <si>
    <t>TGACGGAATG</t>
  </si>
  <si>
    <t>CATTCCGTCA</t>
  </si>
  <si>
    <t>D1</t>
  </si>
  <si>
    <t>SI-TT-A12</t>
  </si>
  <si>
    <t>CACCGCACCA</t>
  </si>
  <si>
    <t>GACTGTCAAT</t>
  </si>
  <si>
    <t>ATTGACAGTC</t>
  </si>
  <si>
    <t>Br2720_ant_2</t>
  </si>
  <si>
    <t>Br8325_mid_2</t>
  </si>
  <si>
    <t>Round</t>
  </si>
  <si>
    <t>linda's number</t>
  </si>
  <si>
    <t>number</t>
  </si>
  <si>
    <t>sample name</t>
  </si>
  <si>
    <t>Br2743_ant</t>
  </si>
  <si>
    <t>Br3942_ant</t>
  </si>
  <si>
    <t>Br6423_ant</t>
  </si>
  <si>
    <t>Br8492_ant</t>
  </si>
  <si>
    <t>Br2743_mid</t>
  </si>
  <si>
    <t>Br3942_mid</t>
  </si>
  <si>
    <t>Br6423_mid</t>
  </si>
  <si>
    <t>Br8492_mid</t>
  </si>
  <si>
    <t>Br2743_post</t>
  </si>
  <si>
    <t>Br3942_post</t>
  </si>
  <si>
    <t>Br6423_post</t>
  </si>
  <si>
    <t>Br8492_post</t>
  </si>
  <si>
    <t>1v_a</t>
  </si>
  <si>
    <t>Br2720_ant</t>
  </si>
  <si>
    <t>2v_a</t>
  </si>
  <si>
    <t>Br2720_mid</t>
  </si>
  <si>
    <t>3v_a</t>
  </si>
  <si>
    <t>Br2720_post</t>
  </si>
  <si>
    <t>5v_a</t>
  </si>
  <si>
    <t>Br6432_ant</t>
  </si>
  <si>
    <t>6v_a</t>
  </si>
  <si>
    <t>Br6432_mid</t>
  </si>
  <si>
    <t>7v_a</t>
  </si>
  <si>
    <t>Br6432_post</t>
  </si>
  <si>
    <t>Br6471_ant</t>
  </si>
  <si>
    <t>Br6522_ant</t>
  </si>
  <si>
    <t>Br8325_ant</t>
  </si>
  <si>
    <t>Br8667_ant</t>
  </si>
  <si>
    <t>Br6471_mid</t>
  </si>
  <si>
    <t>Br6522_mid</t>
  </si>
  <si>
    <t>Br8325_mid</t>
  </si>
  <si>
    <t>Br8667_mid</t>
  </si>
  <si>
    <t>Br6471_post</t>
  </si>
  <si>
    <t>Br6522_post</t>
  </si>
  <si>
    <t>Br8325_post</t>
  </si>
  <si>
    <t>Br8667_post</t>
  </si>
  <si>
    <t>Br2720mid_2</t>
  </si>
  <si>
    <t>6432ant_2</t>
  </si>
  <si>
    <t>8325mid_2</t>
  </si>
  <si>
    <t>2720ant_2</t>
  </si>
  <si>
    <t>Br6432_ant_2</t>
  </si>
  <si>
    <t>yes</t>
  </si>
  <si>
    <t>torn</t>
  </si>
  <si>
    <t>missing layers</t>
  </si>
  <si>
    <t>wrinkled</t>
  </si>
  <si>
    <t>holes</t>
  </si>
  <si>
    <t>very wrinkled</t>
  </si>
  <si>
    <t>sequenced</t>
  </si>
  <si>
    <t>issues</t>
  </si>
  <si>
    <t>resequence</t>
  </si>
  <si>
    <t>no</t>
  </si>
  <si>
    <t>Br2720_mid_2</t>
  </si>
  <si>
    <t>V10U24-094</t>
  </si>
  <si>
    <t>SI-TT-A8</t>
  </si>
  <si>
    <t>CGAAGTATAC</t>
  </si>
  <si>
    <t>GAACTTGGAG</t>
  </si>
  <si>
    <t>CTCCAAGTTC</t>
  </si>
  <si>
    <t>SI-TT-B8</t>
  </si>
  <si>
    <t>GCACTGAGAA</t>
  </si>
  <si>
    <t>TATGCGTGAA</t>
  </si>
  <si>
    <t>TTCACGCATA</t>
  </si>
  <si>
    <t>SI-TT-C8</t>
  </si>
  <si>
    <t>GCTACAAAGC</t>
  </si>
  <si>
    <t>CACGTGCCCT</t>
  </si>
  <si>
    <t>AGGGCACGTG</t>
  </si>
  <si>
    <t>SI-TT-D8</t>
  </si>
  <si>
    <t>CGCTGAAATC</t>
  </si>
  <si>
    <t>AGGTGTCTGC</t>
  </si>
  <si>
    <t>GCAGACACCT</t>
  </si>
  <si>
    <t>V10B01-052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</si>
  <si>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</si>
  <si>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</si>
  <si>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</si>
  <si>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</si>
  <si>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</si>
  <si>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</si>
  <si>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</si>
  <si>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</si>
  <si>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</si>
  <si>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</si>
  <si>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</si>
  <si>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</si>
  <si>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</si>
  <si>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</si>
  <si>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</si>
  <si>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</si>
  <si>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V10B01-053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</si>
  <si>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</si>
  <si>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</si>
  <si>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</si>
  <si>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</si>
  <si>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</si>
  <si>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</si>
  <si>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</si>
  <si>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</si>
  <si>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</si>
  <si>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</si>
  <si>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</si>
  <si>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</si>
  <si>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SI-TT-D10</t>
  </si>
  <si>
    <t>ATGCGAATGG</t>
  </si>
  <si>
    <t>ACAAGTGTCG</t>
  </si>
  <si>
    <t>CGACACTTGT</t>
  </si>
  <si>
    <t>NA</t>
  </si>
  <si>
    <t>V10U24-091</t>
  </si>
  <si>
    <t>SI-TT-E5</t>
  </si>
  <si>
    <t>CGCGGTAGGT</t>
  </si>
  <si>
    <t>CAGGATGTTG</t>
  </si>
  <si>
    <t>CAACATCCTG</t>
  </si>
  <si>
    <t>SI-TT-F5</t>
  </si>
  <si>
    <t>CGGCTGGATG</t>
  </si>
  <si>
    <t>TGATAAGCAC</t>
  </si>
  <si>
    <t>GTGCTTATCA</t>
  </si>
  <si>
    <t>SI-TT-G5</t>
  </si>
  <si>
    <t>ATAGGGCGAG</t>
  </si>
  <si>
    <t>TGCATCGAGT</t>
  </si>
  <si>
    <t>ACTCGATGCA</t>
  </si>
  <si>
    <t>V10U24-092</t>
  </si>
  <si>
    <t>SI-TT-A6</t>
  </si>
  <si>
    <t>TAACGCGTGA</t>
  </si>
  <si>
    <t>CCCTAACTTC</t>
  </si>
  <si>
    <t>GAAGTTAGGG</t>
  </si>
  <si>
    <t>SI-TT-B6</t>
  </si>
  <si>
    <t>AATGCCATGA</t>
  </si>
  <si>
    <t>TACGTAATGC</t>
  </si>
  <si>
    <t>GCATTACGTA</t>
  </si>
  <si>
    <t>SI-TT-C6</t>
  </si>
  <si>
    <t>ACGACTACCA</t>
  </si>
  <si>
    <t>ACGACCCTAA</t>
  </si>
  <si>
    <t>TTAGGGTCGT</t>
  </si>
  <si>
    <t>Ave frag length library</t>
  </si>
  <si>
    <t xml:space="preserve">Est Read Pairs (million) </t>
  </si>
  <si>
    <t>V19B23-075</t>
  </si>
  <si>
    <t>SI-TT-E1</t>
  </si>
  <si>
    <t>TTATTCGAGG</t>
  </si>
  <si>
    <t>CTGTCCTGCT</t>
  </si>
  <si>
    <t>AGCAGGACAG</t>
  </si>
  <si>
    <t>SI-TT-F1</t>
  </si>
  <si>
    <t>AAGATTGGAT</t>
  </si>
  <si>
    <t>AGCGGGATTT</t>
  </si>
  <si>
    <t>AAATCCCGCT</t>
  </si>
  <si>
    <t>SI-TT-G1</t>
  </si>
  <si>
    <t>TGTAGTCATT</t>
  </si>
  <si>
    <t>CTTGATCGTA</t>
  </si>
  <si>
    <t>TACGATCAAG</t>
  </si>
  <si>
    <t>SI-TT-H1</t>
  </si>
  <si>
    <t>ACAATGTGAA</t>
  </si>
  <si>
    <t>CGTACCGTTA</t>
  </si>
  <si>
    <t>TAACGGTACG</t>
  </si>
  <si>
    <t>V19B23-074</t>
  </si>
  <si>
    <t>SI-TT-A2</t>
  </si>
  <si>
    <t>GTGGATCAAA</t>
  </si>
  <si>
    <t>GCCAACCCTG</t>
  </si>
  <si>
    <t>CAGGGTTGGC</t>
  </si>
  <si>
    <t>SI-TT-B2</t>
  </si>
  <si>
    <t>TCTACCATTT</t>
  </si>
  <si>
    <t>CGGGAGAGTC</t>
  </si>
  <si>
    <t>GACTCTCCCG</t>
  </si>
  <si>
    <t>SI-TT-C2</t>
  </si>
  <si>
    <t>CAATCCCGAC</t>
  </si>
  <si>
    <t>CCGAGTAGTA</t>
  </si>
  <si>
    <t>TACTACTCGG</t>
  </si>
  <si>
    <t>SI-TT-D2</t>
  </si>
  <si>
    <t>TTAATACGCG</t>
  </si>
  <si>
    <t>CACCTCGGGT</t>
  </si>
  <si>
    <t>ACCCGAGGTG</t>
  </si>
  <si>
    <t>V19B23-073</t>
  </si>
  <si>
    <t>SI-TT-E2</t>
  </si>
  <si>
    <t>ATGGAGGGAG</t>
  </si>
  <si>
    <t>ATAACCCATT</t>
  </si>
  <si>
    <t>AATGGGTTAT</t>
  </si>
  <si>
    <t>SI-TT-F2</t>
  </si>
  <si>
    <t>AAGGGCCGCA</t>
  </si>
  <si>
    <t>CTGATTCCTC</t>
  </si>
  <si>
    <t>GAGGAATCAG</t>
  </si>
  <si>
    <t>SI-TT-G2</t>
  </si>
  <si>
    <t>CATGTGGGTT</t>
  </si>
  <si>
    <t>GATTCCTTTA</t>
  </si>
  <si>
    <t>TAAAGGAATC</t>
  </si>
  <si>
    <t>SI-TT-H2</t>
  </si>
  <si>
    <t>TAGCATAGTG</t>
  </si>
  <si>
    <t>CGGCTCTGTC</t>
  </si>
  <si>
    <t>GACAGAGCCG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</si>
</sst>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4" fontId="0" fillId="0" borderId="0" xfId="0" applyNumberForma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9FE4-AE3F-0C46-876D-E97BC7D336BD}">
  <dimension ref="A1:AA37"/>
  <sheetViews>
    <sheetView tabSelected="1" topLeftCell="E1" zoomScale="135" zoomScaleNormal="135" workbookViewId="0">
      <selection activeCell="T37" sqref="T37"/>
    </sheetView>
  </sheetViews>
  <sheetFormatPr baseColWidth="10" defaultRowHeight="16" x14ac:dyDescent="0.2"/>
  <sheetData>
    <row r="1" spans="1:27" x14ac:dyDescent="0.2">
      <c r="A1" t="s">
        <v>42</v>
      </c>
      <c r="B1" t="s">
        <v>43</v>
      </c>
      <c r="C1" t="s">
        <v>44</v>
      </c>
      <c r="D1" t="s">
        <v>45</v>
      </c>
      <c r="E1" t="s">
        <v>93</v>
      </c>
      <c r="F1" t="s">
        <v>94</v>
      </c>
      <c r="G1" t="s">
        <v>95</v>
      </c>
      <c r="H1" s="13" t="s">
        <v>0</v>
      </c>
      <c r="I1" s="13" t="s">
        <v>1</v>
      </c>
      <c r="J1" s="13" t="s">
        <v>2</v>
      </c>
      <c r="K1" s="13" t="s">
        <v>3</v>
      </c>
      <c r="L1" s="13" t="s">
        <v>4</v>
      </c>
      <c r="M1" s="13" t="s">
        <v>5</v>
      </c>
      <c r="N1" s="13" t="s">
        <v>6</v>
      </c>
      <c r="O1" s="2" t="s">
        <v>7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176</v>
      </c>
      <c r="U1" s="13" t="s">
        <v>12</v>
      </c>
      <c r="V1" s="13" t="s">
        <v>13</v>
      </c>
      <c r="W1" s="13" t="s">
        <v>14</v>
      </c>
      <c r="X1" s="13" t="s">
        <v>15</v>
      </c>
      <c r="Y1" s="13" t="s">
        <v>16</v>
      </c>
      <c r="Z1" s="13" t="s">
        <v>17</v>
      </c>
      <c r="AA1" s="13" t="s">
        <v>177</v>
      </c>
    </row>
    <row r="2" spans="1:27" x14ac:dyDescent="0.2">
      <c r="A2">
        <v>1</v>
      </c>
      <c r="B2">
        <v>2</v>
      </c>
      <c r="C2" s="10">
        <v>1</v>
      </c>
      <c r="D2" s="10" t="s">
        <v>46</v>
      </c>
      <c r="E2" t="s">
        <v>87</v>
      </c>
      <c r="H2" s="10">
        <v>1</v>
      </c>
      <c r="I2" s="10" t="s">
        <v>18</v>
      </c>
      <c r="J2" s="10" t="s">
        <v>46</v>
      </c>
      <c r="K2" s="10" t="s">
        <v>178</v>
      </c>
      <c r="L2" s="10" t="s">
        <v>20</v>
      </c>
      <c r="M2" s="14">
        <v>17.41</v>
      </c>
      <c r="N2" s="10">
        <v>17</v>
      </c>
      <c r="P2" s="10">
        <v>4345.1499999999996</v>
      </c>
      <c r="Q2" s="15">
        <f>(P2*40)/1000</f>
        <v>173.80600000000001</v>
      </c>
      <c r="R2" s="15">
        <f>0.25*Q2</f>
        <v>43.451500000000003</v>
      </c>
      <c r="S2" s="10">
        <v>14</v>
      </c>
      <c r="T2" s="10">
        <v>501</v>
      </c>
      <c r="U2" s="19">
        <f>1335.86*10</f>
        <v>13358.599999999999</v>
      </c>
      <c r="V2" s="10" t="s">
        <v>179</v>
      </c>
      <c r="W2" s="18" t="s">
        <v>180</v>
      </c>
      <c r="X2" s="18" t="s">
        <v>181</v>
      </c>
      <c r="Y2" s="18" t="s">
        <v>182</v>
      </c>
      <c r="Z2" s="10">
        <v>0.75</v>
      </c>
      <c r="AA2" s="10">
        <f>Z2*5000*50</f>
        <v>187500</v>
      </c>
    </row>
    <row r="3" spans="1:27" x14ac:dyDescent="0.2">
      <c r="A3">
        <v>1</v>
      </c>
      <c r="B3">
        <v>3</v>
      </c>
      <c r="C3" s="10">
        <v>2</v>
      </c>
      <c r="D3" s="10" t="s">
        <v>47</v>
      </c>
      <c r="E3" t="s">
        <v>87</v>
      </c>
      <c r="H3" s="10">
        <v>2</v>
      </c>
      <c r="I3" s="10" t="s">
        <v>18</v>
      </c>
      <c r="J3" s="10" t="s">
        <v>47</v>
      </c>
      <c r="K3" s="10" t="s">
        <v>178</v>
      </c>
      <c r="L3" s="10" t="s">
        <v>25</v>
      </c>
      <c r="M3" s="14">
        <v>16.64</v>
      </c>
      <c r="N3" s="10">
        <v>17</v>
      </c>
      <c r="P3" s="10">
        <v>1686.93</v>
      </c>
      <c r="Q3" s="15">
        <f t="shared" ref="Q3:Q13" si="0">(P3*40)/1000</f>
        <v>67.477199999999996</v>
      </c>
      <c r="R3" s="15">
        <f t="shared" ref="R3:R13" si="1">0.25*Q3</f>
        <v>16.869299999999999</v>
      </c>
      <c r="S3" s="10">
        <v>16</v>
      </c>
      <c r="T3" s="10">
        <v>480</v>
      </c>
      <c r="U3" s="19">
        <f>2907.6*10</f>
        <v>29076</v>
      </c>
      <c r="V3" s="10" t="s">
        <v>183</v>
      </c>
      <c r="W3" s="18" t="s">
        <v>184</v>
      </c>
      <c r="X3" s="18" t="s">
        <v>185</v>
      </c>
      <c r="Y3" s="18" t="s">
        <v>186</v>
      </c>
      <c r="Z3" s="10">
        <v>0.7</v>
      </c>
      <c r="AA3" s="10">
        <f t="shared" ref="AA3:AA13" si="2">Z3*5000*50</f>
        <v>175000</v>
      </c>
    </row>
    <row r="4" spans="1:27" x14ac:dyDescent="0.2">
      <c r="A4">
        <v>1</v>
      </c>
      <c r="B4">
        <v>1</v>
      </c>
      <c r="C4" s="10">
        <v>3</v>
      </c>
      <c r="D4" s="10" t="s">
        <v>48</v>
      </c>
      <c r="E4" t="s">
        <v>87</v>
      </c>
      <c r="G4" s="12" t="s">
        <v>87</v>
      </c>
      <c r="H4" s="10">
        <v>3</v>
      </c>
      <c r="I4" s="10" t="s">
        <v>18</v>
      </c>
      <c r="J4" s="10" t="s">
        <v>48</v>
      </c>
      <c r="K4" s="10" t="s">
        <v>178</v>
      </c>
      <c r="L4" s="10" t="s">
        <v>30</v>
      </c>
      <c r="M4" s="14">
        <v>17.71</v>
      </c>
      <c r="N4" s="10">
        <v>18</v>
      </c>
      <c r="P4" s="10">
        <v>2919.47</v>
      </c>
      <c r="Q4" s="15">
        <f t="shared" si="0"/>
        <v>116.77879999999999</v>
      </c>
      <c r="R4" s="15">
        <f t="shared" si="1"/>
        <v>29.194699999999997</v>
      </c>
      <c r="S4" s="10">
        <v>14</v>
      </c>
      <c r="T4" s="10">
        <v>530</v>
      </c>
      <c r="U4" s="19">
        <f>1357.16*10</f>
        <v>13571.6</v>
      </c>
      <c r="V4" s="10" t="s">
        <v>187</v>
      </c>
      <c r="W4" s="18" t="s">
        <v>188</v>
      </c>
      <c r="X4" s="18" t="s">
        <v>189</v>
      </c>
      <c r="Y4" s="18" t="s">
        <v>190</v>
      </c>
      <c r="Z4" s="10">
        <v>0.75</v>
      </c>
      <c r="AA4" s="10">
        <f t="shared" si="2"/>
        <v>187500</v>
      </c>
    </row>
    <row r="5" spans="1:27" x14ac:dyDescent="0.2">
      <c r="A5">
        <v>1</v>
      </c>
      <c r="B5">
        <v>4</v>
      </c>
      <c r="C5" s="10">
        <v>4</v>
      </c>
      <c r="D5" s="10" t="s">
        <v>49</v>
      </c>
      <c r="E5" t="s">
        <v>87</v>
      </c>
      <c r="H5" s="10">
        <v>4</v>
      </c>
      <c r="I5" s="10" t="s">
        <v>18</v>
      </c>
      <c r="J5" s="10" t="s">
        <v>49</v>
      </c>
      <c r="K5" s="10" t="s">
        <v>178</v>
      </c>
      <c r="L5" s="10" t="s">
        <v>35</v>
      </c>
      <c r="M5" s="14">
        <v>17.899999999999999</v>
      </c>
      <c r="N5" s="10">
        <v>18</v>
      </c>
      <c r="P5" s="10">
        <v>3958.41</v>
      </c>
      <c r="Q5" s="15">
        <f t="shared" si="0"/>
        <v>158.3364</v>
      </c>
      <c r="R5" s="15">
        <f t="shared" si="1"/>
        <v>39.584099999999999</v>
      </c>
      <c r="S5" s="10">
        <v>14</v>
      </c>
      <c r="T5" s="10">
        <v>545</v>
      </c>
      <c r="U5" s="19">
        <f>4661.6*10</f>
        <v>46616</v>
      </c>
      <c r="V5" s="10" t="s">
        <v>191</v>
      </c>
      <c r="W5" s="18" t="s">
        <v>192</v>
      </c>
      <c r="X5" s="18" t="s">
        <v>193</v>
      </c>
      <c r="Y5" s="18" t="s">
        <v>194</v>
      </c>
      <c r="Z5" s="10">
        <v>0.9</v>
      </c>
      <c r="AA5" s="10">
        <f t="shared" si="2"/>
        <v>225000</v>
      </c>
    </row>
    <row r="6" spans="1:27" x14ac:dyDescent="0.2">
      <c r="A6">
        <v>1</v>
      </c>
      <c r="B6">
        <v>8</v>
      </c>
      <c r="C6" s="11">
        <v>5</v>
      </c>
      <c r="D6" s="10" t="s">
        <v>50</v>
      </c>
      <c r="E6" t="s">
        <v>87</v>
      </c>
      <c r="G6" s="12" t="s">
        <v>87</v>
      </c>
      <c r="H6" s="10">
        <v>5</v>
      </c>
      <c r="I6" s="10" t="s">
        <v>18</v>
      </c>
      <c r="J6" s="10" t="s">
        <v>50</v>
      </c>
      <c r="K6" s="10" t="s">
        <v>195</v>
      </c>
      <c r="L6" s="10" t="s">
        <v>20</v>
      </c>
      <c r="M6" s="14">
        <v>17.04</v>
      </c>
      <c r="N6" s="10">
        <v>17</v>
      </c>
      <c r="P6" s="10">
        <v>4959.43</v>
      </c>
      <c r="Q6" s="15">
        <f t="shared" si="0"/>
        <v>198.37720000000002</v>
      </c>
      <c r="R6" s="15">
        <f t="shared" si="1"/>
        <v>49.594300000000004</v>
      </c>
      <c r="S6" s="10">
        <v>14</v>
      </c>
      <c r="T6" s="10">
        <v>439</v>
      </c>
      <c r="U6" s="19">
        <v>18362.919999999998</v>
      </c>
      <c r="V6" s="10" t="s">
        <v>196</v>
      </c>
      <c r="W6" s="18" t="s">
        <v>197</v>
      </c>
      <c r="X6" s="18" t="s">
        <v>198</v>
      </c>
      <c r="Y6" s="18" t="s">
        <v>199</v>
      </c>
      <c r="Z6" s="10">
        <v>0.8</v>
      </c>
      <c r="AA6" s="10">
        <f t="shared" si="2"/>
        <v>200000</v>
      </c>
    </row>
    <row r="7" spans="1:27" x14ac:dyDescent="0.2">
      <c r="A7">
        <v>1</v>
      </c>
      <c r="B7">
        <v>9</v>
      </c>
      <c r="C7" s="11">
        <v>6</v>
      </c>
      <c r="D7" s="10" t="s">
        <v>51</v>
      </c>
      <c r="E7" t="s">
        <v>87</v>
      </c>
      <c r="H7" s="10">
        <v>6</v>
      </c>
      <c r="I7" s="10" t="s">
        <v>18</v>
      </c>
      <c r="J7" s="10" t="s">
        <v>51</v>
      </c>
      <c r="K7" s="10" t="s">
        <v>195</v>
      </c>
      <c r="L7" s="10" t="s">
        <v>25</v>
      </c>
      <c r="M7" s="14">
        <v>17.399999999999999</v>
      </c>
      <c r="N7" s="10">
        <v>17</v>
      </c>
      <c r="P7" s="10">
        <v>9280.6200000000008</v>
      </c>
      <c r="Q7" s="15">
        <f t="shared" si="0"/>
        <v>371.22480000000007</v>
      </c>
      <c r="R7" s="15">
        <f t="shared" si="1"/>
        <v>92.806200000000018</v>
      </c>
      <c r="S7" s="10">
        <v>14</v>
      </c>
      <c r="T7" s="10">
        <v>418</v>
      </c>
      <c r="U7" s="19">
        <v>21018.79</v>
      </c>
      <c r="V7" s="10" t="s">
        <v>200</v>
      </c>
      <c r="W7" s="18" t="s">
        <v>201</v>
      </c>
      <c r="X7" s="18" t="s">
        <v>202</v>
      </c>
      <c r="Y7" s="18" t="s">
        <v>203</v>
      </c>
      <c r="Z7" s="10">
        <v>0.6</v>
      </c>
      <c r="AA7" s="10">
        <f t="shared" si="2"/>
        <v>150000</v>
      </c>
    </row>
    <row r="8" spans="1:27" x14ac:dyDescent="0.2">
      <c r="A8">
        <v>1</v>
      </c>
      <c r="B8">
        <v>10</v>
      </c>
      <c r="C8" s="11">
        <v>7</v>
      </c>
      <c r="D8" s="10" t="s">
        <v>52</v>
      </c>
      <c r="E8" t="s">
        <v>87</v>
      </c>
      <c r="G8" s="12" t="s">
        <v>87</v>
      </c>
      <c r="H8" s="10">
        <v>7</v>
      </c>
      <c r="I8" s="10" t="s">
        <v>18</v>
      </c>
      <c r="J8" s="10" t="s">
        <v>52</v>
      </c>
      <c r="K8" s="10" t="s">
        <v>195</v>
      </c>
      <c r="L8" s="10" t="s">
        <v>30</v>
      </c>
      <c r="M8" s="14">
        <v>16.95</v>
      </c>
      <c r="N8" s="10">
        <v>17</v>
      </c>
      <c r="P8" s="10">
        <v>5662.33</v>
      </c>
      <c r="Q8" s="15">
        <f t="shared" si="0"/>
        <v>226.4932</v>
      </c>
      <c r="R8" s="15">
        <f t="shared" si="1"/>
        <v>56.6233</v>
      </c>
      <c r="S8" s="10">
        <v>14</v>
      </c>
      <c r="T8" s="10">
        <v>413</v>
      </c>
      <c r="U8" s="19">
        <v>16002.97</v>
      </c>
      <c r="V8" s="10" t="s">
        <v>204</v>
      </c>
      <c r="W8" s="18" t="s">
        <v>205</v>
      </c>
      <c r="X8" s="18" t="s">
        <v>206</v>
      </c>
      <c r="Y8" s="18" t="s">
        <v>207</v>
      </c>
      <c r="Z8" s="10">
        <v>0.7</v>
      </c>
      <c r="AA8" s="10">
        <f t="shared" si="2"/>
        <v>175000</v>
      </c>
    </row>
    <row r="9" spans="1:27" x14ac:dyDescent="0.2">
      <c r="A9">
        <v>1</v>
      </c>
      <c r="B9">
        <v>11</v>
      </c>
      <c r="C9" s="11">
        <v>8</v>
      </c>
      <c r="D9" s="10" t="s">
        <v>53</v>
      </c>
      <c r="E9" t="s">
        <v>87</v>
      </c>
      <c r="G9" s="12" t="s">
        <v>87</v>
      </c>
      <c r="H9" s="10">
        <v>8</v>
      </c>
      <c r="I9" s="10" t="s">
        <v>18</v>
      </c>
      <c r="J9" s="10" t="s">
        <v>53</v>
      </c>
      <c r="K9" s="10" t="s">
        <v>195</v>
      </c>
      <c r="L9" s="10" t="s">
        <v>35</v>
      </c>
      <c r="M9" s="14">
        <v>17.7</v>
      </c>
      <c r="N9" s="10">
        <v>18</v>
      </c>
      <c r="P9" s="10">
        <v>5591.18</v>
      </c>
      <c r="Q9" s="15">
        <f t="shared" si="0"/>
        <v>223.6472</v>
      </c>
      <c r="R9" s="15">
        <f t="shared" si="1"/>
        <v>55.911799999999999</v>
      </c>
      <c r="S9" s="10">
        <v>14</v>
      </c>
      <c r="T9" s="10">
        <v>381</v>
      </c>
      <c r="U9" s="19">
        <v>30634.04</v>
      </c>
      <c r="V9" s="10" t="s">
        <v>208</v>
      </c>
      <c r="W9" s="18" t="s">
        <v>209</v>
      </c>
      <c r="X9" s="18" t="s">
        <v>210</v>
      </c>
      <c r="Y9" s="18" t="s">
        <v>211</v>
      </c>
      <c r="Z9" s="10">
        <v>0.85</v>
      </c>
      <c r="AA9" s="10">
        <f t="shared" si="2"/>
        <v>212500</v>
      </c>
    </row>
    <row r="10" spans="1:27" x14ac:dyDescent="0.2">
      <c r="A10">
        <v>1</v>
      </c>
      <c r="B10">
        <v>5</v>
      </c>
      <c r="C10" s="11">
        <v>9</v>
      </c>
      <c r="D10" s="10" t="s">
        <v>54</v>
      </c>
      <c r="E10" t="s">
        <v>87</v>
      </c>
      <c r="H10" s="10">
        <v>9</v>
      </c>
      <c r="I10" s="10" t="s">
        <v>18</v>
      </c>
      <c r="J10" s="10" t="s">
        <v>54</v>
      </c>
      <c r="K10" s="10" t="s">
        <v>212</v>
      </c>
      <c r="L10" s="10" t="s">
        <v>20</v>
      </c>
      <c r="M10" s="14">
        <v>17.149999999999999</v>
      </c>
      <c r="N10" s="10">
        <v>17</v>
      </c>
      <c r="P10" s="10">
        <v>5703.68</v>
      </c>
      <c r="Q10" s="15">
        <f t="shared" si="0"/>
        <v>228.1472</v>
      </c>
      <c r="R10" s="15">
        <f t="shared" si="1"/>
        <v>57.036799999999999</v>
      </c>
      <c r="S10" s="10">
        <v>14</v>
      </c>
      <c r="T10" s="10">
        <v>365</v>
      </c>
      <c r="U10" s="19">
        <v>17508.96</v>
      </c>
      <c r="V10" s="10" t="s">
        <v>213</v>
      </c>
      <c r="W10" s="18" t="s">
        <v>214</v>
      </c>
      <c r="X10" s="18" t="s">
        <v>215</v>
      </c>
      <c r="Y10" s="18" t="s">
        <v>216</v>
      </c>
      <c r="Z10" s="10">
        <v>0.6</v>
      </c>
      <c r="AA10" s="10">
        <f t="shared" si="2"/>
        <v>150000</v>
      </c>
    </row>
    <row r="11" spans="1:27" x14ac:dyDescent="0.2">
      <c r="A11">
        <v>1</v>
      </c>
      <c r="B11">
        <v>6</v>
      </c>
      <c r="C11" s="11">
        <v>10</v>
      </c>
      <c r="D11" s="10" t="s">
        <v>55</v>
      </c>
      <c r="E11" t="s">
        <v>87</v>
      </c>
      <c r="H11" s="10">
        <v>10</v>
      </c>
      <c r="I11" s="10" t="s">
        <v>18</v>
      </c>
      <c r="J11" s="10" t="s">
        <v>55</v>
      </c>
      <c r="K11" s="10" t="s">
        <v>212</v>
      </c>
      <c r="L11" s="10" t="s">
        <v>25</v>
      </c>
      <c r="M11" s="14">
        <v>17.02</v>
      </c>
      <c r="N11" s="10">
        <v>17</v>
      </c>
      <c r="P11" s="10">
        <v>7012.62</v>
      </c>
      <c r="Q11" s="15">
        <f t="shared" si="0"/>
        <v>280.50479999999999</v>
      </c>
      <c r="R11" s="15">
        <f t="shared" si="1"/>
        <v>70.126199999999997</v>
      </c>
      <c r="S11" s="10">
        <v>14</v>
      </c>
      <c r="T11" s="10">
        <v>360</v>
      </c>
      <c r="U11" s="19">
        <v>17152.79</v>
      </c>
      <c r="V11" s="10" t="s">
        <v>217</v>
      </c>
      <c r="W11" s="18" t="s">
        <v>218</v>
      </c>
      <c r="X11" s="18" t="s">
        <v>219</v>
      </c>
      <c r="Y11" s="18" t="s">
        <v>220</v>
      </c>
      <c r="Z11" s="10">
        <v>0.8</v>
      </c>
      <c r="AA11" s="10">
        <f t="shared" si="2"/>
        <v>200000</v>
      </c>
    </row>
    <row r="12" spans="1:27" x14ac:dyDescent="0.2">
      <c r="A12">
        <v>1</v>
      </c>
      <c r="B12">
        <v>7</v>
      </c>
      <c r="C12" s="11">
        <v>11</v>
      </c>
      <c r="D12" s="10" t="s">
        <v>56</v>
      </c>
      <c r="E12" t="s">
        <v>87</v>
      </c>
      <c r="H12" s="10">
        <v>11</v>
      </c>
      <c r="I12" s="10" t="s">
        <v>18</v>
      </c>
      <c r="J12" s="10" t="s">
        <v>56</v>
      </c>
      <c r="K12" s="10" t="s">
        <v>212</v>
      </c>
      <c r="L12" s="10" t="s">
        <v>30</v>
      </c>
      <c r="M12" s="14">
        <v>17.010000000000002</v>
      </c>
      <c r="N12" s="10">
        <v>17</v>
      </c>
      <c r="P12" s="10">
        <v>7603.06</v>
      </c>
      <c r="Q12" s="15">
        <f t="shared" si="0"/>
        <v>304.12240000000003</v>
      </c>
      <c r="R12" s="15">
        <f t="shared" si="1"/>
        <v>76.030600000000007</v>
      </c>
      <c r="S12" s="10">
        <v>14</v>
      </c>
      <c r="T12" s="10">
        <v>385</v>
      </c>
      <c r="U12" s="19">
        <v>19004.28</v>
      </c>
      <c r="V12" s="10" t="s">
        <v>221</v>
      </c>
      <c r="W12" s="18" t="s">
        <v>222</v>
      </c>
      <c r="X12" s="18" t="s">
        <v>223</v>
      </c>
      <c r="Y12" s="18" t="s">
        <v>224</v>
      </c>
      <c r="Z12" s="10">
        <v>0.65</v>
      </c>
      <c r="AA12" s="10">
        <f t="shared" si="2"/>
        <v>162500</v>
      </c>
    </row>
    <row r="13" spans="1:27" x14ac:dyDescent="0.2">
      <c r="A13">
        <v>1</v>
      </c>
      <c r="B13">
        <v>12</v>
      </c>
      <c r="C13" s="11">
        <v>12</v>
      </c>
      <c r="D13" s="10" t="s">
        <v>57</v>
      </c>
      <c r="E13" t="s">
        <v>87</v>
      </c>
      <c r="H13" s="10">
        <v>12</v>
      </c>
      <c r="I13" s="10" t="s">
        <v>18</v>
      </c>
      <c r="J13" s="10" t="s">
        <v>57</v>
      </c>
      <c r="K13" s="10" t="s">
        <v>212</v>
      </c>
      <c r="L13" s="10" t="s">
        <v>35</v>
      </c>
      <c r="M13" s="14">
        <v>17.96</v>
      </c>
      <c r="N13" s="10">
        <v>18</v>
      </c>
      <c r="P13" s="10">
        <v>811.69</v>
      </c>
      <c r="Q13" s="15">
        <f t="shared" si="0"/>
        <v>32.467600000000004</v>
      </c>
      <c r="R13" s="15">
        <f t="shared" si="1"/>
        <v>8.1169000000000011</v>
      </c>
      <c r="S13" s="10">
        <v>16</v>
      </c>
      <c r="T13" s="10">
        <v>381</v>
      </c>
      <c r="U13" s="19">
        <v>16301.68</v>
      </c>
      <c r="V13" s="10" t="s">
        <v>225</v>
      </c>
      <c r="W13" s="18" t="s">
        <v>226</v>
      </c>
      <c r="X13" s="18" t="s">
        <v>227</v>
      </c>
      <c r="Y13" s="18" t="s">
        <v>228</v>
      </c>
      <c r="Z13" s="10">
        <v>0.9</v>
      </c>
      <c r="AA13" s="10">
        <f t="shared" si="2"/>
        <v>225000</v>
      </c>
    </row>
    <row r="14" spans="1:27" x14ac:dyDescent="0.2">
      <c r="A14">
        <v>2</v>
      </c>
      <c r="C14" s="4" t="s">
        <v>58</v>
      </c>
      <c r="D14" s="4" t="s">
        <v>59</v>
      </c>
      <c r="E14" t="s">
        <v>87</v>
      </c>
      <c r="F14" s="4" t="s">
        <v>88</v>
      </c>
      <c r="H14" s="10" t="s">
        <v>58</v>
      </c>
      <c r="I14" s="10" t="s">
        <v>18</v>
      </c>
      <c r="J14" s="10" t="s">
        <v>59</v>
      </c>
      <c r="K14" s="10" t="s">
        <v>150</v>
      </c>
      <c r="L14" s="10" t="s">
        <v>20</v>
      </c>
      <c r="M14" s="14">
        <v>17</v>
      </c>
      <c r="N14" s="10">
        <v>17</v>
      </c>
      <c r="P14" s="10">
        <v>9990</v>
      </c>
      <c r="Q14" s="15">
        <f t="shared" ref="Q14:Q19" si="3">(P14*40)/1000</f>
        <v>399.6</v>
      </c>
      <c r="R14" s="15">
        <f t="shared" ref="R14:R19" si="4">Q14/4</f>
        <v>99.9</v>
      </c>
      <c r="S14" s="10">
        <v>14</v>
      </c>
      <c r="T14" s="10">
        <v>526</v>
      </c>
      <c r="U14" s="16">
        <v>1927</v>
      </c>
      <c r="V14" s="10" t="s">
        <v>151</v>
      </c>
      <c r="W14" s="17" t="s">
        <v>152</v>
      </c>
      <c r="X14" s="17" t="s">
        <v>153</v>
      </c>
      <c r="Y14" s="17" t="s">
        <v>154</v>
      </c>
      <c r="Z14" s="10">
        <v>70</v>
      </c>
      <c r="AA14" s="18">
        <f t="shared" ref="AA14:AA19" si="5">(5000*(Z14/100))*50000</f>
        <v>175000000</v>
      </c>
    </row>
    <row r="15" spans="1:27" x14ac:dyDescent="0.2">
      <c r="A15">
        <v>2</v>
      </c>
      <c r="C15" s="4" t="s">
        <v>60</v>
      </c>
      <c r="D15" s="4" t="s">
        <v>61</v>
      </c>
      <c r="E15" t="s">
        <v>87</v>
      </c>
      <c r="F15" s="4" t="s">
        <v>89</v>
      </c>
      <c r="H15" s="10" t="s">
        <v>60</v>
      </c>
      <c r="I15" s="10" t="s">
        <v>18</v>
      </c>
      <c r="J15" s="10" t="s">
        <v>61</v>
      </c>
      <c r="K15" s="10" t="s">
        <v>150</v>
      </c>
      <c r="L15" s="10" t="s">
        <v>25</v>
      </c>
      <c r="M15" s="14">
        <v>17.5</v>
      </c>
      <c r="N15" s="10">
        <v>18</v>
      </c>
      <c r="P15" s="10">
        <v>9533</v>
      </c>
      <c r="Q15" s="15">
        <f t="shared" si="3"/>
        <v>381.32</v>
      </c>
      <c r="R15" s="15">
        <f t="shared" si="4"/>
        <v>95.33</v>
      </c>
      <c r="S15" s="10">
        <v>14</v>
      </c>
      <c r="T15" s="10">
        <v>403</v>
      </c>
      <c r="U15" s="10">
        <v>2476</v>
      </c>
      <c r="V15" s="10" t="s">
        <v>155</v>
      </c>
      <c r="W15" s="17" t="s">
        <v>156</v>
      </c>
      <c r="X15" s="17" t="s">
        <v>157</v>
      </c>
      <c r="Y15" s="17" t="s">
        <v>158</v>
      </c>
      <c r="Z15" s="10">
        <v>30</v>
      </c>
      <c r="AA15" s="18">
        <f t="shared" si="5"/>
        <v>75000000</v>
      </c>
    </row>
    <row r="16" spans="1:27" x14ac:dyDescent="0.2">
      <c r="A16">
        <v>2</v>
      </c>
      <c r="C16" s="4" t="s">
        <v>62</v>
      </c>
      <c r="D16" s="4" t="s">
        <v>63</v>
      </c>
      <c r="E16" t="s">
        <v>87</v>
      </c>
      <c r="G16" s="12" t="s">
        <v>87</v>
      </c>
      <c r="H16" s="10" t="s">
        <v>62</v>
      </c>
      <c r="I16" s="10" t="s">
        <v>18</v>
      </c>
      <c r="J16" s="10" t="s">
        <v>63</v>
      </c>
      <c r="K16" s="10" t="s">
        <v>150</v>
      </c>
      <c r="L16" s="10" t="s">
        <v>30</v>
      </c>
      <c r="M16" s="14">
        <v>17</v>
      </c>
      <c r="N16" s="10">
        <v>17</v>
      </c>
      <c r="P16" s="10">
        <v>15929</v>
      </c>
      <c r="Q16" s="15">
        <f t="shared" si="3"/>
        <v>637.16</v>
      </c>
      <c r="R16" s="15">
        <f t="shared" si="4"/>
        <v>159.29</v>
      </c>
      <c r="S16" s="10">
        <v>12</v>
      </c>
      <c r="T16" s="10">
        <v>489</v>
      </c>
      <c r="U16" s="10">
        <v>716</v>
      </c>
      <c r="V16" s="10" t="s">
        <v>159</v>
      </c>
      <c r="W16" s="17" t="s">
        <v>160</v>
      </c>
      <c r="X16" s="17" t="s">
        <v>161</v>
      </c>
      <c r="Y16" s="17" t="s">
        <v>162</v>
      </c>
      <c r="Z16" s="10">
        <v>95</v>
      </c>
      <c r="AA16" s="18">
        <f t="shared" si="5"/>
        <v>237500000</v>
      </c>
    </row>
    <row r="17" spans="1:27" x14ac:dyDescent="0.2">
      <c r="A17">
        <v>2</v>
      </c>
      <c r="C17" s="4" t="s">
        <v>64</v>
      </c>
      <c r="D17" s="4" t="s">
        <v>65</v>
      </c>
      <c r="E17" t="s">
        <v>87</v>
      </c>
      <c r="F17" s="4" t="s">
        <v>90</v>
      </c>
      <c r="H17" s="10" t="s">
        <v>64</v>
      </c>
      <c r="I17" s="10" t="s">
        <v>18</v>
      </c>
      <c r="J17" s="10" t="s">
        <v>65</v>
      </c>
      <c r="K17" s="10" t="s">
        <v>163</v>
      </c>
      <c r="L17" s="10" t="s">
        <v>20</v>
      </c>
      <c r="M17" s="14">
        <v>17.5</v>
      </c>
      <c r="N17" s="10">
        <v>18</v>
      </c>
      <c r="P17" s="10">
        <v>14867</v>
      </c>
      <c r="Q17" s="15">
        <f t="shared" si="3"/>
        <v>594.67999999999995</v>
      </c>
      <c r="R17" s="15">
        <f t="shared" si="4"/>
        <v>148.66999999999999</v>
      </c>
      <c r="S17" s="10">
        <v>12</v>
      </c>
      <c r="T17" s="10">
        <v>459</v>
      </c>
      <c r="U17" s="10">
        <v>1370</v>
      </c>
      <c r="V17" s="10" t="s">
        <v>164</v>
      </c>
      <c r="W17" s="18" t="s">
        <v>165</v>
      </c>
      <c r="X17" s="17" t="s">
        <v>166</v>
      </c>
      <c r="Y17" s="17" t="s">
        <v>167</v>
      </c>
      <c r="Z17" s="10">
        <v>70</v>
      </c>
      <c r="AA17" s="18">
        <f t="shared" si="5"/>
        <v>175000000</v>
      </c>
    </row>
    <row r="18" spans="1:27" x14ac:dyDescent="0.2">
      <c r="A18">
        <v>2</v>
      </c>
      <c r="C18" s="4" t="s">
        <v>66</v>
      </c>
      <c r="D18" s="4" t="s">
        <v>67</v>
      </c>
      <c r="E18" t="s">
        <v>87</v>
      </c>
      <c r="F18" s="4" t="s">
        <v>91</v>
      </c>
      <c r="H18" s="10" t="s">
        <v>66</v>
      </c>
      <c r="I18" s="10" t="s">
        <v>18</v>
      </c>
      <c r="J18" s="10" t="s">
        <v>67</v>
      </c>
      <c r="K18" s="10" t="s">
        <v>163</v>
      </c>
      <c r="L18" s="10" t="s">
        <v>25</v>
      </c>
      <c r="M18" s="14">
        <v>17.5</v>
      </c>
      <c r="N18" s="10">
        <v>18</v>
      </c>
      <c r="P18" s="10">
        <v>18920</v>
      </c>
      <c r="Q18" s="15">
        <f t="shared" si="3"/>
        <v>756.8</v>
      </c>
      <c r="R18" s="15">
        <f t="shared" si="4"/>
        <v>189.2</v>
      </c>
      <c r="S18" s="10">
        <v>12</v>
      </c>
      <c r="T18" s="10">
        <v>705</v>
      </c>
      <c r="U18" s="10">
        <v>2036</v>
      </c>
      <c r="V18" s="10" t="s">
        <v>168</v>
      </c>
      <c r="W18" s="17" t="s">
        <v>169</v>
      </c>
      <c r="X18" s="17" t="s">
        <v>170</v>
      </c>
      <c r="Y18" s="17" t="s">
        <v>171</v>
      </c>
      <c r="Z18" s="10">
        <v>60</v>
      </c>
      <c r="AA18" s="18">
        <f t="shared" si="5"/>
        <v>150000000</v>
      </c>
    </row>
    <row r="19" spans="1:27" x14ac:dyDescent="0.2">
      <c r="A19">
        <v>2</v>
      </c>
      <c r="C19" s="4" t="s">
        <v>68</v>
      </c>
      <c r="D19" s="4" t="s">
        <v>69</v>
      </c>
      <c r="E19" t="s">
        <v>87</v>
      </c>
      <c r="H19" s="10" t="s">
        <v>68</v>
      </c>
      <c r="I19" s="10" t="s">
        <v>18</v>
      </c>
      <c r="J19" s="10" t="s">
        <v>69</v>
      </c>
      <c r="K19" s="10" t="s">
        <v>163</v>
      </c>
      <c r="L19" s="10" t="s">
        <v>30</v>
      </c>
      <c r="M19" s="14">
        <v>17.5</v>
      </c>
      <c r="N19" s="10">
        <v>18</v>
      </c>
      <c r="P19" s="10">
        <v>13992</v>
      </c>
      <c r="Q19" s="15">
        <f t="shared" si="3"/>
        <v>559.67999999999995</v>
      </c>
      <c r="R19" s="15">
        <f t="shared" si="4"/>
        <v>139.91999999999999</v>
      </c>
      <c r="S19" s="10">
        <v>12</v>
      </c>
      <c r="T19" s="10">
        <v>668</v>
      </c>
      <c r="U19" s="10">
        <v>1943</v>
      </c>
      <c r="V19" s="10" t="s">
        <v>172</v>
      </c>
      <c r="W19" s="17" t="s">
        <v>173</v>
      </c>
      <c r="X19" s="17" t="s">
        <v>174</v>
      </c>
      <c r="Y19" s="17" t="s">
        <v>175</v>
      </c>
      <c r="Z19" s="10">
        <v>50</v>
      </c>
      <c r="AA19" s="18">
        <f t="shared" si="5"/>
        <v>125000000</v>
      </c>
    </row>
    <row r="20" spans="1:27" x14ac:dyDescent="0.2">
      <c r="A20">
        <v>3</v>
      </c>
      <c r="C20" s="4">
        <v>1</v>
      </c>
      <c r="D20" s="4" t="s">
        <v>70</v>
      </c>
      <c r="E20" t="s">
        <v>87</v>
      </c>
      <c r="H20" s="4">
        <v>1</v>
      </c>
      <c r="I20" s="4" t="s">
        <v>18</v>
      </c>
      <c r="J20" s="4" t="s">
        <v>70</v>
      </c>
      <c r="K20" s="4" t="s">
        <v>98</v>
      </c>
      <c r="L20" s="4" t="s">
        <v>20</v>
      </c>
      <c r="M20" s="5">
        <v>18.03</v>
      </c>
      <c r="N20" s="4">
        <v>18</v>
      </c>
      <c r="O20" s="4"/>
      <c r="P20" t="s">
        <v>149</v>
      </c>
      <c r="Q20" s="6"/>
      <c r="R20" s="6"/>
      <c r="S20" s="4">
        <v>14</v>
      </c>
      <c r="V20" s="7" t="s">
        <v>99</v>
      </c>
      <c r="W20" s="7" t="s">
        <v>100</v>
      </c>
      <c r="X20" s="7" t="s">
        <v>101</v>
      </c>
      <c r="Y20" s="7" t="s">
        <v>102</v>
      </c>
      <c r="Z20" s="4">
        <v>0.8</v>
      </c>
      <c r="AA20">
        <f>5000*Z20*50000</f>
        <v>200000000</v>
      </c>
    </row>
    <row r="21" spans="1:27" x14ac:dyDescent="0.2">
      <c r="A21">
        <v>3</v>
      </c>
      <c r="C21" s="4">
        <v>2</v>
      </c>
      <c r="D21" s="4" t="s">
        <v>71</v>
      </c>
      <c r="E21" t="s">
        <v>87</v>
      </c>
      <c r="H21" s="4">
        <v>2</v>
      </c>
      <c r="I21" s="4" t="s">
        <v>18</v>
      </c>
      <c r="J21" s="4" t="s">
        <v>71</v>
      </c>
      <c r="K21" s="4" t="s">
        <v>98</v>
      </c>
      <c r="L21" s="4" t="s">
        <v>25</v>
      </c>
      <c r="M21" s="5">
        <v>17.46</v>
      </c>
      <c r="N21" s="4">
        <v>18</v>
      </c>
      <c r="O21" s="4"/>
      <c r="P21" t="s">
        <v>149</v>
      </c>
      <c r="Q21" s="6"/>
      <c r="R21" s="6"/>
      <c r="S21" s="4">
        <v>14</v>
      </c>
      <c r="T21" s="4">
        <v>397</v>
      </c>
      <c r="U21" s="8">
        <f>4977*5</f>
        <v>24885</v>
      </c>
      <c r="V21" s="9" t="s">
        <v>103</v>
      </c>
      <c r="W21" s="7" t="s">
        <v>104</v>
      </c>
      <c r="X21" s="7" t="s">
        <v>105</v>
      </c>
      <c r="Y21" s="7" t="s">
        <v>106</v>
      </c>
      <c r="Z21" s="4">
        <v>0.8</v>
      </c>
      <c r="AA21">
        <f t="shared" ref="AA21:AA31" si="6">5000*Z21*50000</f>
        <v>200000000</v>
      </c>
    </row>
    <row r="22" spans="1:27" x14ac:dyDescent="0.2">
      <c r="A22">
        <v>3</v>
      </c>
      <c r="C22" s="4">
        <v>3</v>
      </c>
      <c r="D22" s="4" t="s">
        <v>72</v>
      </c>
      <c r="E22" t="s">
        <v>87</v>
      </c>
      <c r="H22" s="4">
        <v>3</v>
      </c>
      <c r="I22" s="4" t="s">
        <v>18</v>
      </c>
      <c r="J22" s="4" t="s">
        <v>72</v>
      </c>
      <c r="K22" s="4" t="s">
        <v>98</v>
      </c>
      <c r="L22" s="4" t="s">
        <v>30</v>
      </c>
      <c r="M22" s="5">
        <v>17.45</v>
      </c>
      <c r="N22" s="4">
        <v>18</v>
      </c>
      <c r="O22" s="4"/>
      <c r="P22" t="s">
        <v>149</v>
      </c>
      <c r="Q22" s="6"/>
      <c r="R22" s="6"/>
      <c r="S22" s="4">
        <v>14</v>
      </c>
      <c r="T22" s="4">
        <v>440</v>
      </c>
      <c r="U22" s="4">
        <f>816*5</f>
        <v>4080</v>
      </c>
      <c r="V22" s="9" t="s">
        <v>107</v>
      </c>
      <c r="W22" s="7" t="s">
        <v>108</v>
      </c>
      <c r="X22" s="7" t="s">
        <v>109</v>
      </c>
      <c r="Y22" s="7" t="s">
        <v>110</v>
      </c>
      <c r="Z22" s="4">
        <v>0.8</v>
      </c>
      <c r="AA22">
        <f t="shared" si="6"/>
        <v>200000000</v>
      </c>
    </row>
    <row r="23" spans="1:27" x14ac:dyDescent="0.2">
      <c r="A23">
        <v>3</v>
      </c>
      <c r="C23" s="4">
        <v>4</v>
      </c>
      <c r="D23" s="4" t="s">
        <v>73</v>
      </c>
      <c r="E23" t="s">
        <v>87</v>
      </c>
      <c r="G23" s="12" t="s">
        <v>87</v>
      </c>
      <c r="H23" s="4">
        <v>4</v>
      </c>
      <c r="I23" s="4" t="s">
        <v>18</v>
      </c>
      <c r="J23" s="4" t="s">
        <v>73</v>
      </c>
      <c r="K23" s="4" t="s">
        <v>98</v>
      </c>
      <c r="L23" s="4" t="s">
        <v>35</v>
      </c>
      <c r="M23" s="5">
        <v>17.68</v>
      </c>
      <c r="N23" s="4">
        <v>18</v>
      </c>
      <c r="O23" s="4"/>
      <c r="P23" t="s">
        <v>149</v>
      </c>
      <c r="Q23" s="6"/>
      <c r="R23" s="6"/>
      <c r="S23" s="4">
        <v>14</v>
      </c>
      <c r="T23" s="4">
        <v>390</v>
      </c>
      <c r="U23" s="4">
        <f>563*5</f>
        <v>2815</v>
      </c>
      <c r="V23" s="9" t="s">
        <v>111</v>
      </c>
      <c r="W23" s="7" t="s">
        <v>112</v>
      </c>
      <c r="X23" s="7" t="s">
        <v>113</v>
      </c>
      <c r="Y23" s="7" t="s">
        <v>114</v>
      </c>
      <c r="Z23" s="4">
        <v>0.8</v>
      </c>
      <c r="AA23">
        <f t="shared" si="6"/>
        <v>200000000</v>
      </c>
    </row>
    <row r="24" spans="1:27" x14ac:dyDescent="0.2">
      <c r="A24">
        <v>3</v>
      </c>
      <c r="C24" s="4">
        <v>5</v>
      </c>
      <c r="D24" s="4" t="s">
        <v>74</v>
      </c>
      <c r="E24" t="s">
        <v>87</v>
      </c>
      <c r="F24" s="4" t="s">
        <v>90</v>
      </c>
      <c r="H24" s="4">
        <v>5</v>
      </c>
      <c r="I24" s="4" t="s">
        <v>18</v>
      </c>
      <c r="J24" s="4" t="s">
        <v>74</v>
      </c>
      <c r="K24" s="4" t="s">
        <v>115</v>
      </c>
      <c r="L24" s="4" t="s">
        <v>20</v>
      </c>
      <c r="M24" s="5">
        <v>17.18</v>
      </c>
      <c r="N24" s="4">
        <v>17</v>
      </c>
      <c r="O24" s="4">
        <v>30.6</v>
      </c>
      <c r="P24" s="4">
        <f>4035*5</f>
        <v>20175</v>
      </c>
      <c r="Q24" s="6"/>
      <c r="R24" s="6">
        <f>(P24/1000)*10</f>
        <v>201.75</v>
      </c>
      <c r="S24" s="4">
        <v>15</v>
      </c>
      <c r="T24" s="4">
        <v>385</v>
      </c>
      <c r="U24" s="4">
        <f>1160*5</f>
        <v>5800</v>
      </c>
      <c r="V24" s="9" t="s">
        <v>116</v>
      </c>
      <c r="W24" s="7" t="s">
        <v>117</v>
      </c>
      <c r="X24" s="7" t="s">
        <v>118</v>
      </c>
      <c r="Y24" s="7" t="s">
        <v>119</v>
      </c>
      <c r="Z24" s="4">
        <v>0.8</v>
      </c>
      <c r="AA24">
        <f t="shared" si="6"/>
        <v>200000000</v>
      </c>
    </row>
    <row r="25" spans="1:27" x14ac:dyDescent="0.2">
      <c r="A25">
        <v>3</v>
      </c>
      <c r="C25" s="4">
        <v>6</v>
      </c>
      <c r="D25" s="4" t="s">
        <v>75</v>
      </c>
      <c r="E25" t="s">
        <v>87</v>
      </c>
      <c r="F25" s="4" t="s">
        <v>90</v>
      </c>
      <c r="H25" s="4">
        <v>6</v>
      </c>
      <c r="I25" s="4" t="s">
        <v>18</v>
      </c>
      <c r="J25" s="4" t="s">
        <v>75</v>
      </c>
      <c r="K25" s="4" t="s">
        <v>115</v>
      </c>
      <c r="L25" s="4" t="s">
        <v>25</v>
      </c>
      <c r="M25" s="5">
        <v>16.43</v>
      </c>
      <c r="N25" s="4">
        <v>17</v>
      </c>
      <c r="O25" s="4">
        <v>18</v>
      </c>
      <c r="P25" s="4">
        <f>4623*5</f>
        <v>23115</v>
      </c>
      <c r="Q25" s="6"/>
      <c r="R25" s="6">
        <f t="shared" ref="R25:R31" si="7">(P25/1000)*10</f>
        <v>231.14999999999998</v>
      </c>
      <c r="S25" s="4">
        <v>15</v>
      </c>
      <c r="T25" s="4">
        <v>482</v>
      </c>
      <c r="U25" s="4">
        <f>6837*5</f>
        <v>34185</v>
      </c>
      <c r="V25" s="9" t="s">
        <v>120</v>
      </c>
      <c r="W25" s="7" t="s">
        <v>121</v>
      </c>
      <c r="X25" s="7" t="s">
        <v>122</v>
      </c>
      <c r="Y25" s="7" t="s">
        <v>123</v>
      </c>
      <c r="Z25" s="4">
        <v>0.8</v>
      </c>
      <c r="AA25">
        <f t="shared" si="6"/>
        <v>200000000</v>
      </c>
    </row>
    <row r="26" spans="1:27" x14ac:dyDescent="0.2">
      <c r="A26">
        <v>3</v>
      </c>
      <c r="C26" s="4">
        <v>7</v>
      </c>
      <c r="D26" s="4" t="s">
        <v>76</v>
      </c>
      <c r="E26" t="s">
        <v>87</v>
      </c>
      <c r="F26" s="4" t="s">
        <v>92</v>
      </c>
      <c r="H26" s="4">
        <v>7</v>
      </c>
      <c r="I26" s="4" t="s">
        <v>18</v>
      </c>
      <c r="J26" s="4" t="s">
        <v>76</v>
      </c>
      <c r="K26" s="4" t="s">
        <v>115</v>
      </c>
      <c r="L26" s="4" t="s">
        <v>30</v>
      </c>
      <c r="M26" s="5">
        <v>17.100000000000001</v>
      </c>
      <c r="N26" s="4">
        <v>17</v>
      </c>
      <c r="O26" s="4">
        <v>26.8</v>
      </c>
      <c r="P26" s="4">
        <f>7034*5</f>
        <v>35170</v>
      </c>
      <c r="Q26" s="6"/>
      <c r="R26" s="6">
        <f t="shared" si="7"/>
        <v>351.70000000000005</v>
      </c>
      <c r="S26" s="4">
        <v>15</v>
      </c>
      <c r="T26" s="4">
        <v>439</v>
      </c>
      <c r="U26" s="4">
        <f>10524*5</f>
        <v>52620</v>
      </c>
      <c r="V26" s="9" t="s">
        <v>124</v>
      </c>
      <c r="W26" s="7" t="s">
        <v>125</v>
      </c>
      <c r="X26" s="7" t="s">
        <v>126</v>
      </c>
      <c r="Y26" s="7" t="s">
        <v>127</v>
      </c>
      <c r="Z26" s="4">
        <v>0.8</v>
      </c>
      <c r="AA26">
        <f t="shared" si="6"/>
        <v>200000000</v>
      </c>
    </row>
    <row r="27" spans="1:27" x14ac:dyDescent="0.2">
      <c r="A27">
        <v>3</v>
      </c>
      <c r="C27" s="4">
        <v>8</v>
      </c>
      <c r="D27" s="4" t="s">
        <v>77</v>
      </c>
      <c r="E27" t="s">
        <v>87</v>
      </c>
      <c r="H27" s="4">
        <v>8</v>
      </c>
      <c r="I27" s="4" t="s">
        <v>18</v>
      </c>
      <c r="J27" s="4" t="s">
        <v>77</v>
      </c>
      <c r="K27" s="4" t="s">
        <v>115</v>
      </c>
      <c r="L27" s="4" t="s">
        <v>35</v>
      </c>
      <c r="M27" s="5">
        <v>16.510000000000002</v>
      </c>
      <c r="N27" s="4">
        <v>17</v>
      </c>
      <c r="O27" s="4">
        <v>59.4</v>
      </c>
      <c r="P27" s="4">
        <f>6191*5</f>
        <v>30955</v>
      </c>
      <c r="Q27" s="6"/>
      <c r="R27" s="6">
        <f t="shared" si="7"/>
        <v>309.54999999999995</v>
      </c>
      <c r="S27" s="4">
        <v>15</v>
      </c>
      <c r="T27" s="4">
        <v>446</v>
      </c>
      <c r="U27" s="4">
        <f>7613*5</f>
        <v>38065</v>
      </c>
      <c r="V27" s="9" t="s">
        <v>128</v>
      </c>
      <c r="W27" s="7" t="s">
        <v>129</v>
      </c>
      <c r="X27" s="7" t="s">
        <v>130</v>
      </c>
      <c r="Y27" s="7" t="s">
        <v>131</v>
      </c>
      <c r="Z27" s="4">
        <v>0.8</v>
      </c>
      <c r="AA27">
        <f t="shared" si="6"/>
        <v>200000000</v>
      </c>
    </row>
    <row r="28" spans="1:27" x14ac:dyDescent="0.2">
      <c r="A28">
        <v>3</v>
      </c>
      <c r="C28" s="4">
        <v>9</v>
      </c>
      <c r="D28" s="4" t="s">
        <v>78</v>
      </c>
      <c r="E28" t="s">
        <v>87</v>
      </c>
      <c r="H28" s="4">
        <v>9</v>
      </c>
      <c r="I28" s="4" t="s">
        <v>18</v>
      </c>
      <c r="J28" s="4" t="s">
        <v>78</v>
      </c>
      <c r="K28" s="4" t="s">
        <v>132</v>
      </c>
      <c r="L28" s="4" t="s">
        <v>20</v>
      </c>
      <c r="M28" s="5">
        <v>17.579999999999998</v>
      </c>
      <c r="N28" s="4">
        <v>18</v>
      </c>
      <c r="O28" s="4">
        <v>37</v>
      </c>
      <c r="P28" s="4">
        <f>6183*5</f>
        <v>30915</v>
      </c>
      <c r="Q28" s="6"/>
      <c r="R28" s="6">
        <f t="shared" si="7"/>
        <v>309.14999999999998</v>
      </c>
      <c r="S28" s="4">
        <v>15</v>
      </c>
      <c r="T28" s="4">
        <v>468</v>
      </c>
      <c r="U28" s="4">
        <f>5724*5</f>
        <v>28620</v>
      </c>
      <c r="V28" s="9" t="s">
        <v>133</v>
      </c>
      <c r="W28" s="7" t="s">
        <v>134</v>
      </c>
      <c r="X28" s="7" t="s">
        <v>135</v>
      </c>
      <c r="Y28" s="7" t="s">
        <v>136</v>
      </c>
      <c r="Z28" s="4">
        <v>0.8</v>
      </c>
      <c r="AA28">
        <f t="shared" si="6"/>
        <v>200000000</v>
      </c>
    </row>
    <row r="29" spans="1:27" x14ac:dyDescent="0.2">
      <c r="A29">
        <v>3</v>
      </c>
      <c r="C29" s="4">
        <v>10</v>
      </c>
      <c r="D29" s="4" t="s">
        <v>79</v>
      </c>
      <c r="E29" t="s">
        <v>87</v>
      </c>
      <c r="H29" s="4">
        <v>10</v>
      </c>
      <c r="I29" s="4" t="s">
        <v>18</v>
      </c>
      <c r="J29" s="4" t="s">
        <v>79</v>
      </c>
      <c r="K29" s="4" t="s">
        <v>132</v>
      </c>
      <c r="L29" s="4" t="s">
        <v>25</v>
      </c>
      <c r="M29" s="5">
        <v>17.97</v>
      </c>
      <c r="N29" s="4">
        <v>18</v>
      </c>
      <c r="O29" s="4">
        <v>36</v>
      </c>
      <c r="P29" s="4">
        <f>5898*5</f>
        <v>29490</v>
      </c>
      <c r="Q29" s="6"/>
      <c r="R29" s="6">
        <f t="shared" si="7"/>
        <v>294.89999999999998</v>
      </c>
      <c r="S29" s="4">
        <v>15</v>
      </c>
      <c r="T29" s="4">
        <v>421</v>
      </c>
      <c r="U29" s="4">
        <f>4380*5</f>
        <v>21900</v>
      </c>
      <c r="V29" s="9" t="s">
        <v>137</v>
      </c>
      <c r="W29" s="7" t="s">
        <v>138</v>
      </c>
      <c r="X29" s="7" t="s">
        <v>139</v>
      </c>
      <c r="Y29" s="7" t="s">
        <v>140</v>
      </c>
      <c r="Z29" s="4">
        <v>0.8</v>
      </c>
      <c r="AA29">
        <f t="shared" si="6"/>
        <v>200000000</v>
      </c>
    </row>
    <row r="30" spans="1:27" x14ac:dyDescent="0.2">
      <c r="A30">
        <v>3</v>
      </c>
      <c r="C30" s="4">
        <v>11</v>
      </c>
      <c r="D30" s="4" t="s">
        <v>80</v>
      </c>
      <c r="E30" t="s">
        <v>87</v>
      </c>
      <c r="H30" s="4">
        <v>11</v>
      </c>
      <c r="I30" s="4" t="s">
        <v>18</v>
      </c>
      <c r="J30" s="4" t="s">
        <v>80</v>
      </c>
      <c r="K30" s="4" t="s">
        <v>132</v>
      </c>
      <c r="L30" s="4" t="s">
        <v>30</v>
      </c>
      <c r="M30" s="5">
        <v>19.09</v>
      </c>
      <c r="N30" s="4">
        <v>19</v>
      </c>
      <c r="O30" s="4">
        <v>29.6</v>
      </c>
      <c r="P30" s="4">
        <f>5479*5</f>
        <v>27395</v>
      </c>
      <c r="Q30" s="6"/>
      <c r="R30" s="6">
        <f t="shared" si="7"/>
        <v>273.95</v>
      </c>
      <c r="S30" s="4">
        <v>15</v>
      </c>
      <c r="T30" s="4">
        <v>431</v>
      </c>
      <c r="U30" s="4">
        <f>2899*5</f>
        <v>14495</v>
      </c>
      <c r="V30" s="9" t="s">
        <v>141</v>
      </c>
      <c r="W30" s="7" t="s">
        <v>142</v>
      </c>
      <c r="X30" s="7" t="s">
        <v>143</v>
      </c>
      <c r="Y30" s="7" t="s">
        <v>144</v>
      </c>
      <c r="Z30" s="4">
        <v>0.8</v>
      </c>
      <c r="AA30">
        <f t="shared" si="6"/>
        <v>200000000</v>
      </c>
    </row>
    <row r="31" spans="1:27" x14ac:dyDescent="0.2">
      <c r="A31">
        <v>3</v>
      </c>
      <c r="C31" s="4">
        <v>12</v>
      </c>
      <c r="D31" s="4" t="s">
        <v>81</v>
      </c>
      <c r="E31" t="s">
        <v>87</v>
      </c>
      <c r="F31" s="4" t="s">
        <v>90</v>
      </c>
      <c r="H31" s="4">
        <v>12</v>
      </c>
      <c r="I31" s="4" t="s">
        <v>18</v>
      </c>
      <c r="J31" s="4" t="s">
        <v>81</v>
      </c>
      <c r="K31" s="4" t="s">
        <v>132</v>
      </c>
      <c r="L31" s="4" t="s">
        <v>35</v>
      </c>
      <c r="M31" s="5">
        <v>19.48</v>
      </c>
      <c r="N31" s="4">
        <v>19</v>
      </c>
      <c r="O31" s="4">
        <v>71</v>
      </c>
      <c r="P31" s="4">
        <f>10365*5</f>
        <v>51825</v>
      </c>
      <c r="Q31" s="6"/>
      <c r="R31" s="6">
        <f t="shared" si="7"/>
        <v>518.25</v>
      </c>
      <c r="S31" s="4">
        <v>13</v>
      </c>
      <c r="T31" s="4">
        <v>402</v>
      </c>
      <c r="U31" s="4">
        <f>3895*5</f>
        <v>19475</v>
      </c>
      <c r="V31" s="9" t="s">
        <v>145</v>
      </c>
      <c r="W31" s="7" t="s">
        <v>146</v>
      </c>
      <c r="X31" s="7" t="s">
        <v>147</v>
      </c>
      <c r="Y31" s="7" t="s">
        <v>148</v>
      </c>
      <c r="Z31" s="4">
        <v>0.8</v>
      </c>
      <c r="AA31">
        <f t="shared" si="6"/>
        <v>200000000</v>
      </c>
    </row>
    <row r="32" spans="1:27" x14ac:dyDescent="0.2">
      <c r="A32">
        <v>4</v>
      </c>
      <c r="C32" s="4">
        <v>1</v>
      </c>
      <c r="D32" s="4" t="s">
        <v>82</v>
      </c>
      <c r="E32" t="s">
        <v>96</v>
      </c>
      <c r="F32" s="4"/>
      <c r="H32" s="4">
        <v>1</v>
      </c>
      <c r="I32" s="4" t="s">
        <v>18</v>
      </c>
      <c r="J32" s="4" t="s">
        <v>97</v>
      </c>
      <c r="K32" s="4" t="s">
        <v>19</v>
      </c>
      <c r="L32" s="4" t="s">
        <v>20</v>
      </c>
      <c r="M32" s="5">
        <v>18.61</v>
      </c>
      <c r="N32" s="4">
        <v>18</v>
      </c>
      <c r="O32" s="4">
        <v>1746</v>
      </c>
      <c r="P32" s="4">
        <v>66.260000000000005</v>
      </c>
      <c r="Q32" s="6">
        <v>26.504000000000001</v>
      </c>
      <c r="R32" s="6">
        <v>6.6260000000000003</v>
      </c>
      <c r="S32" s="4">
        <v>18</v>
      </c>
      <c r="V32" s="7" t="s">
        <v>21</v>
      </c>
      <c r="W32" s="7" t="s">
        <v>22</v>
      </c>
      <c r="X32" s="7" t="s">
        <v>23</v>
      </c>
      <c r="Y32" s="7" t="s">
        <v>24</v>
      </c>
      <c r="Z32" s="4">
        <v>20</v>
      </c>
      <c r="AA32">
        <f>((Z32/100)*5000)*75000</f>
        <v>75000000</v>
      </c>
    </row>
    <row r="33" spans="1:27" x14ac:dyDescent="0.2">
      <c r="A33">
        <v>4</v>
      </c>
      <c r="C33" s="4">
        <v>2</v>
      </c>
      <c r="D33" s="4" t="s">
        <v>83</v>
      </c>
      <c r="E33" t="s">
        <v>87</v>
      </c>
      <c r="F33" s="4"/>
      <c r="H33" s="4">
        <v>2</v>
      </c>
      <c r="I33" s="4" t="s">
        <v>18</v>
      </c>
      <c r="J33" s="4" t="s">
        <v>86</v>
      </c>
      <c r="K33" s="4" t="s">
        <v>19</v>
      </c>
      <c r="L33" s="4" t="s">
        <v>25</v>
      </c>
      <c r="M33" s="5">
        <v>17.64</v>
      </c>
      <c r="N33" s="4">
        <v>18</v>
      </c>
      <c r="O33" s="4">
        <v>18080</v>
      </c>
      <c r="P33" s="4">
        <v>1154.6400000000001</v>
      </c>
      <c r="Q33" s="6">
        <v>461.85600000000005</v>
      </c>
      <c r="R33" s="6">
        <v>115.46400000000001</v>
      </c>
      <c r="S33" s="4">
        <v>15</v>
      </c>
      <c r="T33" s="4"/>
      <c r="U33" s="8"/>
      <c r="V33" s="9" t="s">
        <v>26</v>
      </c>
      <c r="W33" s="7" t="s">
        <v>27</v>
      </c>
      <c r="X33" s="7" t="s">
        <v>28</v>
      </c>
      <c r="Y33" s="7" t="s">
        <v>29</v>
      </c>
      <c r="Z33" s="4">
        <v>85</v>
      </c>
      <c r="AA33">
        <f t="shared" ref="AA33:AA35" si="8">((Z33/100)*5000)*75000</f>
        <v>318750000</v>
      </c>
    </row>
    <row r="34" spans="1:27" x14ac:dyDescent="0.2">
      <c r="A34">
        <v>4</v>
      </c>
      <c r="C34" s="4">
        <v>3</v>
      </c>
      <c r="D34" s="4" t="s">
        <v>84</v>
      </c>
      <c r="E34" t="s">
        <v>87</v>
      </c>
      <c r="F34" s="4"/>
      <c r="H34" s="4">
        <v>3</v>
      </c>
      <c r="I34" s="4" t="s">
        <v>18</v>
      </c>
      <c r="J34" s="4" t="s">
        <v>41</v>
      </c>
      <c r="K34" s="4" t="s">
        <v>19</v>
      </c>
      <c r="L34" s="4" t="s">
        <v>30</v>
      </c>
      <c r="M34" s="5">
        <v>17.760000000000002</v>
      </c>
      <c r="N34" s="4">
        <v>18</v>
      </c>
      <c r="O34" s="4">
        <v>18820</v>
      </c>
      <c r="P34" s="4">
        <v>1360.4</v>
      </c>
      <c r="Q34" s="6">
        <v>544.16</v>
      </c>
      <c r="R34" s="6">
        <v>136.04</v>
      </c>
      <c r="S34" s="4">
        <v>15</v>
      </c>
      <c r="T34" s="4"/>
      <c r="U34" s="4"/>
      <c r="V34" s="9" t="s">
        <v>31</v>
      </c>
      <c r="W34" s="7" t="s">
        <v>32</v>
      </c>
      <c r="X34" s="7" t="s">
        <v>33</v>
      </c>
      <c r="Y34" s="7" t="s">
        <v>34</v>
      </c>
      <c r="Z34" s="4">
        <v>80</v>
      </c>
      <c r="AA34">
        <f t="shared" si="8"/>
        <v>300000000</v>
      </c>
    </row>
    <row r="35" spans="1:27" x14ac:dyDescent="0.2">
      <c r="A35">
        <v>4</v>
      </c>
      <c r="C35" s="4">
        <v>4</v>
      </c>
      <c r="D35" s="4" t="s">
        <v>85</v>
      </c>
      <c r="E35" t="s">
        <v>87</v>
      </c>
      <c r="F35" s="4"/>
      <c r="H35" s="4">
        <v>4</v>
      </c>
      <c r="I35" s="4" t="s">
        <v>18</v>
      </c>
      <c r="J35" s="4" t="s">
        <v>40</v>
      </c>
      <c r="K35" s="4" t="s">
        <v>19</v>
      </c>
      <c r="L35" s="4" t="s">
        <v>35</v>
      </c>
      <c r="M35" s="5">
        <v>18.649999999999999</v>
      </c>
      <c r="N35" s="4">
        <v>18</v>
      </c>
      <c r="O35" s="4">
        <v>3840</v>
      </c>
      <c r="P35" s="4">
        <v>256.01</v>
      </c>
      <c r="Q35" s="6">
        <v>102.404</v>
      </c>
      <c r="R35" s="6">
        <v>25.600999999999999</v>
      </c>
      <c r="S35" s="4">
        <v>18</v>
      </c>
      <c r="T35" s="4"/>
      <c r="U35" s="4"/>
      <c r="V35" s="9" t="s">
        <v>36</v>
      </c>
      <c r="W35" s="7" t="s">
        <v>37</v>
      </c>
      <c r="X35" s="7" t="s">
        <v>38</v>
      </c>
      <c r="Y35" s="7" t="s">
        <v>39</v>
      </c>
      <c r="Z35" s="4">
        <v>75</v>
      </c>
      <c r="AA35">
        <f t="shared" si="8"/>
        <v>281250000</v>
      </c>
    </row>
    <row r="37" spans="1:27" x14ac:dyDescent="0.2"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Collado Torres</dc:creator>
  <cp:lastModifiedBy>Leonardo Collado Torres</cp:lastModifiedBy>
  <dcterms:created xsi:type="dcterms:W3CDTF">2022-09-02T17:57:31Z</dcterms:created>
  <dcterms:modified xsi:type="dcterms:W3CDTF">2022-09-13T20:49:12Z</dcterms:modified>
</cp:coreProperties>
</file>