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ke/surfdrive/Documents/PhD_Thesis/Figures/Code/"/>
    </mc:Choice>
  </mc:AlternateContent>
  <xr:revisionPtr revIDLastSave="0" documentId="13_ncr:1_{85AE5DDA-C517-F84F-91F4-35CB1D040ADC}" xr6:coauthVersionLast="47" xr6:coauthVersionMax="47" xr10:uidLastSave="{00000000-0000-0000-0000-000000000000}"/>
  <bookViews>
    <workbookView xWindow="0" yWindow="0" windowWidth="28800" windowHeight="18000" activeTab="1" xr2:uid="{9233DD7D-7F17-BB48-95D3-0DF20F3D9DEA}"/>
  </bookViews>
  <sheets>
    <sheet name="Electromagnet wave observations" sheetId="1" r:id="rId1"/>
    <sheet name="Gravitational wave observations" sheetId="2" r:id="rId2"/>
    <sheet name="Cosmic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3" i="1"/>
  <c r="G12" i="1"/>
  <c r="G10" i="1"/>
  <c r="G9" i="1"/>
  <c r="G8" i="1"/>
  <c r="G7" i="1"/>
  <c r="G6" i="1"/>
  <c r="G5" i="1"/>
  <c r="G4" i="1"/>
  <c r="G3" i="1"/>
  <c r="F13" i="1"/>
  <c r="F12" i="1"/>
  <c r="F11" i="1"/>
  <c r="F10" i="1"/>
  <c r="F9" i="1"/>
  <c r="F8" i="1"/>
  <c r="F7" i="1"/>
  <c r="F6" i="1"/>
  <c r="F5" i="1"/>
  <c r="F4" i="1"/>
  <c r="F3" i="1"/>
  <c r="G30" i="3"/>
  <c r="G29" i="3"/>
  <c r="G28" i="3"/>
  <c r="F30" i="3"/>
  <c r="F29" i="3"/>
  <c r="F28" i="3"/>
  <c r="E30" i="3"/>
  <c r="E29" i="3"/>
  <c r="E28" i="3"/>
  <c r="D30" i="3"/>
  <c r="D29" i="3"/>
  <c r="D28" i="3"/>
</calcChain>
</file>

<file path=xl/sharedStrings.xml><?xml version="1.0" encoding="utf-8"?>
<sst xmlns="http://schemas.openxmlformats.org/spreadsheetml/2006/main" count="140" uniqueCount="107">
  <si>
    <t>Name</t>
  </si>
  <si>
    <t>DR dates</t>
  </si>
  <si>
    <t>Citation</t>
  </si>
  <si>
    <t>JWST</t>
  </si>
  <si>
    <t>Gaia</t>
  </si>
  <si>
    <t>DR ~ 12-14 month later = oct-dec 2025</t>
  </si>
  <si>
    <t>https://arxiv.org/abs/0805.2366</t>
  </si>
  <si>
    <t>SDSS-V</t>
  </si>
  <si>
    <t>https://arxiv.org/abs/1711.03234</t>
  </si>
  <si>
    <t>Athena</t>
  </si>
  <si>
    <t>(COLLAB WITH LISA!)</t>
  </si>
  <si>
    <t>https://ui.adsabs.harvard.edu/abs/2017AN....338..153B/abstract</t>
  </si>
  <si>
    <t>https://ui.adsabs.harvard.edu/abs/2001A%26A...365L...1J/abstract</t>
  </si>
  <si>
    <t xml:space="preserve">Swift </t>
  </si>
  <si>
    <t>eRosita</t>
  </si>
  <si>
    <t>2021 was first DR</t>
  </si>
  <si>
    <t>https://ui.adsabs.harvard.edu/abs/2021A%26A...647A...1P/abstract</t>
  </si>
  <si>
    <t>O4</t>
  </si>
  <si>
    <t>https://observing.docs.ligo.org/plan/</t>
  </si>
  <si>
    <t>O5</t>
  </si>
  <si>
    <t>Voyager</t>
  </si>
  <si>
    <t>DECIGO</t>
  </si>
  <si>
    <t>https://ui.adsabs.harvard.edu/abs/2006CQGra..23S.125K/abstract</t>
  </si>
  <si>
    <t>LISA</t>
  </si>
  <si>
    <t>https://ui.adsabs.harvard.edu/abs/2019CQGra..36j5011R/abstract</t>
  </si>
  <si>
    <t>TianQin</t>
  </si>
  <si>
    <t>https://ui.adsabs.harvard.edu/abs/2016CQGra..33c5010L/abstract</t>
  </si>
  <si>
    <t>ET</t>
  </si>
  <si>
    <t>CE</t>
  </si>
  <si>
    <t>https://arxiv.org/abs/1907.04833</t>
  </si>
  <si>
    <t>PTA</t>
  </si>
  <si>
    <t>O4a = oct 2025. (DR = 18 months after end of 6 month obs block), O4b = may 2026</t>
  </si>
  <si>
    <t>O5a = ? jan2029 ?, O5b = ? June 2032?</t>
  </si>
  <si>
    <t>Notes</t>
  </si>
  <si>
    <t>SKA first light 2027, International Pulsar Timing Array = (PPTA, EPTA, and NANOGrav)</t>
  </si>
  <si>
    <t>https://ui.adsabs.harvard.edu/abs/2015CQGra..32a5014M/abstract ,https://ui.adsabs.harvard.edu/abs/2019PhRvD.100j4028H/abstract</t>
  </si>
  <si>
    <t>10 years cont. operation</t>
  </si>
  <si>
    <t>https://ui.adsabs.harvard.edu/abs/2020CQGra..37p5003A/abstract, https://dcc.ligo.org/public/0113/T1400316/004/T1400316-v5.pdf</t>
  </si>
  <si>
    <t>start = "2030-ies"</t>
  </si>
  <si>
    <t>4 year mission + 6 year extension (note Athena-LISA synnergy)</t>
  </si>
  <si>
    <t>https://ui.adsabs.harvard.edu/abs/2020JCAP...03..050M/abstract, https://www.et-gw.eu/</t>
  </si>
  <si>
    <t># Estimates of cosmic rate</t>
  </si>
  <si>
    <t>Combining this with the 'volume' of the Universe up to z=20 we can use this to re-scale the detection rates from other works</t>
  </si>
  <si>
    <t>NSNS merger rate</t>
  </si>
  <si>
    <t xml:space="preserve">BHNS merger rate </t>
  </si>
  <si>
    <t xml:space="preserve">BBH merger  rate </t>
  </si>
  <si>
    <t>from the pop GWTC3 paper</t>
  </si>
  <si>
    <t>(https://arxiv.org/abs/2111.03634</t>
  </si>
  <si>
    <t>Gpc^−3 yr^−1</t>
  </si>
  <si>
    <t>volume' of Universe up to z=20</t>
  </si>
  <si>
    <t xml:space="preserve">Gpc^3 </t>
  </si>
  <si>
    <t>LVK inferred min</t>
  </si>
  <si>
    <t>LVK inferred max</t>
  </si>
  <si>
    <t>yr^-1</t>
  </si>
  <si>
    <t>LVK cosmic rate min</t>
  </si>
  <si>
    <t>Borhanian &amp; Sathyaprakash 2022</t>
  </si>
  <si>
    <t>Gupta et al. 2023</t>
  </si>
  <si>
    <t>Iacovelli +2022</t>
  </si>
  <si>
    <t>4.7*1e5</t>
  </si>
  <si>
    <t>1.2*1e5</t>
  </si>
  <si>
    <t>4*1e4</t>
  </si>
  <si>
    <t>7.5*1e4</t>
  </si>
  <si>
    <t>mission_start_year</t>
  </si>
  <si>
    <t>mission_end_year</t>
  </si>
  <si>
    <t>mission_start_month</t>
  </si>
  <si>
    <t>mission_end_month</t>
  </si>
  <si>
    <t>DR = continuous</t>
  </si>
  <si>
    <t>DR dates: EDR3 = december ‘20, DR3 = June ’22, FPR = 2023, DR4 = end 2025, DR5 = all data</t>
  </si>
  <si>
    <t>https://www.esa.int/Science_Exploration/Space_Science/Gaia/Gaia_factsheet, https://www.cosmos.esa.int/web/gaia/release</t>
  </si>
  <si>
    <t>wavelen_start</t>
  </si>
  <si>
    <t>wavelen_end</t>
  </si>
  <si>
    <t>meter</t>
  </si>
  <si>
    <t>yr</t>
  </si>
  <si>
    <t>month</t>
  </si>
  <si>
    <t>SDSS-V (DR18 = 2023), (includes APOGEE)</t>
  </si>
  <si>
    <t>LUVOIR</t>
  </si>
  <si>
    <t>https://webb.nasa.gov/content/about/faqs/facts.html, https://ui.adsabs.harvard.edu/abs/2006SSRv..123..485G/abstract</t>
  </si>
  <si>
    <t>Merger rate</t>
  </si>
  <si>
    <t>Cosmic rate</t>
  </si>
  <si>
    <t>Detector rate</t>
  </si>
  <si>
    <t>https://emfollow.docs.ligo.org/userguide/capabilities.html</t>
  </si>
  <si>
    <t>Observing capabilities page LVK</t>
  </si>
  <si>
    <t>O4 sensitive volume</t>
  </si>
  <si>
    <t>detec_rate/merger_rate</t>
  </si>
  <si>
    <t>O5 sensitive volume</t>
  </si>
  <si>
    <t xml:space="preserve">NSNS </t>
  </si>
  <si>
    <t xml:space="preserve">BHNS </t>
  </si>
  <si>
    <t xml:space="preserve">BBH </t>
  </si>
  <si>
    <t>N/yr</t>
  </si>
  <si>
    <t>detection_rate O4 min</t>
  </si>
  <si>
    <t>detection_rate O5 min</t>
  </si>
  <si>
    <t>detection_rate O4 max</t>
  </si>
  <si>
    <t>detection_rate O5 max</t>
  </si>
  <si>
    <t>LVK cosmic rate max</t>
  </si>
  <si>
    <t>SKA2</t>
  </si>
  <si>
    <t>ELT</t>
  </si>
  <si>
    <t>Rubin (LSST)</t>
  </si>
  <si>
    <t>XMM-Newton</t>
  </si>
  <si>
    <t>#</t>
  </si>
  <si>
    <t xml:space="preserve">Square-Kilometre-Array,  Phase 1: Providing 10% of the total collecting area at low and mid frequencies by 2023 (SKA1).  Phase 2: Completion of the full array (SKA2) at low and mid frequencies by 2030  70 Months From July 01, 2021  = May 01, 2027 </t>
  </si>
  <si>
    <t>Terzian &amp; Lazio 2006, https://www.skao.int/en/science-users/159/scientific-timeline</t>
  </si>
  <si>
    <t>source</t>
  </si>
  <si>
    <t>https://elt.eso.org/</t>
  </si>
  <si>
    <t>https://ui.adsabs.harvard.edu/abs/2017SPIE10398E..09B/abstract , Bolcar et al. 2017</t>
  </si>
  <si>
    <t>opt_freq</t>
  </si>
  <si>
    <t>freq_start</t>
  </si>
  <si>
    <t>freq_end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</si>
</sst>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Arial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8"/>
      <color theme="1"/>
      <name val="Calibri (Body)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9EBF5"/>
        <bgColor rgb="FF000000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4" borderId="4" xfId="0" applyFont="1" applyFill="1" applyBorder="1" applyAlignment="1">
      <alignment horizontal="left" vertical="center" wrapText="1" readingOrder="1"/>
    </xf>
    <xf numFmtId="0" fontId="5" fillId="4" borderId="4" xfId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0" fontId="4" fillId="3" borderId="6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vertical="top" wrapText="1"/>
    </xf>
    <xf numFmtId="0" fontId="4" fillId="3" borderId="7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vertical="top" wrapText="1"/>
    </xf>
    <xf numFmtId="0" fontId="5" fillId="3" borderId="4" xfId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vertical="top" wrapText="1"/>
    </xf>
    <xf numFmtId="17" fontId="4" fillId="3" borderId="7" xfId="0" applyNumberFormat="1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0" fontId="0" fillId="0" borderId="0" xfId="0" quotePrefix="1"/>
    <xf numFmtId="0" fontId="6" fillId="0" borderId="0" xfId="0" applyFont="1"/>
    <xf numFmtId="0" fontId="5" fillId="0" borderId="0" xfId="1"/>
    <xf numFmtId="11" fontId="0" fillId="0" borderId="0" xfId="0" applyNumberFormat="1"/>
    <xf numFmtId="0" fontId="7" fillId="2" borderId="1" xfId="0" applyFont="1" applyFill="1" applyBorder="1" applyAlignment="1">
      <alignment horizontal="left" vertical="center" wrapText="1" readingOrder="1"/>
    </xf>
    <xf numFmtId="0" fontId="8" fillId="3" borderId="2" xfId="0" applyFont="1" applyFill="1" applyBorder="1" applyAlignment="1">
      <alignment horizontal="left" vertical="center" wrapText="1" readingOrder="1"/>
    </xf>
    <xf numFmtId="0" fontId="8" fillId="4" borderId="4" xfId="0" applyFont="1" applyFill="1" applyBorder="1" applyAlignment="1">
      <alignment horizontal="left" vertical="center" wrapText="1" readingOrder="1"/>
    </xf>
    <xf numFmtId="0" fontId="4" fillId="4" borderId="4" xfId="0" applyFont="1" applyFill="1" applyBorder="1" applyAlignment="1">
      <alignment vertical="center" wrapText="1" readingOrder="1"/>
    </xf>
    <xf numFmtId="0" fontId="4" fillId="3" borderId="4" xfId="0" applyFont="1" applyFill="1" applyBorder="1" applyAlignment="1">
      <alignment vertical="center" wrapText="1" readingOrder="1"/>
    </xf>
    <xf numFmtId="0" fontId="7" fillId="2" borderId="5" xfId="0" applyFont="1" applyFill="1" applyBorder="1" applyAlignment="1">
      <alignment horizontal="left" vertical="center" wrapText="1" readingOrder="1"/>
    </xf>
    <xf numFmtId="0" fontId="8" fillId="4" borderId="4" xfId="0" applyFont="1" applyFill="1" applyBorder="1" applyAlignment="1">
      <alignment vertical="center" wrapText="1" readingOrder="1"/>
    </xf>
    <xf numFmtId="0" fontId="9" fillId="0" borderId="0" xfId="0" applyFont="1"/>
    <xf numFmtId="0" fontId="1" fillId="0" borderId="0" xfId="0" applyFont="1"/>
    <xf numFmtId="0" fontId="10" fillId="0" borderId="0" xfId="0" applyFont="1"/>
    <xf numFmtId="0" fontId="8" fillId="3" borderId="4" xfId="0" applyFont="1" applyFill="1" applyBorder="1" applyAlignment="1">
      <alignment vertical="center" wrapText="1" readingOrder="1"/>
    </xf>
    <xf numFmtId="0" fontId="5" fillId="5" borderId="4" xfId="1" applyFill="1" applyBorder="1" applyAlignment="1">
      <alignment horizontal="left" vertical="center" wrapText="1" readingOrder="1"/>
    </xf>
    <xf numFmtId="11" fontId="4" fillId="4" borderId="4" xfId="0" applyNumberFormat="1" applyFont="1" applyFill="1" applyBorder="1" applyAlignment="1">
      <alignment horizontal="left" vertical="center" wrapText="1" readingOrder="1"/>
    </xf>
    <xf numFmtId="11" fontId="4" fillId="3" borderId="4" xfId="0" applyNumberFormat="1" applyFont="1" applyFill="1" applyBorder="1" applyAlignment="1">
      <alignment horizontal="left" vertical="center" wrapText="1" readingOrder="1"/>
    </xf>
    <xf numFmtId="11" fontId="8" fillId="4" borderId="4" xfId="0" applyNumberFormat="1" applyFont="1" applyFill="1" applyBorder="1" applyAlignment="1">
      <alignment horizontal="left" vertical="center" wrapText="1" readingOrder="1"/>
    </xf>
    <xf numFmtId="11" fontId="8" fillId="3" borderId="2" xfId="0" applyNumberFormat="1" applyFont="1" applyFill="1" applyBorder="1" applyAlignment="1">
      <alignment horizontal="left" vertical="center" wrapText="1" readingOrder="1"/>
    </xf>
    <xf numFmtId="11" fontId="8" fillId="3" borderId="4" xfId="0" applyNumberFormat="1" applyFont="1" applyFill="1" applyBorder="1" applyAlignment="1">
      <alignment horizontal="left" vertical="center" wrapText="1" readingOrder="1"/>
    </xf>
    <xf numFmtId="11" fontId="4" fillId="3" borderId="3" xfId="0" applyNumberFormat="1" applyFont="1" applyFill="1" applyBorder="1" applyAlignment="1">
      <alignment horizontal="left" vertical="center" wrapText="1" readingOrder="1"/>
    </xf>
    <xf numFmtId="2" fontId="4" fillId="4" borderId="4" xfId="0" applyNumberFormat="1" applyFont="1" applyFill="1" applyBorder="1" applyAlignment="1">
      <alignment horizontal="left" vertical="center" wrapText="1" readingOrder="1"/>
    </xf>
    <xf numFmtId="2" fontId="4" fillId="3" borderId="4" xfId="0" applyNumberFormat="1" applyFont="1" applyFill="1" applyBorder="1" applyAlignment="1">
      <alignment horizontal="left" vertical="center" wrapText="1" readingOrder="1"/>
    </xf>
    <xf numFmtId="2" fontId="4" fillId="3" borderId="3" xfId="0" applyNumberFormat="1" applyFont="1" applyFill="1" applyBorder="1" applyAlignment="1">
      <alignment horizontal="left" vertical="center" wrapText="1" readingOrder="1"/>
    </xf>
    <xf numFmtId="2" fontId="4" fillId="3" borderId="7" xfId="0" applyNumberFormat="1" applyFont="1" applyFill="1" applyBorder="1" applyAlignment="1">
      <alignment horizontal="left" vertical="center" wrapText="1" readingOrder="1"/>
    </xf>
    <xf numFmtId="2" fontId="4" fillId="4" borderId="3" xfId="0" applyNumberFormat="1" applyFont="1" applyFill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ui.adsabs.harvard.edu/abs/2017SPIE10398E..09B/abstract%20,%20Bolcar%20et%20al.%202017" TargetMode="External"/><Relationship Id="rId1" Type="http://schemas.openxmlformats.org/officeDocument/2006/relationships/hyperlink" Target="https://www.esa.int/Science_Exploration/Space_Science/Gaia/Gaia_factshe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i.adsabs.harvard.edu/abs/2015CQGra..32a5014M/abstract%20,https:/ui.adsabs.harvard.edu/abs/2019PhRvD.100j4028H/abstract" TargetMode="External"/><Relationship Id="rId1" Type="http://schemas.openxmlformats.org/officeDocument/2006/relationships/hyperlink" Target="https://ui.adsabs.harvard.edu/abs/2020CQGra..37p5003A/abstrac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i.adsabs.harvard.edu/abs/2022ApJ...941..208I/abstract" TargetMode="External"/><Relationship Id="rId2" Type="http://schemas.openxmlformats.org/officeDocument/2006/relationships/hyperlink" Target="https://ui.adsabs.harvard.edu/abs/2023arXiv230108763G/abstract" TargetMode="External"/><Relationship Id="rId1" Type="http://schemas.openxmlformats.org/officeDocument/2006/relationships/hyperlink" Target="https://arxiv.org/pdf/2202.11048.pdf" TargetMode="External"/><Relationship Id="rId6" Type="http://schemas.openxmlformats.org/officeDocument/2006/relationships/hyperlink" Target="https://ui.adsabs.harvard.edu/abs/2022ApJ...941..208I/abstract" TargetMode="External"/><Relationship Id="rId5" Type="http://schemas.openxmlformats.org/officeDocument/2006/relationships/hyperlink" Target="https://ui.adsabs.harvard.edu/abs/2023arXiv230108763G/abstract" TargetMode="External"/><Relationship Id="rId4" Type="http://schemas.openxmlformats.org/officeDocument/2006/relationships/hyperlink" Target="https://arxiv.org/pdf/2202.1104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209A-EE9C-8D4C-8A54-C3EF3BC5A741}">
  <dimension ref="A1:I13"/>
  <sheetViews>
    <sheetView workbookViewId="0">
      <selection activeCell="G13" sqref="G13"/>
    </sheetView>
  </sheetViews>
  <sheetFormatPr baseColWidth="10" defaultRowHeight="16" x14ac:dyDescent="0.2"/>
  <cols>
    <col min="1" max="1" width="10.83203125" customWidth="1"/>
    <col min="2" max="2" width="17.1640625" bestFit="1" customWidth="1"/>
    <col min="3" max="3" width="22.6640625" customWidth="1"/>
    <col min="4" max="5" width="38.6640625" customWidth="1"/>
    <col min="6" max="7" width="30.1640625" customWidth="1"/>
    <col min="8" max="8" width="67.6640625" customWidth="1"/>
    <col min="9" max="9" width="36.83203125" customWidth="1"/>
  </cols>
  <sheetData>
    <row r="1" spans="1:9" ht="30" customHeight="1" thickBot="1" x14ac:dyDescent="0.25">
      <c r="A1" s="1" t="s">
        <v>0</v>
      </c>
      <c r="B1" s="21" t="s">
        <v>62</v>
      </c>
      <c r="C1" s="21" t="s">
        <v>64</v>
      </c>
      <c r="D1" s="21" t="s">
        <v>63</v>
      </c>
      <c r="E1" s="21" t="s">
        <v>65</v>
      </c>
      <c r="F1" s="21" t="s">
        <v>69</v>
      </c>
      <c r="G1" s="21" t="s">
        <v>70</v>
      </c>
      <c r="H1" s="1" t="s">
        <v>101</v>
      </c>
      <c r="I1" s="21" t="s">
        <v>33</v>
      </c>
    </row>
    <row r="2" spans="1:9" ht="30" customHeight="1" thickTop="1" thickBot="1" x14ac:dyDescent="0.25">
      <c r="A2" s="16" t="s">
        <v>98</v>
      </c>
      <c r="B2" s="26" t="s">
        <v>72</v>
      </c>
      <c r="C2" s="26" t="s">
        <v>73</v>
      </c>
      <c r="D2" s="26" t="s">
        <v>72</v>
      </c>
      <c r="E2" s="26" t="s">
        <v>73</v>
      </c>
      <c r="F2" s="26" t="s">
        <v>71</v>
      </c>
      <c r="G2" s="26" t="s">
        <v>71</v>
      </c>
      <c r="H2" s="16"/>
      <c r="I2" s="26"/>
    </row>
    <row r="3" spans="1:9" ht="30" customHeight="1" thickBot="1" x14ac:dyDescent="0.25">
      <c r="A3" s="27" t="s">
        <v>94</v>
      </c>
      <c r="B3" s="3">
        <v>2029</v>
      </c>
      <c r="C3" s="3">
        <v>5</v>
      </c>
      <c r="D3" s="3">
        <v>2045</v>
      </c>
      <c r="E3" s="3">
        <v>1</v>
      </c>
      <c r="F3" s="33">
        <f>1*0.01</f>
        <v>0.01</v>
      </c>
      <c r="G3" s="35">
        <f>4.3*0.01</f>
        <v>4.2999999999999997E-2</v>
      </c>
      <c r="H3" s="24" t="s">
        <v>100</v>
      </c>
      <c r="I3" s="3" t="s">
        <v>99</v>
      </c>
    </row>
    <row r="4" spans="1:9" ht="30" customHeight="1" thickTop="1" thickBot="1" x14ac:dyDescent="0.25">
      <c r="A4" s="2" t="s">
        <v>3</v>
      </c>
      <c r="B4" s="2">
        <v>2022</v>
      </c>
      <c r="C4" s="2">
        <v>6</v>
      </c>
      <c r="D4" s="2">
        <v>2032</v>
      </c>
      <c r="E4" s="2">
        <v>1</v>
      </c>
      <c r="F4" s="34">
        <f>0.6*0.000001</f>
        <v>5.9999999999999997E-7</v>
      </c>
      <c r="G4" s="36">
        <f>28.5*0.000001</f>
        <v>2.8499999999999998E-5</v>
      </c>
      <c r="H4" s="22" t="s">
        <v>76</v>
      </c>
      <c r="I4" s="22" t="s">
        <v>66</v>
      </c>
    </row>
    <row r="5" spans="1:9" ht="30" customHeight="1" thickBot="1" x14ac:dyDescent="0.25">
      <c r="A5" s="27" t="s">
        <v>95</v>
      </c>
      <c r="B5" s="3">
        <v>2027</v>
      </c>
      <c r="C5" s="3">
        <v>1</v>
      </c>
      <c r="D5" s="3">
        <v>2045</v>
      </c>
      <c r="E5" s="3">
        <v>1</v>
      </c>
      <c r="F5" s="33">
        <f>0.47*0.000001</f>
        <v>4.6999999999999995E-7</v>
      </c>
      <c r="G5" s="35">
        <f>2.45*0.000001</f>
        <v>2.4500000000000003E-6</v>
      </c>
      <c r="H5" s="4" t="s">
        <v>102</v>
      </c>
      <c r="I5" s="23"/>
    </row>
    <row r="6" spans="1:9" ht="30" customHeight="1" thickTop="1" thickBot="1" x14ac:dyDescent="0.25">
      <c r="A6" s="2" t="s">
        <v>4</v>
      </c>
      <c r="B6" s="2">
        <v>2013</v>
      </c>
      <c r="C6" s="2">
        <v>1</v>
      </c>
      <c r="D6" s="2">
        <v>2025</v>
      </c>
      <c r="E6" s="2">
        <v>1</v>
      </c>
      <c r="F6" s="34">
        <f>330*0.000000001</f>
        <v>3.3000000000000002E-7</v>
      </c>
      <c r="G6" s="36">
        <f>1050*0.000000001</f>
        <v>1.0500000000000001E-6</v>
      </c>
      <c r="H6" s="22" t="s">
        <v>68</v>
      </c>
      <c r="I6" s="22" t="s">
        <v>67</v>
      </c>
    </row>
    <row r="7" spans="1:9" ht="30" customHeight="1" thickBot="1" x14ac:dyDescent="0.25">
      <c r="A7" s="27" t="s">
        <v>96</v>
      </c>
      <c r="B7" s="3">
        <v>2024</v>
      </c>
      <c r="C7" s="3">
        <v>1</v>
      </c>
      <c r="D7" s="3">
        <v>2034</v>
      </c>
      <c r="E7" s="3">
        <v>1</v>
      </c>
      <c r="F7" s="33">
        <f>320*0.000000001</f>
        <v>3.2000000000000001E-7</v>
      </c>
      <c r="G7" s="35">
        <f>1060*0.000000001</f>
        <v>1.06E-6</v>
      </c>
      <c r="H7" s="4" t="s">
        <v>6</v>
      </c>
      <c r="I7" s="23" t="s">
        <v>5</v>
      </c>
    </row>
    <row r="8" spans="1:9" ht="30" customHeight="1" thickBot="1" x14ac:dyDescent="0.25">
      <c r="A8" s="31" t="s">
        <v>7</v>
      </c>
      <c r="B8" s="5">
        <v>2020</v>
      </c>
      <c r="C8" s="5">
        <v>10</v>
      </c>
      <c r="D8" s="5">
        <v>2025</v>
      </c>
      <c r="E8" s="5">
        <v>1</v>
      </c>
      <c r="F8" s="34">
        <f>0.37*0.000001</f>
        <v>3.7E-7</v>
      </c>
      <c r="G8" s="37">
        <f>1.7*0.000001</f>
        <v>1.6999999999999998E-6</v>
      </c>
      <c r="H8" s="25" t="s">
        <v>8</v>
      </c>
      <c r="I8" s="25" t="s">
        <v>74</v>
      </c>
    </row>
    <row r="9" spans="1:9" ht="30" customHeight="1" thickBot="1" x14ac:dyDescent="0.25">
      <c r="A9" s="27" t="s">
        <v>75</v>
      </c>
      <c r="B9" s="3">
        <v>2039</v>
      </c>
      <c r="C9" s="3">
        <v>1</v>
      </c>
      <c r="D9" s="3">
        <v>2046</v>
      </c>
      <c r="E9" s="3">
        <v>1</v>
      </c>
      <c r="F9" s="33">
        <f>100*0.000000001</f>
        <v>1.0000000000000001E-7</v>
      </c>
      <c r="G9" s="35">
        <f>400*0.000000001</f>
        <v>4.0000000000000003E-7</v>
      </c>
      <c r="H9" s="32" t="s">
        <v>103</v>
      </c>
      <c r="I9" s="23"/>
    </row>
    <row r="10" spans="1:9" ht="30" customHeight="1" thickBot="1" x14ac:dyDescent="0.25">
      <c r="A10" s="25" t="s">
        <v>9</v>
      </c>
      <c r="B10" s="5">
        <v>3035</v>
      </c>
      <c r="C10" s="5">
        <v>1</v>
      </c>
      <c r="D10" s="5">
        <v>3039</v>
      </c>
      <c r="E10" s="5">
        <v>1</v>
      </c>
      <c r="F10" s="34">
        <f>1.03*0.0000000001</f>
        <v>1.0300000000000001E-10</v>
      </c>
      <c r="G10" s="37">
        <f>6.2*0.000000001</f>
        <v>6.2000000000000009E-9</v>
      </c>
      <c r="H10" s="25" t="s">
        <v>11</v>
      </c>
      <c r="I10" s="25" t="s">
        <v>10</v>
      </c>
    </row>
    <row r="11" spans="1:9" ht="30" customHeight="1" thickBot="1" x14ac:dyDescent="0.25">
      <c r="A11" s="27" t="s">
        <v>97</v>
      </c>
      <c r="B11" s="3">
        <v>1999</v>
      </c>
      <c r="C11" s="3">
        <v>1</v>
      </c>
      <c r="D11" s="3">
        <v>2022</v>
      </c>
      <c r="E11" s="3">
        <v>1</v>
      </c>
      <c r="F11" s="33">
        <f>1.03*0.0000000001</f>
        <v>1.0300000000000001E-10</v>
      </c>
      <c r="G11" s="35">
        <f>1.2*0.00000001</f>
        <v>1.2E-8</v>
      </c>
      <c r="H11" s="24" t="s">
        <v>12</v>
      </c>
      <c r="I11" s="7"/>
    </row>
    <row r="12" spans="1:9" ht="30" customHeight="1" thickBot="1" x14ac:dyDescent="0.25">
      <c r="A12" s="8" t="s">
        <v>13</v>
      </c>
      <c r="B12" s="8">
        <v>2004</v>
      </c>
      <c r="C12" s="8">
        <v>1</v>
      </c>
      <c r="D12" s="8">
        <v>2010</v>
      </c>
      <c r="E12" s="8">
        <v>1</v>
      </c>
      <c r="F12" s="34">
        <f>8.3*0.000000000001</f>
        <v>8.2999999999999998E-12</v>
      </c>
      <c r="G12" s="38">
        <f>6.2*0.000000001</f>
        <v>6.2000000000000009E-9</v>
      </c>
      <c r="H12" s="9"/>
      <c r="I12" s="9"/>
    </row>
    <row r="13" spans="1:9" ht="30" customHeight="1" x14ac:dyDescent="0.2">
      <c r="A13" s="24" t="s">
        <v>14</v>
      </c>
      <c r="B13" s="3">
        <v>2019</v>
      </c>
      <c r="C13" s="3">
        <v>7</v>
      </c>
      <c r="D13" s="3">
        <v>2026</v>
      </c>
      <c r="E13" s="3">
        <v>1</v>
      </c>
      <c r="F13" s="33">
        <f>1.55*0.0000000001</f>
        <v>1.5500000000000001E-10</v>
      </c>
      <c r="G13" s="35">
        <f>6.2*0.000000001</f>
        <v>6.2000000000000009E-9</v>
      </c>
      <c r="H13" s="24" t="s">
        <v>16</v>
      </c>
      <c r="I13" s="24" t="s">
        <v>15</v>
      </c>
    </row>
  </sheetData>
  <hyperlinks>
    <hyperlink ref="H6" r:id="rId1" display="https://www.esa.int/Science_Exploration/Space_Science/Gaia/Gaia_factsheet" xr:uid="{47F1ABF9-C16C-424F-8F06-93C566906D43}"/>
    <hyperlink ref="H9" r:id="rId2" xr:uid="{E7565AD9-9705-294B-A7AD-2B92AF120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3418-53D9-564B-81F1-BC5D7421E986}">
  <dimension ref="A1:M24"/>
  <sheetViews>
    <sheetView tabSelected="1" workbookViewId="0">
      <selection activeCell="E21" sqref="E21"/>
    </sheetView>
  </sheetViews>
  <sheetFormatPr baseColWidth="10" defaultRowHeight="16" x14ac:dyDescent="0.2"/>
  <cols>
    <col min="2" max="2" width="21.5" customWidth="1"/>
    <col min="3" max="4" width="21.6640625" customWidth="1"/>
    <col min="5" max="8" width="20.83203125" customWidth="1"/>
    <col min="9" max="9" width="29.5" customWidth="1"/>
    <col min="10" max="11" width="20.83203125" customWidth="1"/>
  </cols>
  <sheetData>
    <row r="1" spans="1:13" ht="30" customHeight="1" thickBot="1" x14ac:dyDescent="0.25">
      <c r="A1" s="1" t="s">
        <v>0</v>
      </c>
      <c r="B1" s="1" t="s">
        <v>62</v>
      </c>
      <c r="C1" s="1" t="s">
        <v>64</v>
      </c>
      <c r="D1" s="1" t="s">
        <v>63</v>
      </c>
      <c r="E1" s="1" t="s">
        <v>65</v>
      </c>
      <c r="F1" s="1" t="s">
        <v>105</v>
      </c>
      <c r="G1" s="1" t="s">
        <v>106</v>
      </c>
      <c r="H1" s="1" t="s">
        <v>104</v>
      </c>
      <c r="I1" s="1" t="s">
        <v>1</v>
      </c>
      <c r="J1" s="1" t="s">
        <v>2</v>
      </c>
      <c r="K1" s="16" t="s">
        <v>33</v>
      </c>
    </row>
    <row r="2" spans="1:13" ht="65" customHeight="1" thickTop="1" thickBot="1" x14ac:dyDescent="0.25">
      <c r="A2" s="10" t="s">
        <v>17</v>
      </c>
      <c r="B2" s="42">
        <v>2023</v>
      </c>
      <c r="C2" s="42">
        <v>5</v>
      </c>
      <c r="D2" s="42">
        <v>2024</v>
      </c>
      <c r="E2" s="42">
        <v>11</v>
      </c>
      <c r="F2" s="42">
        <v>10</v>
      </c>
      <c r="G2" s="42">
        <v>10000</v>
      </c>
      <c r="H2" s="10">
        <v>200</v>
      </c>
      <c r="I2" s="10" t="s">
        <v>31</v>
      </c>
      <c r="J2" s="10" t="s">
        <v>18</v>
      </c>
      <c r="K2" s="15"/>
    </row>
    <row r="3" spans="1:13" ht="30" customHeight="1" thickBot="1" x14ac:dyDescent="0.25">
      <c r="A3" s="3" t="s">
        <v>19</v>
      </c>
      <c r="B3" s="39">
        <v>2027</v>
      </c>
      <c r="C3" s="39">
        <v>1</v>
      </c>
      <c r="D3" s="39">
        <v>2029</v>
      </c>
      <c r="E3" s="39">
        <v>6</v>
      </c>
      <c r="F3" s="39">
        <v>10</v>
      </c>
      <c r="G3" s="39">
        <v>10000</v>
      </c>
      <c r="H3" s="3">
        <v>200</v>
      </c>
      <c r="I3" s="3" t="s">
        <v>32</v>
      </c>
      <c r="J3" s="3" t="s">
        <v>18</v>
      </c>
      <c r="K3" s="3"/>
    </row>
    <row r="4" spans="1:13" ht="30" customHeight="1" thickBot="1" x14ac:dyDescent="0.25">
      <c r="A4" s="5" t="s">
        <v>20</v>
      </c>
      <c r="B4" s="40">
        <v>2030</v>
      </c>
      <c r="C4" s="40">
        <v>1</v>
      </c>
      <c r="D4" s="40">
        <v>2035</v>
      </c>
      <c r="E4" s="40">
        <v>1</v>
      </c>
      <c r="F4" s="40">
        <v>10</v>
      </c>
      <c r="G4" s="40">
        <v>5000</v>
      </c>
      <c r="H4" s="5">
        <v>40</v>
      </c>
      <c r="I4" s="11"/>
      <c r="J4" s="12" t="s">
        <v>37</v>
      </c>
      <c r="K4" s="5" t="s">
        <v>36</v>
      </c>
    </row>
    <row r="5" spans="1:13" ht="30" customHeight="1" thickBot="1" x14ac:dyDescent="0.25">
      <c r="A5" s="13" t="s">
        <v>21</v>
      </c>
      <c r="B5" s="43">
        <v>2037</v>
      </c>
      <c r="C5" s="39">
        <v>1</v>
      </c>
      <c r="D5" s="39">
        <v>2040</v>
      </c>
      <c r="E5" s="39">
        <v>1</v>
      </c>
      <c r="F5" s="39">
        <v>1E-3</v>
      </c>
      <c r="G5" s="39">
        <v>100</v>
      </c>
      <c r="H5" s="13">
        <v>0.3</v>
      </c>
      <c r="I5" s="14"/>
      <c r="J5" s="13" t="s">
        <v>22</v>
      </c>
      <c r="K5" s="13" t="s">
        <v>38</v>
      </c>
    </row>
    <row r="6" spans="1:13" ht="30" customHeight="1" thickBot="1" x14ac:dyDescent="0.25">
      <c r="A6" s="5" t="s">
        <v>23</v>
      </c>
      <c r="B6" s="40">
        <v>2037</v>
      </c>
      <c r="C6" s="40">
        <v>1</v>
      </c>
      <c r="D6" s="40">
        <v>2041</v>
      </c>
      <c r="E6" s="40">
        <v>1</v>
      </c>
      <c r="F6" s="40">
        <v>1.0000000000000001E-5</v>
      </c>
      <c r="G6" s="40">
        <v>1</v>
      </c>
      <c r="H6" s="5">
        <v>3.0000000000000001E-3</v>
      </c>
      <c r="I6" s="5"/>
      <c r="J6" s="5" t="s">
        <v>24</v>
      </c>
      <c r="K6" s="6" t="s">
        <v>39</v>
      </c>
    </row>
    <row r="7" spans="1:13" ht="30" customHeight="1" thickBot="1" x14ac:dyDescent="0.25">
      <c r="A7" s="13" t="s">
        <v>25</v>
      </c>
      <c r="B7" s="43">
        <v>2037</v>
      </c>
      <c r="C7" s="43">
        <v>1</v>
      </c>
      <c r="D7" s="43">
        <v>2040</v>
      </c>
      <c r="E7" s="43">
        <v>1</v>
      </c>
      <c r="F7" s="43">
        <v>1E-4</v>
      </c>
      <c r="G7" s="43">
        <v>1</v>
      </c>
      <c r="H7" s="13">
        <v>0.1</v>
      </c>
      <c r="I7" s="14"/>
      <c r="J7" s="13" t="s">
        <v>26</v>
      </c>
      <c r="K7" s="13" t="s">
        <v>38</v>
      </c>
    </row>
    <row r="8" spans="1:13" ht="30" customHeight="1" thickBot="1" x14ac:dyDescent="0.25">
      <c r="A8" s="13" t="s">
        <v>27</v>
      </c>
      <c r="B8" s="43">
        <v>2038</v>
      </c>
      <c r="C8" s="43">
        <v>1</v>
      </c>
      <c r="D8" s="43">
        <v>2045</v>
      </c>
      <c r="E8" s="43">
        <v>1</v>
      </c>
      <c r="F8" s="43">
        <v>1</v>
      </c>
      <c r="G8" s="43">
        <v>10000</v>
      </c>
      <c r="H8" s="13">
        <v>100</v>
      </c>
      <c r="I8" s="14"/>
      <c r="J8" s="13" t="s">
        <v>40</v>
      </c>
      <c r="K8" s="5"/>
    </row>
    <row r="9" spans="1:13" ht="30" customHeight="1" thickBot="1" x14ac:dyDescent="0.25">
      <c r="A9" s="8" t="s">
        <v>28</v>
      </c>
      <c r="B9" s="41">
        <v>2038</v>
      </c>
      <c r="C9" s="41">
        <v>1</v>
      </c>
      <c r="D9" s="41">
        <v>2045</v>
      </c>
      <c r="E9" s="41">
        <v>1</v>
      </c>
      <c r="F9" s="41">
        <v>5</v>
      </c>
      <c r="G9" s="41">
        <v>3750</v>
      </c>
      <c r="H9" s="8">
        <v>50</v>
      </c>
      <c r="I9" s="9"/>
      <c r="J9" s="8" t="s">
        <v>29</v>
      </c>
      <c r="K9" s="6"/>
    </row>
    <row r="10" spans="1:13" ht="30" customHeight="1" thickBot="1" x14ac:dyDescent="0.25">
      <c r="A10" s="3" t="s">
        <v>30</v>
      </c>
      <c r="B10" s="39">
        <v>2020</v>
      </c>
      <c r="C10" s="39">
        <v>1</v>
      </c>
      <c r="D10" s="39">
        <v>2045</v>
      </c>
      <c r="E10" s="39">
        <v>1</v>
      </c>
      <c r="F10" s="39">
        <v>1.0000000000000001E-9</v>
      </c>
      <c r="G10" s="39">
        <v>9.9999999999999995E-7</v>
      </c>
      <c r="H10" s="3">
        <v>1E-8</v>
      </c>
      <c r="I10" s="3" t="s">
        <v>34</v>
      </c>
      <c r="J10" s="4" t="s">
        <v>35</v>
      </c>
      <c r="K10" s="13"/>
    </row>
    <row r="13" spans="1:13" x14ac:dyDescent="0.2">
      <c r="G13" s="29"/>
      <c r="H13" s="29"/>
      <c r="I13" s="29"/>
    </row>
    <row r="14" spans="1:13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3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20" spans="2:13" x14ac:dyDescent="0.2">
      <c r="K20" s="20"/>
    </row>
    <row r="24" spans="2:13" x14ac:dyDescent="0.2">
      <c r="B24" s="20"/>
      <c r="K24" s="20"/>
      <c r="L24" s="20"/>
      <c r="M24" s="20"/>
    </row>
  </sheetData>
  <hyperlinks>
    <hyperlink ref="J4" r:id="rId1" display="https://ui.adsabs.harvard.edu/abs/2020CQGra..37p5003A/abstract" xr:uid="{039F64C5-F74A-8A4A-98E7-3FFF7414E4D1}"/>
    <hyperlink ref="J10" r:id="rId2" xr:uid="{289287BA-83BC-7A4B-8D75-124228FDAC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60E1-7D14-B146-8D39-2ACE54A96BC5}">
  <dimension ref="A1:G38"/>
  <sheetViews>
    <sheetView topLeftCell="A11" workbookViewId="0">
      <selection activeCell="D28" sqref="D28"/>
    </sheetView>
  </sheetViews>
  <sheetFormatPr baseColWidth="10" defaultRowHeight="16" x14ac:dyDescent="0.2"/>
  <cols>
    <col min="1" max="1" width="30.1640625" customWidth="1"/>
    <col min="2" max="2" width="27.1640625" customWidth="1"/>
    <col min="3" max="3" width="27.33203125" customWidth="1"/>
    <col min="4" max="4" width="28.83203125" customWidth="1"/>
    <col min="5" max="5" width="20.83203125" customWidth="1"/>
    <col min="6" max="6" width="19.5" customWidth="1"/>
    <col min="7" max="7" width="21.6640625" customWidth="1"/>
  </cols>
  <sheetData>
    <row r="1" spans="1:6" x14ac:dyDescent="0.2">
      <c r="A1" t="s">
        <v>41</v>
      </c>
      <c r="B1" t="s">
        <v>47</v>
      </c>
    </row>
    <row r="2" spans="1:6" x14ac:dyDescent="0.2">
      <c r="A2" t="s">
        <v>46</v>
      </c>
    </row>
    <row r="4" spans="1:6" ht="24" x14ac:dyDescent="0.3">
      <c r="A4" s="28" t="s">
        <v>77</v>
      </c>
    </row>
    <row r="5" spans="1:6" x14ac:dyDescent="0.2">
      <c r="B5" t="s">
        <v>51</v>
      </c>
      <c r="C5" t="s">
        <v>52</v>
      </c>
    </row>
    <row r="6" spans="1:6" x14ac:dyDescent="0.2">
      <c r="B6" t="s">
        <v>48</v>
      </c>
      <c r="C6" t="s">
        <v>48</v>
      </c>
    </row>
    <row r="7" spans="1:6" x14ac:dyDescent="0.2">
      <c r="A7" t="s">
        <v>43</v>
      </c>
      <c r="B7">
        <v>10</v>
      </c>
      <c r="C7">
        <v>1700</v>
      </c>
    </row>
    <row r="8" spans="1:6" x14ac:dyDescent="0.2">
      <c r="A8" t="s">
        <v>44</v>
      </c>
      <c r="B8">
        <v>7.8</v>
      </c>
      <c r="C8">
        <v>140</v>
      </c>
    </row>
    <row r="9" spans="1:6" x14ac:dyDescent="0.2">
      <c r="A9" t="s">
        <v>45</v>
      </c>
      <c r="B9">
        <v>17.899999999999999</v>
      </c>
      <c r="C9">
        <v>44</v>
      </c>
    </row>
    <row r="11" spans="1:6" ht="26" x14ac:dyDescent="0.3">
      <c r="A11" s="30" t="s">
        <v>78</v>
      </c>
    </row>
    <row r="12" spans="1:6" x14ac:dyDescent="0.2">
      <c r="A12" t="s">
        <v>42</v>
      </c>
    </row>
    <row r="13" spans="1:6" ht="17" x14ac:dyDescent="0.25">
      <c r="A13" s="17" t="s">
        <v>49</v>
      </c>
      <c r="B13" s="18">
        <v>5619.6106182297099</v>
      </c>
      <c r="C13" t="s">
        <v>50</v>
      </c>
    </row>
    <row r="15" spans="1:6" x14ac:dyDescent="0.2">
      <c r="B15" t="s">
        <v>54</v>
      </c>
      <c r="C15" t="s">
        <v>93</v>
      </c>
      <c r="D15" s="19" t="s">
        <v>55</v>
      </c>
      <c r="E15" s="19" t="s">
        <v>56</v>
      </c>
      <c r="F15" s="19" t="s">
        <v>57</v>
      </c>
    </row>
    <row r="16" spans="1:6" x14ac:dyDescent="0.2">
      <c r="B16" t="s">
        <v>53</v>
      </c>
      <c r="C16" t="s">
        <v>53</v>
      </c>
      <c r="D16" t="s">
        <v>53</v>
      </c>
      <c r="E16" t="s">
        <v>53</v>
      </c>
      <c r="F16" t="s">
        <v>53</v>
      </c>
    </row>
    <row r="17" spans="1:7" x14ac:dyDescent="0.2">
      <c r="A17" t="s">
        <v>43</v>
      </c>
      <c r="B17">
        <v>10</v>
      </c>
      <c r="C17">
        <v>1700</v>
      </c>
      <c r="D17" t="s">
        <v>58</v>
      </c>
      <c r="F17" s="20">
        <v>100000</v>
      </c>
    </row>
    <row r="18" spans="1:7" x14ac:dyDescent="0.2">
      <c r="A18" t="s">
        <v>44</v>
      </c>
      <c r="B18">
        <v>7.8</v>
      </c>
      <c r="C18">
        <v>140</v>
      </c>
      <c r="E18" t="s">
        <v>60</v>
      </c>
    </row>
    <row r="19" spans="1:7" x14ac:dyDescent="0.2">
      <c r="A19" t="s">
        <v>45</v>
      </c>
      <c r="B19">
        <v>17.899999999999999</v>
      </c>
      <c r="C19">
        <v>44</v>
      </c>
      <c r="D19" t="s">
        <v>59</v>
      </c>
      <c r="F19" t="s">
        <v>61</v>
      </c>
    </row>
    <row r="22" spans="1:7" ht="26" x14ac:dyDescent="0.3">
      <c r="A22" s="30" t="s">
        <v>79</v>
      </c>
    </row>
    <row r="23" spans="1:7" ht="26" x14ac:dyDescent="0.3">
      <c r="A23" s="30"/>
    </row>
    <row r="24" spans="1:7" x14ac:dyDescent="0.2">
      <c r="A24" s="29" t="s">
        <v>81</v>
      </c>
      <c r="B24" t="s">
        <v>80</v>
      </c>
    </row>
    <row r="25" spans="1:7" x14ac:dyDescent="0.2">
      <c r="A25" s="29"/>
    </row>
    <row r="26" spans="1:7" x14ac:dyDescent="0.2">
      <c r="B26" s="29" t="s">
        <v>82</v>
      </c>
      <c r="C26" s="29" t="s">
        <v>84</v>
      </c>
      <c r="D26" s="29" t="s">
        <v>89</v>
      </c>
      <c r="E26" s="29" t="s">
        <v>91</v>
      </c>
      <c r="F26" s="29" t="s">
        <v>90</v>
      </c>
      <c r="G26" s="29" t="s">
        <v>92</v>
      </c>
    </row>
    <row r="27" spans="1:7" x14ac:dyDescent="0.2">
      <c r="B27" t="s">
        <v>83</v>
      </c>
      <c r="C27" t="s">
        <v>83</v>
      </c>
      <c r="D27" t="s">
        <v>88</v>
      </c>
      <c r="E27" t="s">
        <v>88</v>
      </c>
      <c r="F27" t="s">
        <v>88</v>
      </c>
      <c r="G27" t="s">
        <v>88</v>
      </c>
    </row>
    <row r="28" spans="1:7" x14ac:dyDescent="0.2">
      <c r="A28" t="s">
        <v>85</v>
      </c>
      <c r="B28">
        <v>0.17199999999999999</v>
      </c>
      <c r="C28">
        <v>0.82699999999999996</v>
      </c>
      <c r="D28">
        <f>B28*B17</f>
        <v>1.7199999999999998</v>
      </c>
      <c r="E28">
        <f>B28*C17</f>
        <v>292.39999999999998</v>
      </c>
      <c r="F28">
        <f>C28*B17</f>
        <v>8.27</v>
      </c>
      <c r="G28">
        <f>C28*C17</f>
        <v>1405.8999999999999</v>
      </c>
    </row>
    <row r="29" spans="1:7" x14ac:dyDescent="0.2">
      <c r="A29" t="s">
        <v>86</v>
      </c>
      <c r="B29">
        <v>0.78</v>
      </c>
      <c r="C29">
        <v>3.65</v>
      </c>
      <c r="D29">
        <f t="shared" ref="D29:D30" si="0">B29*B18</f>
        <v>6.0839999999999996</v>
      </c>
      <c r="E29">
        <f t="shared" ref="E29:E30" si="1">B29*C18</f>
        <v>109.2</v>
      </c>
      <c r="F29">
        <f t="shared" ref="F29:F30" si="2">C29*B18</f>
        <v>28.47</v>
      </c>
      <c r="G29">
        <f t="shared" ref="G29" si="3">C29*C18</f>
        <v>511</v>
      </c>
    </row>
    <row r="30" spans="1:7" x14ac:dyDescent="0.2">
      <c r="A30" t="s">
        <v>87</v>
      </c>
      <c r="B30">
        <v>15.15</v>
      </c>
      <c r="C30">
        <v>50.7</v>
      </c>
      <c r="D30">
        <f t="shared" si="0"/>
        <v>271.185</v>
      </c>
      <c r="E30">
        <f t="shared" si="1"/>
        <v>666.6</v>
      </c>
      <c r="F30">
        <f t="shared" si="2"/>
        <v>907.53</v>
      </c>
      <c r="G30">
        <f>C30*C19</f>
        <v>2230.8000000000002</v>
      </c>
    </row>
    <row r="34" spans="1:3" x14ac:dyDescent="0.2">
      <c r="A34" s="19" t="s">
        <v>55</v>
      </c>
      <c r="B34" s="19" t="s">
        <v>56</v>
      </c>
      <c r="C34" s="19" t="s">
        <v>57</v>
      </c>
    </row>
    <row r="35" spans="1:3" x14ac:dyDescent="0.2">
      <c r="A35" t="s">
        <v>53</v>
      </c>
      <c r="B35" t="s">
        <v>53</v>
      </c>
      <c r="C35" t="s">
        <v>53</v>
      </c>
    </row>
    <row r="36" spans="1:3" x14ac:dyDescent="0.2">
      <c r="A36" t="s">
        <v>58</v>
      </c>
      <c r="C36" s="20">
        <v>100000</v>
      </c>
    </row>
    <row r="37" spans="1:3" x14ac:dyDescent="0.2">
      <c r="B37" t="s">
        <v>60</v>
      </c>
    </row>
    <row r="38" spans="1:3" x14ac:dyDescent="0.2">
      <c r="A38" t="s">
        <v>59</v>
      </c>
      <c r="C38" t="s">
        <v>61</v>
      </c>
    </row>
  </sheetData>
  <hyperlinks>
    <hyperlink ref="D15" r:id="rId1" xr:uid="{FED76031-DFA6-E847-80CB-3525AC797F12}"/>
    <hyperlink ref="E15" r:id="rId2" xr:uid="{30C79D6E-5AF6-BA4A-AF33-9A71E36127AB}"/>
    <hyperlink ref="F15" r:id="rId3" xr:uid="{818193D7-1C34-C14A-97C5-C7C54A56AA95}"/>
    <hyperlink ref="A34" r:id="rId4" xr:uid="{BE60FD30-B468-9345-9BBB-9EFDE821C250}"/>
    <hyperlink ref="B34" r:id="rId5" xr:uid="{98654682-C2DB-7B4B-B42C-87FA6C71E9E5}"/>
    <hyperlink ref="C34" r:id="rId6" xr:uid="{04659AB0-F9FF-9E49-AD0B-5898A8708E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Electromagnet wave observations</vt:lpstr>
      <vt:lpstr>Gravitational wave observations</vt:lpstr>
      <vt:lpstr>Cosmic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2023-04-05T20:13:41Z</dcterms:created>
  <dcterms:modified xsi:type="dcterms:W3CDTF">2023-05-07T00:05:14Z</dcterms:modified>
</cp:coreProperties>
</file>