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bookViews>
    <workbookView xWindow="0" yWindow="0" windowWidth="28800" windowHeight="12432" tabRatio="494" firstSheet="17" activeTab="20"/>
  </bookViews>
  <sheets>
    <sheet name="DEC.1.23    " sheetId="614" r:id="rId1"/>
    <sheet name="DEC.2.23  " sheetId="615" r:id="rId2"/>
    <sheet name="DEC.4.23" sheetId="616" r:id="rId3"/>
    <sheet name="DEC.5.23 " sheetId="617" r:id="rId4"/>
    <sheet name="DEC.6.23" sheetId="618" r:id="rId5"/>
    <sheet name="DEC.7.23" sheetId="619" r:id="rId6"/>
    <sheet name="DEC.8.23" sheetId="620" r:id="rId7"/>
    <sheet name="DEC.11.23" sheetId="621" r:id="rId8"/>
    <sheet name="DEC.12.23" sheetId="622" r:id="rId9"/>
    <sheet name="DEC.13.23 " sheetId="623" r:id="rId10"/>
    <sheet name="DEC.14.23  " sheetId="624" r:id="rId11"/>
    <sheet name="DEC.15.23  " sheetId="625" r:id="rId12"/>
    <sheet name="DEC.18.23  " sheetId="626" r:id="rId13"/>
    <sheet name="DEC.19.23  " sheetId="627" r:id="rId14"/>
    <sheet name="DEC.20.23  " sheetId="628" r:id="rId15"/>
    <sheet name="DEC.21.23  " sheetId="629" r:id="rId16"/>
    <sheet name="DEC.22.23  " sheetId="630" r:id="rId17"/>
    <sheet name="DEC.25.23  " sheetId="631" r:id="rId18"/>
    <sheet name="DEC.26.23" sheetId="632" r:id="rId19"/>
    <sheet name="DEC.27.23  " sheetId="633" r:id="rId20"/>
    <sheet name="DEC.28.23   " sheetId="634" r:id="rId21"/>
  </sheets>
  <externalReferences>
    <externalReference r:id="rId22"/>
    <externalReference r:id="rId23"/>
  </externalReferences>
  <definedNames>
    <definedName name="_xlnm._FilterDatabase" localSheetId="0" hidden="1">'DEC.1.23    '!$A$4:$P$4</definedName>
    <definedName name="_xlnm._FilterDatabase" localSheetId="7" hidden="1">DEC.11.23!$A$4:$P$4</definedName>
    <definedName name="_xlnm._FilterDatabase" localSheetId="8" hidden="1">DEC.12.23!$A$4:$P$4</definedName>
    <definedName name="_xlnm._FilterDatabase" localSheetId="9" hidden="1">'DEC.13.23 '!$A$4:$P$4</definedName>
    <definedName name="_xlnm._FilterDatabase" localSheetId="10" hidden="1">'DEC.14.23  '!$A$4:$P$4</definedName>
    <definedName name="_xlnm._FilterDatabase" localSheetId="11" hidden="1">'DEC.15.23  '!$A$4:$P$4</definedName>
    <definedName name="_xlnm._FilterDatabase" localSheetId="12" hidden="1">'DEC.18.23  '!$A$4:$P$4</definedName>
    <definedName name="_xlnm._FilterDatabase" localSheetId="13" hidden="1">'DEC.19.23  '!$A$4:$P$4</definedName>
    <definedName name="_xlnm._FilterDatabase" localSheetId="1" hidden="1">'DEC.2.23  '!$A$4:$P$4</definedName>
    <definedName name="_xlnm._FilterDatabase" localSheetId="14" hidden="1">'DEC.20.23  '!$A$4:$P$4</definedName>
    <definedName name="_xlnm._FilterDatabase" localSheetId="15" hidden="1">'DEC.21.23  '!$A$4:$P$4</definedName>
    <definedName name="_xlnm._FilterDatabase" localSheetId="16" hidden="1">'DEC.22.23  '!$A$4:$P$4</definedName>
    <definedName name="_xlnm._FilterDatabase" localSheetId="17" hidden="1">'DEC.25.23  '!$A$4:$P$4</definedName>
    <definedName name="_xlnm._FilterDatabase" localSheetId="18" hidden="1">DEC.26.23!$A$4:$P$4</definedName>
    <definedName name="_xlnm._FilterDatabase" localSheetId="19" hidden="1">'DEC.27.23  '!$A$4:$P$4</definedName>
    <definedName name="_xlnm._FilterDatabase" localSheetId="20" hidden="1">'DEC.28.23   '!$A$4:$P$4</definedName>
    <definedName name="_xlnm._FilterDatabase" localSheetId="2" hidden="1">DEC.4.23!$A$4:$P$4</definedName>
    <definedName name="_xlnm._FilterDatabase" localSheetId="3" hidden="1">'DEC.5.23 '!$A$4:$P$4</definedName>
    <definedName name="_xlnm._FilterDatabase" localSheetId="4" hidden="1">DEC.6.23!$A$4:$P$4</definedName>
    <definedName name="_xlnm._FilterDatabase" localSheetId="5" hidden="1">DEC.7.23!$A$4:$P$4</definedName>
    <definedName name="_xlnm._FilterDatabase" localSheetId="6" hidden="1">DEC.8.23!$A$4:$P$4</definedName>
    <definedName name="apparel.controller">[1]apparel.controller!$A$1:$E$5</definedName>
    <definedName name="apparel.controller.QC1_pct">[1]apparel.controller!$E$2</definedName>
    <definedName name="apparel.factory_list.keyval">[1]apparel.factory_list!$B:$E</definedName>
    <definedName name="apparel.model.isAnswered">[1]apparel.model!$J:$J</definedName>
    <definedName name="apparel.model.key_comments">[1]apparel.model!$G:$K</definedName>
    <definedName name="apparel.model.max_point">[1]apparel.model!$H:$H</definedName>
    <definedName name="apparel.model.question_category">[1]apparel.model!$E:$E</definedName>
    <definedName name="apparel.model.scored_point">[1]apparel.model!$I:$I</definedName>
    <definedName name="apparel.model.section">[1]apparel.model!$A:$A</definedName>
    <definedName name="apparel.model.total_quantity">[1]apparel.model!$F:$F</definedName>
    <definedName name="apparel.view.cap.item_count">COUNTIF([1]apparel.view.cap!$C:$C,"?*")</definedName>
    <definedName name="apparel.view.input">[1]apparel.view.input!$H:$H</definedName>
    <definedName name="apparel.view.input.keyval">[1]apparel.view.input!$G:$H</definedName>
    <definedName name="apparel.view.input.question_category">[1]apparel.view.input!$F:$F</definedName>
    <definedName name="auditor">[1]apparel.view.summary!$B$7</definedName>
    <definedName name="business_unit">[1]apparel.view.summary!$B$6</definedName>
    <definedName name="button">SUM([0]!apparel.model.scored_point)</definedName>
    <definedName name="coalition">[1]apparel.view.summary!$B$4</definedName>
    <definedName name="complianceNotApplicable">IF(COUNTIF([1]apparel.view.input!$H$174:$H$190,"NA")=COUNTA([1]apparel.view.input!$H$174:$H$190),1,0)</definedName>
    <definedName name="factory_name">[1]apparel.view.summary!$B$2</definedName>
    <definedName name="ffc">[1]apparel.view.summary!$B$5</definedName>
    <definedName name="filtered_list">[1]apparel.factory_list!$I:$I</definedName>
    <definedName name="filtered_list_count">COUNTIF(filtered_list,"?*")</definedName>
    <definedName name="filtered_list_range">OFFSET([1]apparel.factory_list!$I$1,,,filtered_list_count+1)</definedName>
    <definedName name="footwear.factory_list.keyval">[2]footwear.factory_list!$B:$F</definedName>
    <definedName name="footwear.view.input.keyval">[2]footwear.view.input!$G:$H</definedName>
    <definedName name="isNotCompliance" comment="Section Z 1,2,3,7,8,9,10,12,13,14">[1]Name!$D$22</definedName>
    <definedName name="LM">[1]SQL!$B$11</definedName>
    <definedName name="New_Previous_date">[2]Name!$F$5</definedName>
    <definedName name="O_section">[1]Name!$H$17</definedName>
    <definedName name="previous_date">[1]Name!$F$5</definedName>
    <definedName name="_xlnm.Print_Area" localSheetId="0">'DEC.1.23    '!$A:$P</definedName>
    <definedName name="_xlnm.Print_Area" localSheetId="7">DEC.11.23!$A:$P</definedName>
    <definedName name="_xlnm.Print_Area" localSheetId="8">DEC.12.23!$A:$P</definedName>
    <definedName name="_xlnm.Print_Area" localSheetId="9">'DEC.13.23 '!$A:$P</definedName>
    <definedName name="_xlnm.Print_Area" localSheetId="10">'DEC.14.23  '!$A:$P</definedName>
    <definedName name="_xlnm.Print_Area" localSheetId="11">'DEC.15.23  '!$A:$P</definedName>
    <definedName name="_xlnm.Print_Area" localSheetId="12">'DEC.18.23  '!$A:$P</definedName>
    <definedName name="_xlnm.Print_Area" localSheetId="13">'DEC.19.23  '!$A:$P</definedName>
    <definedName name="_xlnm.Print_Area" localSheetId="1">'DEC.2.23  '!$A:$P</definedName>
    <definedName name="_xlnm.Print_Area" localSheetId="14">'DEC.20.23  '!$A:$P</definedName>
    <definedName name="_xlnm.Print_Area" localSheetId="15">'DEC.21.23  '!$A:$P</definedName>
    <definedName name="_xlnm.Print_Area" localSheetId="16">'DEC.22.23  '!$A:$P</definedName>
    <definedName name="_xlnm.Print_Area" localSheetId="17">'DEC.25.23  '!$A:$P</definedName>
    <definedName name="_xlnm.Print_Area" localSheetId="18">DEC.26.23!$A:$P</definedName>
    <definedName name="_xlnm.Print_Area" localSheetId="19">'DEC.27.23  '!$A:$P</definedName>
    <definedName name="_xlnm.Print_Area" localSheetId="20">'DEC.28.23   '!$A:$P</definedName>
    <definedName name="_xlnm.Print_Area" localSheetId="2">DEC.4.23!$A:$P</definedName>
    <definedName name="_xlnm.Print_Area" localSheetId="3">'DEC.5.23 '!$A:$P</definedName>
    <definedName name="_xlnm.Print_Area" localSheetId="4">DEC.6.23!$A:$P</definedName>
    <definedName name="_xlnm.Print_Area" localSheetId="5">DEC.7.23!$A:$P</definedName>
    <definedName name="_xlnm.Print_Area" localSheetId="6">DEC.8.23!$A:$P</definedName>
    <definedName name="score_of_each_piece">apparel.controller.QC1_pct/total_quantity_checked</definedName>
    <definedName name="search_name">[1]apparel.factory_list!$L$10</definedName>
    <definedName name="Snap">#N/A</definedName>
    <definedName name="sql">[1]apparel.view.summary!$D$6</definedName>
    <definedName name="total_quantity_checked">SUMIFS(apparel.model.total_quantity,apparel.model.question_category,"QC",apparel.model.isAnswered,1)</definedName>
    <definedName name="total_score">SUM(apparel.model.scored_point)</definedName>
    <definedName name="Total_score_with_LM">[1]Name!$C$11</definedName>
  </definedNames>
  <calcPr calcId="162913"/>
</workbook>
</file>

<file path=xl/calcChain.xml><?xml version="1.0" encoding="utf-8"?>
<calcChain xmlns="http://schemas.openxmlformats.org/spreadsheetml/2006/main">
  <c r="BG100" i="634" l="1"/>
  <c r="BF100" i="634"/>
  <c r="BE100" i="634"/>
  <c r="BD100" i="634"/>
  <c r="BC100" i="634"/>
  <c r="BB100" i="634"/>
  <c r="BA100" i="634"/>
  <c r="AZ100" i="634"/>
  <c r="AY100" i="634"/>
  <c r="AX100" i="634"/>
  <c r="AW100" i="634"/>
  <c r="AV100" i="634"/>
  <c r="AU100" i="634"/>
  <c r="AT100" i="634"/>
  <c r="AS100" i="634"/>
  <c r="AR100" i="634"/>
  <c r="AQ100" i="634"/>
  <c r="AP100" i="634"/>
  <c r="AO100" i="634"/>
  <c r="AN100" i="634"/>
  <c r="AM100" i="634"/>
  <c r="AL100" i="634"/>
  <c r="AK100" i="634"/>
  <c r="AJ100" i="634"/>
  <c r="AI100" i="634"/>
  <c r="AH100" i="634"/>
  <c r="AG100" i="634"/>
  <c r="AF100" i="634"/>
  <c r="AE100" i="634"/>
  <c r="AD100" i="634"/>
  <c r="AC100" i="634"/>
  <c r="AB100" i="634"/>
  <c r="AA100" i="634"/>
  <c r="Z100" i="634"/>
  <c r="Y100" i="634"/>
  <c r="X100" i="634"/>
  <c r="W100" i="634"/>
  <c r="V100" i="634"/>
  <c r="U100" i="634"/>
  <c r="T100" i="634"/>
  <c r="S100" i="634"/>
  <c r="P100" i="634"/>
  <c r="M100" i="634"/>
  <c r="L100" i="634"/>
  <c r="K100" i="634"/>
  <c r="J100" i="634"/>
  <c r="O99" i="634"/>
  <c r="Q98" i="634"/>
  <c r="O98" i="634"/>
  <c r="N98" i="634"/>
  <c r="O97" i="634"/>
  <c r="N96" i="634" s="1"/>
  <c r="Q96" i="634"/>
  <c r="O96" i="634"/>
  <c r="O95" i="634"/>
  <c r="N94" i="634" s="1"/>
  <c r="Q94" i="634"/>
  <c r="O94" i="634"/>
  <c r="BG91" i="634"/>
  <c r="BF91" i="634"/>
  <c r="BE91" i="634"/>
  <c r="BD91" i="634"/>
  <c r="BC91" i="634"/>
  <c r="BB91" i="634"/>
  <c r="BA91" i="634"/>
  <c r="AZ91" i="634"/>
  <c r="AY91" i="634"/>
  <c r="AX91" i="634"/>
  <c r="AW91" i="634"/>
  <c r="AV91" i="634"/>
  <c r="AU91" i="634"/>
  <c r="AT91" i="634"/>
  <c r="AS91" i="634"/>
  <c r="AR91" i="634"/>
  <c r="AQ91" i="634"/>
  <c r="AP91" i="634"/>
  <c r="AO91" i="634"/>
  <c r="AN91" i="634"/>
  <c r="AM91" i="634"/>
  <c r="AL91" i="634"/>
  <c r="AK91" i="634"/>
  <c r="AJ91" i="634"/>
  <c r="AI91" i="634"/>
  <c r="AH91" i="634"/>
  <c r="AG91" i="634"/>
  <c r="AF91" i="634"/>
  <c r="AE91" i="634"/>
  <c r="AD91" i="634"/>
  <c r="AC91" i="634"/>
  <c r="AB91" i="634"/>
  <c r="AA91" i="634"/>
  <c r="Z91" i="634"/>
  <c r="Y91" i="634"/>
  <c r="X91" i="634"/>
  <c r="W91" i="634"/>
  <c r="V91" i="634"/>
  <c r="U91" i="634"/>
  <c r="T91" i="634"/>
  <c r="S91" i="634"/>
  <c r="P91" i="634"/>
  <c r="M91" i="634"/>
  <c r="L91" i="634"/>
  <c r="K91" i="634"/>
  <c r="J91" i="634"/>
  <c r="O90" i="634"/>
  <c r="N89" i="634" s="1"/>
  <c r="Q89" i="634"/>
  <c r="O89" i="634"/>
  <c r="O88" i="634"/>
  <c r="N87" i="634" s="1"/>
  <c r="Q87" i="634"/>
  <c r="Q91" i="634" s="1"/>
  <c r="O87" i="634"/>
  <c r="BG82" i="634"/>
  <c r="BF82" i="634"/>
  <c r="BE82" i="634"/>
  <c r="BD82" i="634"/>
  <c r="BC82" i="634"/>
  <c r="BB82" i="634"/>
  <c r="BA82" i="634"/>
  <c r="AZ82" i="634"/>
  <c r="AY82" i="634"/>
  <c r="AX82" i="634"/>
  <c r="AW82" i="634"/>
  <c r="AV82" i="634"/>
  <c r="AU82" i="634"/>
  <c r="AT82" i="634"/>
  <c r="AS82" i="634"/>
  <c r="AR82" i="634"/>
  <c r="AQ82" i="634"/>
  <c r="AP82" i="634"/>
  <c r="AO82" i="634"/>
  <c r="AN82" i="634"/>
  <c r="AM82" i="634"/>
  <c r="AL82" i="634"/>
  <c r="AK82" i="634"/>
  <c r="AJ82" i="634"/>
  <c r="AI82" i="634"/>
  <c r="AH82" i="634"/>
  <c r="AG82" i="634"/>
  <c r="AF82" i="634"/>
  <c r="AE82" i="634"/>
  <c r="AD82" i="634"/>
  <c r="AC82" i="634"/>
  <c r="AB82" i="634"/>
  <c r="AA82" i="634"/>
  <c r="Z82" i="634"/>
  <c r="Y82" i="634"/>
  <c r="X82" i="634"/>
  <c r="W82" i="634"/>
  <c r="V82" i="634"/>
  <c r="U82" i="634"/>
  <c r="T82" i="634"/>
  <c r="S82" i="634"/>
  <c r="P82" i="634"/>
  <c r="O82" i="634"/>
  <c r="M82" i="634"/>
  <c r="L82" i="634"/>
  <c r="K82" i="634"/>
  <c r="J82" i="634"/>
  <c r="Q80" i="634"/>
  <c r="Q82" i="634" s="1"/>
  <c r="N80" i="634"/>
  <c r="BG71" i="634"/>
  <c r="BF71" i="634"/>
  <c r="BE71" i="634"/>
  <c r="BE101" i="634" s="1"/>
  <c r="BD71" i="634"/>
  <c r="BC71" i="634"/>
  <c r="BB71" i="634"/>
  <c r="BA71" i="634"/>
  <c r="AZ71" i="634"/>
  <c r="AY71" i="634"/>
  <c r="AX71" i="634"/>
  <c r="AW71" i="634"/>
  <c r="AW101" i="634" s="1"/>
  <c r="AV71" i="634"/>
  <c r="AU71" i="634"/>
  <c r="AT71" i="634"/>
  <c r="AS71" i="634"/>
  <c r="AR71" i="634"/>
  <c r="AQ71" i="634"/>
  <c r="AP71" i="634"/>
  <c r="AO71" i="634"/>
  <c r="AO101" i="634" s="1"/>
  <c r="AN71" i="634"/>
  <c r="AM71" i="634"/>
  <c r="AL71" i="634"/>
  <c r="AK71" i="634"/>
  <c r="AJ71" i="634"/>
  <c r="AI71" i="634"/>
  <c r="AH71" i="634"/>
  <c r="AG71" i="634"/>
  <c r="AG101" i="634" s="1"/>
  <c r="AF71" i="634"/>
  <c r="AE71" i="634"/>
  <c r="AD71" i="634"/>
  <c r="AB71" i="634"/>
  <c r="AB101" i="634" s="1"/>
  <c r="AA71" i="634"/>
  <c r="Z71" i="634"/>
  <c r="Y71" i="634"/>
  <c r="X71" i="634"/>
  <c r="X101" i="634" s="1"/>
  <c r="W71" i="634"/>
  <c r="V71" i="634"/>
  <c r="U71" i="634"/>
  <c r="T71" i="634"/>
  <c r="T101" i="634" s="1"/>
  <c r="S71" i="634"/>
  <c r="L71" i="634"/>
  <c r="L101" i="634" s="1"/>
  <c r="J71" i="634"/>
  <c r="P68" i="634"/>
  <c r="O68" i="634"/>
  <c r="M68" i="634"/>
  <c r="L68" i="634"/>
  <c r="K68" i="634"/>
  <c r="K71" i="634" s="1"/>
  <c r="AC67" i="634"/>
  <c r="AC71" i="634" s="1"/>
  <c r="P67" i="634"/>
  <c r="P71" i="634" s="1"/>
  <c r="P101" i="634" s="1"/>
  <c r="M67" i="634"/>
  <c r="L67" i="634"/>
  <c r="O66" i="634"/>
  <c r="N65" i="634" s="1"/>
  <c r="Q65" i="634"/>
  <c r="O65" i="634"/>
  <c r="BC60" i="634"/>
  <c r="BG59" i="634"/>
  <c r="BF59" i="634"/>
  <c r="BE59" i="634"/>
  <c r="BD59" i="634"/>
  <c r="BC59" i="634"/>
  <c r="BB59" i="634"/>
  <c r="BA59" i="634"/>
  <c r="AZ59" i="634"/>
  <c r="AY59" i="634"/>
  <c r="AX59" i="634"/>
  <c r="AW59" i="634"/>
  <c r="AV59" i="634"/>
  <c r="AU59" i="634"/>
  <c r="AT59" i="634"/>
  <c r="AS59" i="634"/>
  <c r="AR59" i="634"/>
  <c r="AQ59" i="634"/>
  <c r="AP59" i="634"/>
  <c r="AO59" i="634"/>
  <c r="AN59" i="634"/>
  <c r="AM59" i="634"/>
  <c r="AL59" i="634"/>
  <c r="AK59" i="634"/>
  <c r="AJ59" i="634"/>
  <c r="AI59" i="634"/>
  <c r="AH59" i="634"/>
  <c r="AG59" i="634"/>
  <c r="AF59" i="634"/>
  <c r="AE59" i="634"/>
  <c r="AD59" i="634"/>
  <c r="AC59" i="634"/>
  <c r="AB59" i="634"/>
  <c r="AA59" i="634"/>
  <c r="Z59" i="634"/>
  <c r="Y59" i="634"/>
  <c r="X59" i="634"/>
  <c r="W59" i="634"/>
  <c r="V59" i="634"/>
  <c r="U59" i="634"/>
  <c r="T59" i="634"/>
  <c r="S59" i="634"/>
  <c r="P59" i="634"/>
  <c r="M59" i="634"/>
  <c r="L59" i="634"/>
  <c r="K59" i="634"/>
  <c r="J59" i="634"/>
  <c r="N57" i="634"/>
  <c r="O56" i="634"/>
  <c r="Q55" i="634"/>
  <c r="O55" i="634"/>
  <c r="N55" i="634"/>
  <c r="O54" i="634"/>
  <c r="N53" i="634" s="1"/>
  <c r="Q53" i="634"/>
  <c r="O53" i="634"/>
  <c r="O52" i="634"/>
  <c r="N51" i="634" s="1"/>
  <c r="Q51" i="634"/>
  <c r="O51" i="634"/>
  <c r="O50" i="634"/>
  <c r="N49" i="634" s="1"/>
  <c r="Q49" i="634"/>
  <c r="O49" i="634"/>
  <c r="BG46" i="634"/>
  <c r="BF46" i="634"/>
  <c r="BE46" i="634"/>
  <c r="BD46" i="634"/>
  <c r="BC46" i="634"/>
  <c r="BB46" i="634"/>
  <c r="BA46" i="634"/>
  <c r="AZ46" i="634"/>
  <c r="AY46" i="634"/>
  <c r="AX46" i="634"/>
  <c r="AW46" i="634"/>
  <c r="AV46" i="634"/>
  <c r="AU46" i="634"/>
  <c r="AT46" i="634"/>
  <c r="AS46" i="634"/>
  <c r="AR46" i="634"/>
  <c r="AQ46" i="634"/>
  <c r="AP46" i="634"/>
  <c r="AO46" i="634"/>
  <c r="AN46" i="634"/>
  <c r="AM46" i="634"/>
  <c r="AL46" i="634"/>
  <c r="AK46" i="634"/>
  <c r="AJ46" i="634"/>
  <c r="AI46" i="634"/>
  <c r="AH46" i="634"/>
  <c r="AG46" i="634"/>
  <c r="AF46" i="634"/>
  <c r="AE46" i="634"/>
  <c r="AD46" i="634"/>
  <c r="AC46" i="634"/>
  <c r="AB46" i="634"/>
  <c r="AA46" i="634"/>
  <c r="Z46" i="634"/>
  <c r="Y46" i="634"/>
  <c r="X46" i="634"/>
  <c r="W46" i="634"/>
  <c r="V46" i="634"/>
  <c r="U46" i="634"/>
  <c r="T46" i="634"/>
  <c r="S46" i="634"/>
  <c r="Q46" i="634"/>
  <c r="P46" i="634"/>
  <c r="O46" i="634"/>
  <c r="N46" i="634" s="1"/>
  <c r="M46" i="634"/>
  <c r="L46" i="634"/>
  <c r="K46" i="634"/>
  <c r="J46" i="634"/>
  <c r="BG39" i="634"/>
  <c r="BF39" i="634"/>
  <c r="BF60" i="634" s="1"/>
  <c r="BE39" i="634"/>
  <c r="BE60" i="634" s="1"/>
  <c r="BD39" i="634"/>
  <c r="BD60" i="634" s="1"/>
  <c r="BC39" i="634"/>
  <c r="BB39" i="634"/>
  <c r="BB60" i="634" s="1"/>
  <c r="BA39" i="634"/>
  <c r="AZ39" i="634"/>
  <c r="AZ60" i="634" s="1"/>
  <c r="AY39" i="634"/>
  <c r="AX39" i="634"/>
  <c r="AX60" i="634" s="1"/>
  <c r="AW39" i="634"/>
  <c r="AW60" i="634" s="1"/>
  <c r="AV39" i="634"/>
  <c r="AV60" i="634" s="1"/>
  <c r="AU39" i="634"/>
  <c r="AU60" i="634" s="1"/>
  <c r="AT39" i="634"/>
  <c r="AT60" i="634" s="1"/>
  <c r="AS39" i="634"/>
  <c r="AR39" i="634"/>
  <c r="AR60" i="634" s="1"/>
  <c r="AQ39" i="634"/>
  <c r="AP39" i="634"/>
  <c r="AP60" i="634" s="1"/>
  <c r="AO39" i="634"/>
  <c r="AO60" i="634" s="1"/>
  <c r="AN39" i="634"/>
  <c r="AN60" i="634" s="1"/>
  <c r="AM39" i="634"/>
  <c r="AM60" i="634" s="1"/>
  <c r="AL39" i="634"/>
  <c r="AL60" i="634" s="1"/>
  <c r="AK39" i="634"/>
  <c r="AJ39" i="634"/>
  <c r="AJ60" i="634" s="1"/>
  <c r="AI39" i="634"/>
  <c r="AG39" i="634"/>
  <c r="AF39" i="634"/>
  <c r="AE39" i="634"/>
  <c r="AE60" i="634" s="1"/>
  <c r="AD39" i="634"/>
  <c r="AC39" i="634"/>
  <c r="AB39" i="634"/>
  <c r="AB60" i="634" s="1"/>
  <c r="AA39" i="634"/>
  <c r="Z39" i="634"/>
  <c r="Y39" i="634"/>
  <c r="X39" i="634"/>
  <c r="W39" i="634"/>
  <c r="W60" i="634" s="1"/>
  <c r="V39" i="634"/>
  <c r="U39" i="634"/>
  <c r="T39" i="634"/>
  <c r="T60" i="634" s="1"/>
  <c r="S39" i="634"/>
  <c r="J39" i="634"/>
  <c r="L38" i="634"/>
  <c r="O38" i="634" s="1"/>
  <c r="K38" i="634"/>
  <c r="O37" i="634"/>
  <c r="N37" i="634" s="1"/>
  <c r="P36" i="634"/>
  <c r="M36" i="634"/>
  <c r="L36" i="634"/>
  <c r="O36" i="634" s="1"/>
  <c r="K36" i="634"/>
  <c r="O35" i="634"/>
  <c r="N35" i="634" s="1"/>
  <c r="P34" i="634"/>
  <c r="M34" i="634"/>
  <c r="L34" i="634"/>
  <c r="K34" i="634"/>
  <c r="O33" i="634"/>
  <c r="N33" i="634" s="1"/>
  <c r="P32" i="634"/>
  <c r="M32" i="634"/>
  <c r="L32" i="634"/>
  <c r="Q31" i="634" s="1"/>
  <c r="K32" i="634"/>
  <c r="O31" i="634"/>
  <c r="N31" i="634" s="1"/>
  <c r="P30" i="634"/>
  <c r="M30" i="634"/>
  <c r="L30" i="634"/>
  <c r="Q29" i="634" s="1"/>
  <c r="K30" i="634"/>
  <c r="O29" i="634"/>
  <c r="N29" i="634" s="1"/>
  <c r="P28" i="634"/>
  <c r="M28" i="634"/>
  <c r="L28" i="634"/>
  <c r="O28" i="634" s="1"/>
  <c r="K28" i="634"/>
  <c r="O27" i="634"/>
  <c r="N27" i="634" s="1"/>
  <c r="P26" i="634"/>
  <c r="M26" i="634"/>
  <c r="L26" i="634"/>
  <c r="K26" i="634"/>
  <c r="O25" i="634"/>
  <c r="N25" i="634" s="1"/>
  <c r="P24" i="634"/>
  <c r="M24" i="634"/>
  <c r="L24" i="634"/>
  <c r="Q23" i="634" s="1"/>
  <c r="K24" i="634"/>
  <c r="O23" i="634"/>
  <c r="N23" i="634" s="1"/>
  <c r="P22" i="634"/>
  <c r="M22" i="634"/>
  <c r="L22" i="634"/>
  <c r="Q21" i="634" s="1"/>
  <c r="K22" i="634"/>
  <c r="O21" i="634"/>
  <c r="N21" i="634" s="1"/>
  <c r="P20" i="634"/>
  <c r="M20" i="634"/>
  <c r="L20" i="634"/>
  <c r="O20" i="634" s="1"/>
  <c r="K20" i="634"/>
  <c r="O19" i="634"/>
  <c r="N19" i="634" s="1"/>
  <c r="P18" i="634"/>
  <c r="M18" i="634"/>
  <c r="L18" i="634"/>
  <c r="K18" i="634"/>
  <c r="O17" i="634"/>
  <c r="N17" i="634" s="1"/>
  <c r="P16" i="634"/>
  <c r="M16" i="634"/>
  <c r="L16" i="634"/>
  <c r="Q15" i="634" s="1"/>
  <c r="K16" i="634"/>
  <c r="O15" i="634"/>
  <c r="N15" i="634" s="1"/>
  <c r="P14" i="634"/>
  <c r="M14" i="634"/>
  <c r="L14" i="634"/>
  <c r="Q13" i="634" s="1"/>
  <c r="K14" i="634"/>
  <c r="O13" i="634"/>
  <c r="N13" i="634" s="1"/>
  <c r="P12" i="634"/>
  <c r="M12" i="634"/>
  <c r="L12" i="634"/>
  <c r="O12" i="634" s="1"/>
  <c r="K12" i="634"/>
  <c r="O11" i="634"/>
  <c r="N11" i="634" s="1"/>
  <c r="P10" i="634"/>
  <c r="M10" i="634"/>
  <c r="L10" i="634"/>
  <c r="K10" i="634"/>
  <c r="AH9" i="634"/>
  <c r="AH39" i="634" s="1"/>
  <c r="P9" i="634"/>
  <c r="M9" i="634"/>
  <c r="L9" i="634"/>
  <c r="O9" i="634" s="1"/>
  <c r="N9" i="634" s="1"/>
  <c r="K9" i="634"/>
  <c r="P8" i="634"/>
  <c r="M8" i="634"/>
  <c r="L8" i="634"/>
  <c r="Q7" i="634" s="1"/>
  <c r="K8" i="634"/>
  <c r="O7" i="634"/>
  <c r="N7" i="634" s="1"/>
  <c r="P6" i="634"/>
  <c r="M6" i="634"/>
  <c r="L6" i="634"/>
  <c r="O6" i="634" s="1"/>
  <c r="K6" i="634"/>
  <c r="O5" i="634"/>
  <c r="N5" i="634" s="1"/>
  <c r="K39" i="634" l="1"/>
  <c r="K60" i="634" s="1"/>
  <c r="O16" i="634"/>
  <c r="AC101" i="634"/>
  <c r="AJ101" i="634"/>
  <c r="AR101" i="634"/>
  <c r="AZ101" i="634"/>
  <c r="O32" i="634"/>
  <c r="Z60" i="634"/>
  <c r="AI60" i="634"/>
  <c r="AQ60" i="634"/>
  <c r="AY60" i="634"/>
  <c r="BG60" i="634"/>
  <c r="U101" i="634"/>
  <c r="AD101" i="634"/>
  <c r="AL101" i="634"/>
  <c r="AT101" i="634"/>
  <c r="BB101" i="634"/>
  <c r="O59" i="634"/>
  <c r="N59" i="634" s="1"/>
  <c r="V101" i="634"/>
  <c r="Q59" i="634"/>
  <c r="P39" i="634"/>
  <c r="P60" i="634" s="1"/>
  <c r="AK60" i="634"/>
  <c r="BA60" i="634"/>
  <c r="AH60" i="634"/>
  <c r="O24" i="634"/>
  <c r="Q67" i="634"/>
  <c r="AS60" i="634"/>
  <c r="O67" i="634"/>
  <c r="N67" i="634" s="1"/>
  <c r="Y101" i="634"/>
  <c r="N82" i="634"/>
  <c r="M39" i="634"/>
  <c r="M60" i="634" s="1"/>
  <c r="X60" i="634"/>
  <c r="AF60" i="634"/>
  <c r="M71" i="634"/>
  <c r="M101" i="634" s="1"/>
  <c r="AH101" i="634"/>
  <c r="AP101" i="634"/>
  <c r="AX101" i="634"/>
  <c r="BF101" i="634"/>
  <c r="J60" i="634"/>
  <c r="Y60" i="634"/>
  <c r="AG60" i="634"/>
  <c r="Q71" i="634"/>
  <c r="K101" i="634"/>
  <c r="Z101" i="634"/>
  <c r="AI101" i="634"/>
  <c r="AQ101" i="634"/>
  <c r="AY101" i="634"/>
  <c r="BG101" i="634"/>
  <c r="S101" i="634"/>
  <c r="AA101" i="634"/>
  <c r="O100" i="634"/>
  <c r="N100" i="634" s="1"/>
  <c r="Q11" i="634"/>
  <c r="O14" i="634"/>
  <c r="Q19" i="634"/>
  <c r="O22" i="634"/>
  <c r="Q27" i="634"/>
  <c r="O30" i="634"/>
  <c r="Q35" i="634"/>
  <c r="Q5" i="634"/>
  <c r="O8" i="634"/>
  <c r="S60" i="634"/>
  <c r="AA60" i="634"/>
  <c r="AK101" i="634"/>
  <c r="AS101" i="634"/>
  <c r="BA101" i="634"/>
  <c r="Q100" i="634"/>
  <c r="Q25" i="634"/>
  <c r="Q33" i="634"/>
  <c r="O91" i="634"/>
  <c r="N91" i="634" s="1"/>
  <c r="Q9" i="634"/>
  <c r="Q17" i="634"/>
  <c r="U60" i="634"/>
  <c r="AC60" i="634"/>
  <c r="AE101" i="634"/>
  <c r="AM101" i="634"/>
  <c r="AU101" i="634"/>
  <c r="BC101" i="634"/>
  <c r="O10" i="634"/>
  <c r="O18" i="634"/>
  <c r="O26" i="634"/>
  <c r="O34" i="634"/>
  <c r="V60" i="634"/>
  <c r="AD60" i="634"/>
  <c r="J101" i="634"/>
  <c r="W101" i="634"/>
  <c r="AF101" i="634"/>
  <c r="AN101" i="634"/>
  <c r="AV101" i="634"/>
  <c r="BD101" i="634"/>
  <c r="L39" i="634"/>
  <c r="L60" i="634" s="1"/>
  <c r="Q37" i="634"/>
  <c r="Q37" i="633"/>
  <c r="Q39" i="634" l="1"/>
  <c r="Q60" i="634" s="1"/>
  <c r="Q101" i="634"/>
  <c r="O71" i="634"/>
  <c r="N71" i="634" s="1"/>
  <c r="O39" i="634"/>
  <c r="O5" i="633"/>
  <c r="K6" i="633"/>
  <c r="L6" i="633"/>
  <c r="M6" i="633"/>
  <c r="O6" i="633"/>
  <c r="N5" i="633" s="1"/>
  <c r="P6" i="633"/>
  <c r="O7" i="633"/>
  <c r="K8" i="633"/>
  <c r="L8" i="633"/>
  <c r="M8" i="633"/>
  <c r="O8" i="633" s="1"/>
  <c r="N7" i="633" s="1"/>
  <c r="P8" i="633"/>
  <c r="K9" i="633"/>
  <c r="L9" i="633"/>
  <c r="O9" i="633" s="1"/>
  <c r="M9" i="633"/>
  <c r="P9" i="633"/>
  <c r="AC9" i="633"/>
  <c r="AC39" i="633" s="1"/>
  <c r="AF9" i="633"/>
  <c r="K10" i="633"/>
  <c r="L10" i="633"/>
  <c r="Q9" i="633" s="1"/>
  <c r="M10" i="633"/>
  <c r="O10" i="633" s="1"/>
  <c r="N9" i="633" s="1"/>
  <c r="P10" i="633"/>
  <c r="O11" i="633"/>
  <c r="K12" i="633"/>
  <c r="L12" i="633"/>
  <c r="M12" i="633"/>
  <c r="O12" i="633"/>
  <c r="N11" i="633" s="1"/>
  <c r="P12" i="633"/>
  <c r="O13" i="633"/>
  <c r="K14" i="633"/>
  <c r="L14" i="633"/>
  <c r="O14" i="633" s="1"/>
  <c r="N13" i="633" s="1"/>
  <c r="M14" i="633"/>
  <c r="P14" i="633"/>
  <c r="O15" i="633"/>
  <c r="K16" i="633"/>
  <c r="L16" i="633"/>
  <c r="M16" i="633"/>
  <c r="O16" i="633" s="1"/>
  <c r="N15" i="633" s="1"/>
  <c r="P16" i="633"/>
  <c r="N17" i="633"/>
  <c r="O17" i="633"/>
  <c r="K18" i="633"/>
  <c r="L18" i="633"/>
  <c r="Q17" i="633" s="1"/>
  <c r="M18" i="633"/>
  <c r="O18" i="633"/>
  <c r="P18" i="633"/>
  <c r="O19" i="633"/>
  <c r="K20" i="633"/>
  <c r="L20" i="633"/>
  <c r="M20" i="633"/>
  <c r="O20" i="633" s="1"/>
  <c r="N19" i="633" s="1"/>
  <c r="P20" i="633"/>
  <c r="O21" i="633"/>
  <c r="K22" i="633"/>
  <c r="L22" i="633"/>
  <c r="Q21" i="633" s="1"/>
  <c r="M22" i="633"/>
  <c r="P22" i="633"/>
  <c r="O23" i="633"/>
  <c r="K24" i="633"/>
  <c r="L24" i="633"/>
  <c r="Q23" i="633" s="1"/>
  <c r="M24" i="633"/>
  <c r="P24" i="633"/>
  <c r="O25" i="633"/>
  <c r="K26" i="633"/>
  <c r="L26" i="633"/>
  <c r="Q25" i="633" s="1"/>
  <c r="M26" i="633"/>
  <c r="O26" i="633"/>
  <c r="N25" i="633" s="1"/>
  <c r="P26" i="633"/>
  <c r="O27" i="633"/>
  <c r="K28" i="633"/>
  <c r="L28" i="633"/>
  <c r="M28" i="633"/>
  <c r="O28" i="633"/>
  <c r="N27" i="633" s="1"/>
  <c r="P28" i="633"/>
  <c r="O29" i="633"/>
  <c r="K30" i="633"/>
  <c r="L30" i="633"/>
  <c r="O30" i="633" s="1"/>
  <c r="N29" i="633" s="1"/>
  <c r="M30" i="633"/>
  <c r="P30" i="633"/>
  <c r="O31" i="633"/>
  <c r="K32" i="633"/>
  <c r="L32" i="633"/>
  <c r="M32" i="633"/>
  <c r="O32" i="633" s="1"/>
  <c r="N31" i="633" s="1"/>
  <c r="P32" i="633"/>
  <c r="N33" i="633"/>
  <c r="O33" i="633"/>
  <c r="K34" i="633"/>
  <c r="L34" i="633"/>
  <c r="Q33" i="633" s="1"/>
  <c r="M34" i="633"/>
  <c r="O34" i="633"/>
  <c r="P34" i="633"/>
  <c r="O35" i="633"/>
  <c r="K36" i="633"/>
  <c r="L36" i="633"/>
  <c r="M36" i="633"/>
  <c r="O36" i="633" s="1"/>
  <c r="N35" i="633" s="1"/>
  <c r="P36" i="633"/>
  <c r="O37" i="633"/>
  <c r="K38" i="633"/>
  <c r="O38" i="633"/>
  <c r="N37" i="633" s="1"/>
  <c r="J39" i="633"/>
  <c r="S39" i="633"/>
  <c r="T39" i="633"/>
  <c r="U39" i="633"/>
  <c r="V39" i="633"/>
  <c r="W39" i="633"/>
  <c r="W60" i="633" s="1"/>
  <c r="X39" i="633"/>
  <c r="Y39" i="633"/>
  <c r="Z39" i="633"/>
  <c r="AA39" i="633"/>
  <c r="AB39" i="633"/>
  <c r="AD39" i="633"/>
  <c r="AE39" i="633"/>
  <c r="AF39" i="633"/>
  <c r="AG39" i="633"/>
  <c r="AH39" i="633"/>
  <c r="AI39" i="633"/>
  <c r="AJ39" i="633"/>
  <c r="AK39" i="633"/>
  <c r="AL39" i="633"/>
  <c r="AM39" i="633"/>
  <c r="AN39" i="633"/>
  <c r="AO39" i="633"/>
  <c r="AP39" i="633"/>
  <c r="AQ39" i="633"/>
  <c r="AQ60" i="633" s="1"/>
  <c r="AR39" i="633"/>
  <c r="AS39" i="633"/>
  <c r="AT39" i="633"/>
  <c r="AU39" i="633"/>
  <c r="AV39" i="633"/>
  <c r="AW39" i="633"/>
  <c r="AW60" i="633" s="1"/>
  <c r="AX39" i="633"/>
  <c r="AY39" i="633"/>
  <c r="AZ39" i="633"/>
  <c r="BA39" i="633"/>
  <c r="BB39" i="633"/>
  <c r="BC39" i="633"/>
  <c r="BD39" i="633"/>
  <c r="BE39" i="633"/>
  <c r="BE60" i="633" s="1"/>
  <c r="BF39" i="633"/>
  <c r="BG39" i="633"/>
  <c r="J46" i="633"/>
  <c r="K46" i="633"/>
  <c r="L46" i="633"/>
  <c r="M46" i="633"/>
  <c r="O46" i="633"/>
  <c r="N46" i="633" s="1"/>
  <c r="P46" i="633"/>
  <c r="Q46" i="633"/>
  <c r="S46" i="633"/>
  <c r="S60" i="633" s="1"/>
  <c r="T46" i="633"/>
  <c r="U46" i="633"/>
  <c r="U60" i="633" s="1"/>
  <c r="V46" i="633"/>
  <c r="W46" i="633"/>
  <c r="X46" i="633"/>
  <c r="Y46" i="633"/>
  <c r="Z46" i="633"/>
  <c r="AA46" i="633"/>
  <c r="AB46" i="633"/>
  <c r="AC46" i="633"/>
  <c r="AD46" i="633"/>
  <c r="AE46" i="633"/>
  <c r="AF46" i="633"/>
  <c r="AF60" i="633" s="1"/>
  <c r="AG46" i="633"/>
  <c r="AH46" i="633"/>
  <c r="AI46" i="633"/>
  <c r="AJ46" i="633"/>
  <c r="AK46" i="633"/>
  <c r="AK60" i="633" s="1"/>
  <c r="AL46" i="633"/>
  <c r="AM46" i="633"/>
  <c r="AN46" i="633"/>
  <c r="AN60" i="633" s="1"/>
  <c r="AO46" i="633"/>
  <c r="AP46" i="633"/>
  <c r="AQ46" i="633"/>
  <c r="AR46" i="633"/>
  <c r="AS46" i="633"/>
  <c r="AT46" i="633"/>
  <c r="AU46" i="633"/>
  <c r="AV46" i="633"/>
  <c r="AV60" i="633" s="1"/>
  <c r="AW46" i="633"/>
  <c r="AX46" i="633"/>
  <c r="AY46" i="633"/>
  <c r="AZ46" i="633"/>
  <c r="BA46" i="633"/>
  <c r="BA60" i="633" s="1"/>
  <c r="BB46" i="633"/>
  <c r="BC46" i="633"/>
  <c r="BD46" i="633"/>
  <c r="BD60" i="633" s="1"/>
  <c r="BE46" i="633"/>
  <c r="BF46" i="633"/>
  <c r="BG46" i="633"/>
  <c r="O49" i="633"/>
  <c r="Q49" i="633"/>
  <c r="O50" i="633"/>
  <c r="N49" i="633" s="1"/>
  <c r="N51" i="633"/>
  <c r="O51" i="633"/>
  <c r="Q51" i="633"/>
  <c r="O52" i="633"/>
  <c r="O53" i="633"/>
  <c r="Q53" i="633"/>
  <c r="O54" i="633"/>
  <c r="N53" i="633" s="1"/>
  <c r="N55" i="633"/>
  <c r="O55" i="633"/>
  <c r="Q55" i="633"/>
  <c r="O56" i="633"/>
  <c r="N57" i="633"/>
  <c r="J59" i="633"/>
  <c r="J60" i="633" s="1"/>
  <c r="K59" i="633"/>
  <c r="L59" i="633"/>
  <c r="M59" i="633"/>
  <c r="P59" i="633"/>
  <c r="S59" i="633"/>
  <c r="T59" i="633"/>
  <c r="T60" i="633" s="1"/>
  <c r="U59" i="633"/>
  <c r="V59" i="633"/>
  <c r="W59" i="633"/>
  <c r="X59" i="633"/>
  <c r="Y59" i="633"/>
  <c r="Z59" i="633"/>
  <c r="Z60" i="633" s="1"/>
  <c r="AA59" i="633"/>
  <c r="AB59" i="633"/>
  <c r="AB60" i="633" s="1"/>
  <c r="AC59" i="633"/>
  <c r="AD59" i="633"/>
  <c r="AE59" i="633"/>
  <c r="AF59" i="633"/>
  <c r="AG59" i="633"/>
  <c r="AH59" i="633"/>
  <c r="AH60" i="633" s="1"/>
  <c r="AI59" i="633"/>
  <c r="AJ59" i="633"/>
  <c r="AJ60" i="633" s="1"/>
  <c r="AK59" i="633"/>
  <c r="AL59" i="633"/>
  <c r="AM59" i="633"/>
  <c r="AN59" i="633"/>
  <c r="AO59" i="633"/>
  <c r="AP59" i="633"/>
  <c r="AP60" i="633" s="1"/>
  <c r="AQ59" i="633"/>
  <c r="AR59" i="633"/>
  <c r="AR60" i="633" s="1"/>
  <c r="AS59" i="633"/>
  <c r="AT59" i="633"/>
  <c r="AU59" i="633"/>
  <c r="AV59" i="633"/>
  <c r="AW59" i="633"/>
  <c r="AX59" i="633"/>
  <c r="AX60" i="633" s="1"/>
  <c r="AY59" i="633"/>
  <c r="AZ59" i="633"/>
  <c r="AZ60" i="633" s="1"/>
  <c r="BA59" i="633"/>
  <c r="BB59" i="633"/>
  <c r="BC59" i="633"/>
  <c r="BD59" i="633"/>
  <c r="BE59" i="633"/>
  <c r="BF59" i="633"/>
  <c r="BF60" i="633" s="1"/>
  <c r="BG59" i="633"/>
  <c r="AA60" i="633"/>
  <c r="AI60" i="633"/>
  <c r="AS60" i="633"/>
  <c r="AY60" i="633"/>
  <c r="BG60" i="633"/>
  <c r="N65" i="633"/>
  <c r="O65" i="633"/>
  <c r="Q65" i="633"/>
  <c r="O66" i="633"/>
  <c r="O67" i="633"/>
  <c r="P67" i="633"/>
  <c r="P71" i="633" s="1"/>
  <c r="K68" i="633"/>
  <c r="K71" i="633" s="1"/>
  <c r="K101" i="633" s="1"/>
  <c r="L68" i="633"/>
  <c r="M68" i="633"/>
  <c r="M71" i="633" s="1"/>
  <c r="P68" i="633"/>
  <c r="J71" i="633"/>
  <c r="S71" i="633"/>
  <c r="S101" i="633" s="1"/>
  <c r="T71" i="633"/>
  <c r="U71" i="633"/>
  <c r="U101" i="633" s="1"/>
  <c r="V71" i="633"/>
  <c r="W71" i="633"/>
  <c r="X71" i="633"/>
  <c r="Y71" i="633"/>
  <c r="Z71" i="633"/>
  <c r="AA71" i="633"/>
  <c r="AB71" i="633"/>
  <c r="AC71" i="633"/>
  <c r="AC101" i="633" s="1"/>
  <c r="AD71" i="633"/>
  <c r="AE71" i="633"/>
  <c r="AF71" i="633"/>
  <c r="AG71" i="633"/>
  <c r="AH71" i="633"/>
  <c r="AI71" i="633"/>
  <c r="AJ71" i="633"/>
  <c r="AK71" i="633"/>
  <c r="AK101" i="633" s="1"/>
  <c r="AL71" i="633"/>
  <c r="AM71" i="633"/>
  <c r="AN71" i="633"/>
  <c r="AO71" i="633"/>
  <c r="AP71" i="633"/>
  <c r="AQ71" i="633"/>
  <c r="AR71" i="633"/>
  <c r="AS71" i="633"/>
  <c r="AS101" i="633" s="1"/>
  <c r="AT71" i="633"/>
  <c r="AU71" i="633"/>
  <c r="AV71" i="633"/>
  <c r="AW71" i="633"/>
  <c r="AX71" i="633"/>
  <c r="AY71" i="633"/>
  <c r="AZ71" i="633"/>
  <c r="BA71" i="633"/>
  <c r="BA101" i="633" s="1"/>
  <c r="BB71" i="633"/>
  <c r="BC71" i="633"/>
  <c r="BD71" i="633"/>
  <c r="BE71" i="633"/>
  <c r="BF71" i="633"/>
  <c r="BG71" i="633"/>
  <c r="N80" i="633"/>
  <c r="Q80" i="633"/>
  <c r="J82" i="633"/>
  <c r="K82" i="633"/>
  <c r="L82" i="633"/>
  <c r="M82" i="633"/>
  <c r="O82" i="633"/>
  <c r="N82" i="633" s="1"/>
  <c r="P82" i="633"/>
  <c r="Q82" i="633"/>
  <c r="S82" i="633"/>
  <c r="T82" i="633"/>
  <c r="U82" i="633"/>
  <c r="V82" i="633"/>
  <c r="W82" i="633"/>
  <c r="X82" i="633"/>
  <c r="Y82" i="633"/>
  <c r="Z82" i="633"/>
  <c r="AA82" i="633"/>
  <c r="AB82" i="633"/>
  <c r="AC82" i="633"/>
  <c r="AD82" i="633"/>
  <c r="AE82" i="633"/>
  <c r="AF82" i="633"/>
  <c r="AG82" i="633"/>
  <c r="AH82" i="633"/>
  <c r="AI82" i="633"/>
  <c r="AJ82" i="633"/>
  <c r="AK82" i="633"/>
  <c r="AL82" i="633"/>
  <c r="AM82" i="633"/>
  <c r="AN82" i="633"/>
  <c r="AO82" i="633"/>
  <c r="AP82" i="633"/>
  <c r="AQ82" i="633"/>
  <c r="AR82" i="633"/>
  <c r="AS82" i="633"/>
  <c r="AT82" i="633"/>
  <c r="AU82" i="633"/>
  <c r="AV82" i="633"/>
  <c r="AW82" i="633"/>
  <c r="AX82" i="633"/>
  <c r="AY82" i="633"/>
  <c r="AZ82" i="633"/>
  <c r="BA82" i="633"/>
  <c r="BB82" i="633"/>
  <c r="BC82" i="633"/>
  <c r="BD82" i="633"/>
  <c r="BE82" i="633"/>
  <c r="BF82" i="633"/>
  <c r="BG82" i="633"/>
  <c r="O87" i="633"/>
  <c r="Q87" i="633"/>
  <c r="O88" i="633"/>
  <c r="N87" i="633" s="1"/>
  <c r="O89" i="633"/>
  <c r="Q89" i="633"/>
  <c r="Q91" i="633" s="1"/>
  <c r="O90" i="633"/>
  <c r="N89" i="633" s="1"/>
  <c r="J91" i="633"/>
  <c r="K91" i="633"/>
  <c r="L91" i="633"/>
  <c r="M91" i="633"/>
  <c r="P91" i="633"/>
  <c r="S91" i="633"/>
  <c r="T91" i="633"/>
  <c r="U91" i="633"/>
  <c r="V91" i="633"/>
  <c r="W91" i="633"/>
  <c r="X91" i="633"/>
  <c r="Y91" i="633"/>
  <c r="Z91" i="633"/>
  <c r="AA91" i="633"/>
  <c r="AA101" i="633" s="1"/>
  <c r="AB91" i="633"/>
  <c r="AC91" i="633"/>
  <c r="AD91" i="633"/>
  <c r="AE91" i="633"/>
  <c r="AF91" i="633"/>
  <c r="AG91" i="633"/>
  <c r="AH91" i="633"/>
  <c r="AI91" i="633"/>
  <c r="AI101" i="633" s="1"/>
  <c r="AJ91" i="633"/>
  <c r="AK91" i="633"/>
  <c r="AL91" i="633"/>
  <c r="AM91" i="633"/>
  <c r="AN91" i="633"/>
  <c r="AO91" i="633"/>
  <c r="AP91" i="633"/>
  <c r="AQ91" i="633"/>
  <c r="AQ101" i="633" s="1"/>
  <c r="AR91" i="633"/>
  <c r="AS91" i="633"/>
  <c r="AT91" i="633"/>
  <c r="AU91" i="633"/>
  <c r="AV91" i="633"/>
  <c r="AW91" i="633"/>
  <c r="AX91" i="633"/>
  <c r="AY91" i="633"/>
  <c r="AZ91" i="633"/>
  <c r="BA91" i="633"/>
  <c r="BB91" i="633"/>
  <c r="BC91" i="633"/>
  <c r="BD91" i="633"/>
  <c r="BE91" i="633"/>
  <c r="BF91" i="633"/>
  <c r="BG91" i="633"/>
  <c r="N94" i="633"/>
  <c r="O94" i="633"/>
  <c r="Q94" i="633"/>
  <c r="O95" i="633"/>
  <c r="O96" i="633"/>
  <c r="Q96" i="633"/>
  <c r="O97" i="633"/>
  <c r="N96" i="633" s="1"/>
  <c r="N98" i="633"/>
  <c r="O98" i="633"/>
  <c r="Q98" i="633"/>
  <c r="O99" i="633"/>
  <c r="J100" i="633"/>
  <c r="J101" i="633" s="1"/>
  <c r="K100" i="633"/>
  <c r="L100" i="633"/>
  <c r="M100" i="633"/>
  <c r="P100" i="633"/>
  <c r="S100" i="633"/>
  <c r="T100" i="633"/>
  <c r="U100" i="633"/>
  <c r="V100" i="633"/>
  <c r="V101" i="633" s="1"/>
  <c r="W100" i="633"/>
  <c r="X100" i="633"/>
  <c r="Y100" i="633"/>
  <c r="Z100" i="633"/>
  <c r="AA100" i="633"/>
  <c r="AB100" i="633"/>
  <c r="AC100" i="633"/>
  <c r="AD100" i="633"/>
  <c r="AD101" i="633" s="1"/>
  <c r="AE100" i="633"/>
  <c r="AF100" i="633"/>
  <c r="AG100" i="633"/>
  <c r="AH100" i="633"/>
  <c r="AI100" i="633"/>
  <c r="AJ100" i="633"/>
  <c r="AK100" i="633"/>
  <c r="AL100" i="633"/>
  <c r="AL101" i="633" s="1"/>
  <c r="AM100" i="633"/>
  <c r="AN100" i="633"/>
  <c r="AO100" i="633"/>
  <c r="AP100" i="633"/>
  <c r="AQ100" i="633"/>
  <c r="AR100" i="633"/>
  <c r="AS100" i="633"/>
  <c r="AT100" i="633"/>
  <c r="AT101" i="633" s="1"/>
  <c r="AU100" i="633"/>
  <c r="AV100" i="633"/>
  <c r="AW100" i="633"/>
  <c r="AX100" i="633"/>
  <c r="AY100" i="633"/>
  <c r="AZ100" i="633"/>
  <c r="BA100" i="633"/>
  <c r="BB100" i="633"/>
  <c r="BB101" i="633" s="1"/>
  <c r="BC100" i="633"/>
  <c r="BD100" i="633"/>
  <c r="BE100" i="633"/>
  <c r="BF100" i="633"/>
  <c r="BG100" i="633"/>
  <c r="AY101" i="633"/>
  <c r="BG101" i="633"/>
  <c r="O101" i="634" l="1"/>
  <c r="N101" i="634" s="1"/>
  <c r="O60" i="634"/>
  <c r="N60" i="634" s="1"/>
  <c r="N39" i="634"/>
  <c r="AG101" i="633"/>
  <c r="T101" i="633"/>
  <c r="BC60" i="633"/>
  <c r="AU60" i="633"/>
  <c r="AM60" i="633"/>
  <c r="AE60" i="633"/>
  <c r="V60" i="633"/>
  <c r="AP101" i="633"/>
  <c r="AO101" i="633"/>
  <c r="O68" i="633"/>
  <c r="N67" i="633" s="1"/>
  <c r="O91" i="633"/>
  <c r="N91" i="633" s="1"/>
  <c r="Q67" i="633"/>
  <c r="Q71" i="633" s="1"/>
  <c r="Q59" i="633"/>
  <c r="BB60" i="633"/>
  <c r="AT60" i="633"/>
  <c r="AL60" i="633"/>
  <c r="AD60" i="633"/>
  <c r="Q27" i="633"/>
  <c r="Q11" i="633"/>
  <c r="Q5" i="633"/>
  <c r="AH101" i="633"/>
  <c r="BD101" i="633"/>
  <c r="AF101" i="633"/>
  <c r="O59" i="633"/>
  <c r="N59" i="633" s="1"/>
  <c r="Q29" i="633"/>
  <c r="Q13" i="633"/>
  <c r="K39" i="633"/>
  <c r="K60" i="633" s="1"/>
  <c r="AX101" i="633"/>
  <c r="AO60" i="633"/>
  <c r="AZ101" i="633"/>
  <c r="AJ101" i="633"/>
  <c r="X60" i="633"/>
  <c r="O100" i="633"/>
  <c r="N100" i="633" s="1"/>
  <c r="AV101" i="633"/>
  <c r="AN101" i="633"/>
  <c r="X101" i="633"/>
  <c r="P101" i="633"/>
  <c r="Q31" i="633"/>
  <c r="Q15" i="633"/>
  <c r="Q39" i="633" s="1"/>
  <c r="Q60" i="633" s="1"/>
  <c r="AC60" i="633"/>
  <c r="Q7" i="633"/>
  <c r="Z101" i="633"/>
  <c r="AW101" i="633"/>
  <c r="AR101" i="633"/>
  <c r="BC101" i="633"/>
  <c r="W101" i="633"/>
  <c r="O22" i="633"/>
  <c r="N21" i="633" s="1"/>
  <c r="O71" i="633"/>
  <c r="N71" i="633" s="1"/>
  <c r="M101" i="633"/>
  <c r="BE101" i="633"/>
  <c r="Y101" i="633"/>
  <c r="AB101" i="633"/>
  <c r="L71" i="633"/>
  <c r="L101" i="633" s="1"/>
  <c r="Q100" i="633"/>
  <c r="AU101" i="633"/>
  <c r="AM101" i="633"/>
  <c r="AE101" i="633"/>
  <c r="M39" i="633"/>
  <c r="M60" i="633" s="1"/>
  <c r="Y60" i="633"/>
  <c r="Q35" i="633"/>
  <c r="O24" i="633"/>
  <c r="N23" i="633" s="1"/>
  <c r="Q19" i="633"/>
  <c r="BF101" i="633"/>
  <c r="AG60" i="633"/>
  <c r="P39" i="633"/>
  <c r="P60" i="633" s="1"/>
  <c r="O101" i="633"/>
  <c r="N101" i="633" s="1"/>
  <c r="Q101" i="633"/>
  <c r="L39" i="633"/>
  <c r="L60" i="633" s="1"/>
  <c r="O5" i="632"/>
  <c r="K6" i="632"/>
  <c r="L6" i="632"/>
  <c r="Q5" i="632" s="1"/>
  <c r="M6" i="632"/>
  <c r="P6" i="632"/>
  <c r="O7" i="632"/>
  <c r="K8" i="632"/>
  <c r="L8" i="632"/>
  <c r="M8" i="632"/>
  <c r="P8" i="632"/>
  <c r="P39" i="632" s="1"/>
  <c r="O9" i="632"/>
  <c r="K10" i="632"/>
  <c r="L10" i="632"/>
  <c r="M10" i="632"/>
  <c r="P10" i="632"/>
  <c r="K11" i="632"/>
  <c r="L11" i="632"/>
  <c r="M11" i="632"/>
  <c r="M39" i="632" s="1"/>
  <c r="P11" i="632"/>
  <c r="K12" i="632"/>
  <c r="L12" i="632"/>
  <c r="O12" i="632" s="1"/>
  <c r="N11" i="632" s="1"/>
  <c r="M12" i="632"/>
  <c r="P12" i="632"/>
  <c r="O13" i="632"/>
  <c r="K14" i="632"/>
  <c r="L14" i="632"/>
  <c r="O14" i="632" s="1"/>
  <c r="N13" i="632" s="1"/>
  <c r="M14" i="632"/>
  <c r="P14" i="632"/>
  <c r="O15" i="632"/>
  <c r="K16" i="632"/>
  <c r="L16" i="632"/>
  <c r="O16" i="632" s="1"/>
  <c r="N15" i="632" s="1"/>
  <c r="M16" i="632"/>
  <c r="P16" i="632"/>
  <c r="O17" i="632"/>
  <c r="K18" i="632"/>
  <c r="L18" i="632"/>
  <c r="M18" i="632"/>
  <c r="P18" i="632"/>
  <c r="O19" i="632"/>
  <c r="K20" i="632"/>
  <c r="L20" i="632"/>
  <c r="M20" i="632"/>
  <c r="P20" i="632"/>
  <c r="O21" i="632"/>
  <c r="K22" i="632"/>
  <c r="L22" i="632"/>
  <c r="M22" i="632"/>
  <c r="P22" i="632"/>
  <c r="O23" i="632"/>
  <c r="K24" i="632"/>
  <c r="L24" i="632"/>
  <c r="O24" i="632" s="1"/>
  <c r="N23" i="632" s="1"/>
  <c r="M24" i="632"/>
  <c r="P24" i="632"/>
  <c r="O25" i="632"/>
  <c r="K26" i="632"/>
  <c r="L26" i="632"/>
  <c r="O26" i="632" s="1"/>
  <c r="N25" i="632" s="1"/>
  <c r="M26" i="632"/>
  <c r="P26" i="632"/>
  <c r="O27" i="632"/>
  <c r="K28" i="632"/>
  <c r="L28" i="632"/>
  <c r="O28" i="632" s="1"/>
  <c r="N27" i="632" s="1"/>
  <c r="M28" i="632"/>
  <c r="P28" i="632"/>
  <c r="O29" i="632"/>
  <c r="K30" i="632"/>
  <c r="L30" i="632"/>
  <c r="O30" i="632" s="1"/>
  <c r="N29" i="632" s="1"/>
  <c r="M30" i="632"/>
  <c r="P30" i="632"/>
  <c r="O31" i="632"/>
  <c r="K32" i="632"/>
  <c r="L32" i="632"/>
  <c r="O32" i="632" s="1"/>
  <c r="N31" i="632" s="1"/>
  <c r="M32" i="632"/>
  <c r="P32" i="632"/>
  <c r="O33" i="632"/>
  <c r="K34" i="632"/>
  <c r="L34" i="632"/>
  <c r="M34" i="632"/>
  <c r="P34" i="632"/>
  <c r="O35" i="632"/>
  <c r="K36" i="632"/>
  <c r="L36" i="632"/>
  <c r="M36" i="632"/>
  <c r="P36" i="632"/>
  <c r="O37" i="632"/>
  <c r="K38" i="632"/>
  <c r="L38" i="632"/>
  <c r="M38" i="632"/>
  <c r="P38" i="632"/>
  <c r="J39" i="632"/>
  <c r="K39" i="632"/>
  <c r="S39" i="632"/>
  <c r="T39" i="632"/>
  <c r="U39" i="632"/>
  <c r="V39" i="632"/>
  <c r="W39" i="632"/>
  <c r="X39" i="632"/>
  <c r="Y39" i="632"/>
  <c r="Z39" i="632"/>
  <c r="AA39" i="632"/>
  <c r="AB39" i="632"/>
  <c r="AC39" i="632"/>
  <c r="AD39" i="632"/>
  <c r="AE39" i="632"/>
  <c r="AF39" i="632"/>
  <c r="AG39" i="632"/>
  <c r="AH39" i="632"/>
  <c r="AI39" i="632"/>
  <c r="AJ39" i="632"/>
  <c r="AK39" i="632"/>
  <c r="AL39" i="632"/>
  <c r="AM39" i="632"/>
  <c r="AN39" i="632"/>
  <c r="AO39" i="632"/>
  <c r="AP39" i="632"/>
  <c r="AQ39" i="632"/>
  <c r="AR39" i="632"/>
  <c r="AS39" i="632"/>
  <c r="AT39" i="632"/>
  <c r="AU39" i="632"/>
  <c r="AV39" i="632"/>
  <c r="AV60" i="632" s="1"/>
  <c r="AW39" i="632"/>
  <c r="AX39" i="632"/>
  <c r="AY39" i="632"/>
  <c r="AZ39" i="632"/>
  <c r="BA39" i="632"/>
  <c r="BB39" i="632"/>
  <c r="BC39" i="632"/>
  <c r="BD39" i="632"/>
  <c r="BE39" i="632"/>
  <c r="BF39" i="632"/>
  <c r="BG39" i="632"/>
  <c r="J46" i="632"/>
  <c r="K46" i="632"/>
  <c r="L46" i="632"/>
  <c r="M46" i="632"/>
  <c r="O46" i="632"/>
  <c r="P46" i="632"/>
  <c r="Q46" i="632"/>
  <c r="S46" i="632"/>
  <c r="T46" i="632"/>
  <c r="U46" i="632"/>
  <c r="V46" i="632"/>
  <c r="W46" i="632"/>
  <c r="W60" i="632" s="1"/>
  <c r="X46" i="632"/>
  <c r="Y46" i="632"/>
  <c r="Z46" i="632"/>
  <c r="AA46" i="632"/>
  <c r="AB46" i="632"/>
  <c r="AC46" i="632"/>
  <c r="AD46" i="632"/>
  <c r="AE46" i="632"/>
  <c r="AE60" i="632" s="1"/>
  <c r="AF46" i="632"/>
  <c r="AG46" i="632"/>
  <c r="AH46" i="632"/>
  <c r="AI46" i="632"/>
  <c r="AJ46" i="632"/>
  <c r="AK46" i="632"/>
  <c r="AL46" i="632"/>
  <c r="AM46" i="632"/>
  <c r="AM60" i="632" s="1"/>
  <c r="AN46" i="632"/>
  <c r="AO46" i="632"/>
  <c r="AP46" i="632"/>
  <c r="AQ46" i="632"/>
  <c r="AR46" i="632"/>
  <c r="AS46" i="632"/>
  <c r="AT46" i="632"/>
  <c r="AU46" i="632"/>
  <c r="AU60" i="632" s="1"/>
  <c r="AV46" i="632"/>
  <c r="AW46" i="632"/>
  <c r="AX46" i="632"/>
  <c r="AY46" i="632"/>
  <c r="AZ46" i="632"/>
  <c r="BA46" i="632"/>
  <c r="BB46" i="632"/>
  <c r="BC46" i="632"/>
  <c r="BC60" i="632" s="1"/>
  <c r="BD46" i="632"/>
  <c r="BE46" i="632"/>
  <c r="BF46" i="632"/>
  <c r="BG46" i="632"/>
  <c r="O49" i="632"/>
  <c r="Q49" i="632"/>
  <c r="O50" i="632"/>
  <c r="N49" i="632" s="1"/>
  <c r="O51" i="632"/>
  <c r="Q51" i="632"/>
  <c r="O52" i="632"/>
  <c r="N51" i="632" s="1"/>
  <c r="O53" i="632"/>
  <c r="Q53" i="632"/>
  <c r="O54" i="632"/>
  <c r="N53" i="632" s="1"/>
  <c r="O55" i="632"/>
  <c r="Q55" i="632"/>
  <c r="O56" i="632"/>
  <c r="N55" i="632" s="1"/>
  <c r="N57" i="632"/>
  <c r="J59" i="632"/>
  <c r="K59" i="632"/>
  <c r="L59" i="632"/>
  <c r="M59" i="632"/>
  <c r="P59" i="632"/>
  <c r="S59" i="632"/>
  <c r="T59" i="632"/>
  <c r="T60" i="632" s="1"/>
  <c r="U59" i="632"/>
  <c r="U60" i="632" s="1"/>
  <c r="V59" i="632"/>
  <c r="W59" i="632"/>
  <c r="X59" i="632"/>
  <c r="Y59" i="632"/>
  <c r="Y60" i="632" s="1"/>
  <c r="Z59" i="632"/>
  <c r="Z60" i="632" s="1"/>
  <c r="AA59" i="632"/>
  <c r="AA60" i="632" s="1"/>
  <c r="AB59" i="632"/>
  <c r="AB60" i="632" s="1"/>
  <c r="AC59" i="632"/>
  <c r="AC60" i="632" s="1"/>
  <c r="AD59" i="632"/>
  <c r="AE59" i="632"/>
  <c r="AF59" i="632"/>
  <c r="AG59" i="632"/>
  <c r="AG60" i="632" s="1"/>
  <c r="AH59" i="632"/>
  <c r="AI59" i="632"/>
  <c r="AJ59" i="632"/>
  <c r="AJ60" i="632" s="1"/>
  <c r="AK59" i="632"/>
  <c r="AK60" i="632" s="1"/>
  <c r="AL59" i="632"/>
  <c r="AM59" i="632"/>
  <c r="AN59" i="632"/>
  <c r="AO59" i="632"/>
  <c r="AO60" i="632" s="1"/>
  <c r="AP59" i="632"/>
  <c r="AQ59" i="632"/>
  <c r="AR59" i="632"/>
  <c r="AR60" i="632" s="1"/>
  <c r="AS59" i="632"/>
  <c r="AS60" i="632" s="1"/>
  <c r="AT59" i="632"/>
  <c r="AU59" i="632"/>
  <c r="AV59" i="632"/>
  <c r="AW59" i="632"/>
  <c r="AX59" i="632"/>
  <c r="AY59" i="632"/>
  <c r="AZ59" i="632"/>
  <c r="AZ60" i="632" s="1"/>
  <c r="BA59" i="632"/>
  <c r="BA60" i="632" s="1"/>
  <c r="BB59" i="632"/>
  <c r="BC59" i="632"/>
  <c r="BD59" i="632"/>
  <c r="BE59" i="632"/>
  <c r="BE60" i="632" s="1"/>
  <c r="BF59" i="632"/>
  <c r="BG59" i="632"/>
  <c r="J60" i="632"/>
  <c r="S60" i="632"/>
  <c r="X60" i="632"/>
  <c r="AF60" i="632"/>
  <c r="AH60" i="632"/>
  <c r="AI60" i="632"/>
  <c r="AN60" i="632"/>
  <c r="AP60" i="632"/>
  <c r="AQ60" i="632"/>
  <c r="AW60" i="632"/>
  <c r="AX60" i="632"/>
  <c r="AY60" i="632"/>
  <c r="BD60" i="632"/>
  <c r="BF60" i="632"/>
  <c r="BG60" i="632"/>
  <c r="O65" i="632"/>
  <c r="Q65" i="632"/>
  <c r="O66" i="632"/>
  <c r="N65" i="632" s="1"/>
  <c r="O67" i="632"/>
  <c r="K68" i="632"/>
  <c r="L68" i="632"/>
  <c r="M68" i="632"/>
  <c r="P68" i="632"/>
  <c r="L69" i="632"/>
  <c r="O69" i="632" s="1"/>
  <c r="M69" i="632"/>
  <c r="M73" i="632" s="1"/>
  <c r="P69" i="632"/>
  <c r="P73" i="632" s="1"/>
  <c r="P103" i="632" s="1"/>
  <c r="K70" i="632"/>
  <c r="L70" i="632"/>
  <c r="M70" i="632"/>
  <c r="P70" i="632"/>
  <c r="J73" i="632"/>
  <c r="J103" i="632" s="1"/>
  <c r="S73" i="632"/>
  <c r="T73" i="632"/>
  <c r="U73" i="632"/>
  <c r="V73" i="632"/>
  <c r="W73" i="632"/>
  <c r="X73" i="632"/>
  <c r="Y73" i="632"/>
  <c r="Y103" i="632" s="1"/>
  <c r="Z73" i="632"/>
  <c r="AA73" i="632"/>
  <c r="AB73" i="632"/>
  <c r="AC73" i="632"/>
  <c r="AD73" i="632"/>
  <c r="AE73" i="632"/>
  <c r="AF73" i="632"/>
  <c r="AG73" i="632"/>
  <c r="AG103" i="632" s="1"/>
  <c r="AH73" i="632"/>
  <c r="AI73" i="632"/>
  <c r="AJ73" i="632"/>
  <c r="AK73" i="632"/>
  <c r="AL73" i="632"/>
  <c r="AM73" i="632"/>
  <c r="AN73" i="632"/>
  <c r="AO73" i="632"/>
  <c r="AP73" i="632"/>
  <c r="AQ73" i="632"/>
  <c r="AR73" i="632"/>
  <c r="AS73" i="632"/>
  <c r="AT73" i="632"/>
  <c r="AU73" i="632"/>
  <c r="AV73" i="632"/>
  <c r="AW73" i="632"/>
  <c r="AW103" i="632" s="1"/>
  <c r="AX73" i="632"/>
  <c r="AY73" i="632"/>
  <c r="AZ73" i="632"/>
  <c r="BA73" i="632"/>
  <c r="BB73" i="632"/>
  <c r="BC73" i="632"/>
  <c r="BD73" i="632"/>
  <c r="BE73" i="632"/>
  <c r="BE103" i="632" s="1"/>
  <c r="BF73" i="632"/>
  <c r="BG73" i="632"/>
  <c r="N82" i="632"/>
  <c r="Q82" i="632"/>
  <c r="J84" i="632"/>
  <c r="K84" i="632"/>
  <c r="L84" i="632"/>
  <c r="M84" i="632"/>
  <c r="O84" i="632"/>
  <c r="N84" i="632" s="1"/>
  <c r="P84" i="632"/>
  <c r="Q84" i="632"/>
  <c r="S84" i="632"/>
  <c r="T84" i="632"/>
  <c r="U84" i="632"/>
  <c r="V84" i="632"/>
  <c r="W84" i="632"/>
  <c r="X84" i="632"/>
  <c r="Y84" i="632"/>
  <c r="Z84" i="632"/>
  <c r="AA84" i="632"/>
  <c r="AB84" i="632"/>
  <c r="AC84" i="632"/>
  <c r="AD84" i="632"/>
  <c r="AE84" i="632"/>
  <c r="AF84" i="632"/>
  <c r="AG84" i="632"/>
  <c r="AH84" i="632"/>
  <c r="AI84" i="632"/>
  <c r="AJ84" i="632"/>
  <c r="AK84" i="632"/>
  <c r="AL84" i="632"/>
  <c r="AM84" i="632"/>
  <c r="AN84" i="632"/>
  <c r="AO84" i="632"/>
  <c r="AP84" i="632"/>
  <c r="AQ84" i="632"/>
  <c r="AR84" i="632"/>
  <c r="AS84" i="632"/>
  <c r="AT84" i="632"/>
  <c r="AU84" i="632"/>
  <c r="AV84" i="632"/>
  <c r="AW84" i="632"/>
  <c r="AX84" i="632"/>
  <c r="AY84" i="632"/>
  <c r="AZ84" i="632"/>
  <c r="BA84" i="632"/>
  <c r="BB84" i="632"/>
  <c r="BC84" i="632"/>
  <c r="BD84" i="632"/>
  <c r="BE84" i="632"/>
  <c r="BF84" i="632"/>
  <c r="BG84" i="632"/>
  <c r="O89" i="632"/>
  <c r="Q89" i="632"/>
  <c r="Q93" i="632" s="1"/>
  <c r="O90" i="632"/>
  <c r="N89" i="632" s="1"/>
  <c r="O91" i="632"/>
  <c r="Q91" i="632"/>
  <c r="O92" i="632"/>
  <c r="O93" i="632" s="1"/>
  <c r="N93" i="632" s="1"/>
  <c r="J93" i="632"/>
  <c r="K93" i="632"/>
  <c r="L93" i="632"/>
  <c r="M93" i="632"/>
  <c r="P93" i="632"/>
  <c r="S93" i="632"/>
  <c r="T93" i="632"/>
  <c r="U93" i="632"/>
  <c r="V93" i="632"/>
  <c r="W93" i="632"/>
  <c r="X93" i="632"/>
  <c r="Y93" i="632"/>
  <c r="Z93" i="632"/>
  <c r="AA93" i="632"/>
  <c r="AB93" i="632"/>
  <c r="AC93" i="632"/>
  <c r="AD93" i="632"/>
  <c r="AE93" i="632"/>
  <c r="AF93" i="632"/>
  <c r="AG93" i="632"/>
  <c r="AH93" i="632"/>
  <c r="AI93" i="632"/>
  <c r="AJ93" i="632"/>
  <c r="AK93" i="632"/>
  <c r="AL93" i="632"/>
  <c r="AM93" i="632"/>
  <c r="AN93" i="632"/>
  <c r="AO93" i="632"/>
  <c r="AP93" i="632"/>
  <c r="AQ93" i="632"/>
  <c r="AR93" i="632"/>
  <c r="AS93" i="632"/>
  <c r="AT93" i="632"/>
  <c r="AU93" i="632"/>
  <c r="AV93" i="632"/>
  <c r="AW93" i="632"/>
  <c r="AX93" i="632"/>
  <c r="AY93" i="632"/>
  <c r="AZ93" i="632"/>
  <c r="BA93" i="632"/>
  <c r="BB93" i="632"/>
  <c r="BC93" i="632"/>
  <c r="BD93" i="632"/>
  <c r="BE93" i="632"/>
  <c r="BF93" i="632"/>
  <c r="BG93" i="632"/>
  <c r="O96" i="632"/>
  <c r="Q96" i="632"/>
  <c r="O97" i="632"/>
  <c r="N96" i="632" s="1"/>
  <c r="O98" i="632"/>
  <c r="Q98" i="632"/>
  <c r="O99" i="632"/>
  <c r="N98" i="632" s="1"/>
  <c r="O100" i="632"/>
  <c r="Q100" i="632"/>
  <c r="O101" i="632"/>
  <c r="N100" i="632" s="1"/>
  <c r="J102" i="632"/>
  <c r="K102" i="632"/>
  <c r="L102" i="632"/>
  <c r="M102" i="632"/>
  <c r="P102" i="632"/>
  <c r="Q102" i="632"/>
  <c r="S102" i="632"/>
  <c r="T102" i="632"/>
  <c r="U102" i="632"/>
  <c r="V102" i="632"/>
  <c r="W102" i="632"/>
  <c r="X102" i="632"/>
  <c r="Y102" i="632"/>
  <c r="Z102" i="632"/>
  <c r="Z103" i="632" s="1"/>
  <c r="AA102" i="632"/>
  <c r="AB102" i="632"/>
  <c r="AC102" i="632"/>
  <c r="AD102" i="632"/>
  <c r="AE102" i="632"/>
  <c r="AF102" i="632"/>
  <c r="AG102" i="632"/>
  <c r="AH102" i="632"/>
  <c r="AH103" i="632" s="1"/>
  <c r="AI102" i="632"/>
  <c r="AJ102" i="632"/>
  <c r="AK102" i="632"/>
  <c r="AL102" i="632"/>
  <c r="AM102" i="632"/>
  <c r="AN102" i="632"/>
  <c r="AO102" i="632"/>
  <c r="AP102" i="632"/>
  <c r="AP103" i="632" s="1"/>
  <c r="AQ102" i="632"/>
  <c r="AR102" i="632"/>
  <c r="AS102" i="632"/>
  <c r="AT102" i="632"/>
  <c r="AU102" i="632"/>
  <c r="AV102" i="632"/>
  <c r="AW102" i="632"/>
  <c r="AX102" i="632"/>
  <c r="AX103" i="632" s="1"/>
  <c r="AY102" i="632"/>
  <c r="AZ102" i="632"/>
  <c r="BA102" i="632"/>
  <c r="BB102" i="632"/>
  <c r="BC102" i="632"/>
  <c r="BD102" i="632"/>
  <c r="BE102" i="632"/>
  <c r="BF102" i="632"/>
  <c r="BF103" i="632" s="1"/>
  <c r="BG102" i="632"/>
  <c r="V103" i="632"/>
  <c r="AD103" i="632"/>
  <c r="AL103" i="632"/>
  <c r="AO103" i="632"/>
  <c r="AT103" i="632"/>
  <c r="BB103" i="632"/>
  <c r="BC103" i="632" l="1"/>
  <c r="AU103" i="632"/>
  <c r="AM103" i="632"/>
  <c r="AE103" i="632"/>
  <c r="W103" i="632"/>
  <c r="Q69" i="632"/>
  <c r="O38" i="632"/>
  <c r="N37" i="632" s="1"/>
  <c r="O22" i="632"/>
  <c r="N21" i="632" s="1"/>
  <c r="BA103" i="632"/>
  <c r="AS103" i="632"/>
  <c r="AK103" i="632"/>
  <c r="AC103" i="632"/>
  <c r="U103" i="632"/>
  <c r="O70" i="632"/>
  <c r="N69" i="632" s="1"/>
  <c r="K60" i="632"/>
  <c r="Q9" i="632"/>
  <c r="L73" i="632"/>
  <c r="L103" i="632" s="1"/>
  <c r="O34" i="632"/>
  <c r="N33" i="632" s="1"/>
  <c r="O18" i="632"/>
  <c r="N17" i="632" s="1"/>
  <c r="N91" i="632"/>
  <c r="O59" i="632"/>
  <c r="N59" i="632" s="1"/>
  <c r="AZ103" i="632"/>
  <c r="AR103" i="632"/>
  <c r="AJ103" i="632"/>
  <c r="AB103" i="632"/>
  <c r="T103" i="632"/>
  <c r="K73" i="632"/>
  <c r="K103" i="632" s="1"/>
  <c r="L39" i="632"/>
  <c r="L60" i="632" s="1"/>
  <c r="M60" i="632"/>
  <c r="BG103" i="632"/>
  <c r="AY103" i="632"/>
  <c r="AQ103" i="632"/>
  <c r="AI103" i="632"/>
  <c r="AA103" i="632"/>
  <c r="S103" i="632"/>
  <c r="BB60" i="632"/>
  <c r="AT60" i="632"/>
  <c r="AL60" i="632"/>
  <c r="AD60" i="632"/>
  <c r="V60" i="632"/>
  <c r="N46" i="632"/>
  <c r="O36" i="632"/>
  <c r="N35" i="632" s="1"/>
  <c r="O20" i="632"/>
  <c r="N19" i="632" s="1"/>
  <c r="O11" i="632"/>
  <c r="BD103" i="632"/>
  <c r="AV103" i="632"/>
  <c r="AN103" i="632"/>
  <c r="AF103" i="632"/>
  <c r="X103" i="632"/>
  <c r="M103" i="632"/>
  <c r="P60" i="632"/>
  <c r="Q59" i="632"/>
  <c r="Q7" i="632"/>
  <c r="O39" i="633"/>
  <c r="O60" i="633" s="1"/>
  <c r="N60" i="633" s="1"/>
  <c r="Q67" i="632"/>
  <c r="Q73" i="632" s="1"/>
  <c r="Q103" i="632" s="1"/>
  <c r="Q37" i="632"/>
  <c r="Q35" i="632"/>
  <c r="Q33" i="632"/>
  <c r="Q31" i="632"/>
  <c r="Q29" i="632"/>
  <c r="Q27" i="632"/>
  <c r="Q25" i="632"/>
  <c r="Q23" i="632"/>
  <c r="Q21" i="632"/>
  <c r="Q19" i="632"/>
  <c r="Q17" i="632"/>
  <c r="Q15" i="632"/>
  <c r="Q13" i="632"/>
  <c r="Q11" i="632"/>
  <c r="Q39" i="632" s="1"/>
  <c r="Q60" i="632" s="1"/>
  <c r="O10" i="632"/>
  <c r="N9" i="632" s="1"/>
  <c r="O8" i="632"/>
  <c r="N7" i="632" s="1"/>
  <c r="O6" i="632"/>
  <c r="O102" i="632"/>
  <c r="N102" i="632" s="1"/>
  <c r="O68" i="632"/>
  <c r="O5" i="631"/>
  <c r="K6" i="631"/>
  <c r="L6" i="631"/>
  <c r="Q5" i="631" s="1"/>
  <c r="M6" i="631"/>
  <c r="P6" i="631"/>
  <c r="O7" i="631"/>
  <c r="K8" i="631"/>
  <c r="L8" i="631"/>
  <c r="Q7" i="631" s="1"/>
  <c r="M8" i="631"/>
  <c r="O8" i="631"/>
  <c r="N7" i="631" s="1"/>
  <c r="P8" i="631"/>
  <c r="O9" i="631"/>
  <c r="K10" i="631"/>
  <c r="L10" i="631"/>
  <c r="O10" i="631" s="1"/>
  <c r="N9" i="631" s="1"/>
  <c r="M10" i="631"/>
  <c r="P10" i="631"/>
  <c r="K11" i="631"/>
  <c r="K43" i="631" s="1"/>
  <c r="K64" i="631" s="1"/>
  <c r="L11" i="631"/>
  <c r="M11" i="631"/>
  <c r="O11" i="631" s="1"/>
  <c r="P11" i="631"/>
  <c r="T11" i="631"/>
  <c r="AF11" i="631"/>
  <c r="K12" i="631"/>
  <c r="L12" i="631"/>
  <c r="M12" i="631"/>
  <c r="O12" i="631" s="1"/>
  <c r="N11" i="631" s="1"/>
  <c r="P12" i="631"/>
  <c r="Q11" i="631" s="1"/>
  <c r="O13" i="631"/>
  <c r="K14" i="631"/>
  <c r="L14" i="631"/>
  <c r="Q13" i="631" s="1"/>
  <c r="M14" i="631"/>
  <c r="P14" i="631"/>
  <c r="O15" i="631"/>
  <c r="K16" i="631"/>
  <c r="L16" i="631"/>
  <c r="Q15" i="631" s="1"/>
  <c r="M16" i="631"/>
  <c r="M43" i="631" s="1"/>
  <c r="P16" i="631"/>
  <c r="O17" i="631"/>
  <c r="K18" i="631"/>
  <c r="L18" i="631"/>
  <c r="M18" i="631"/>
  <c r="O18" i="631"/>
  <c r="N17" i="631" s="1"/>
  <c r="P18" i="631"/>
  <c r="O19" i="631"/>
  <c r="K20" i="631"/>
  <c r="L20" i="631"/>
  <c r="M20" i="631"/>
  <c r="O20" i="631"/>
  <c r="N19" i="631" s="1"/>
  <c r="P20" i="631"/>
  <c r="Q19" i="631" s="1"/>
  <c r="O21" i="631"/>
  <c r="K22" i="631"/>
  <c r="L22" i="631"/>
  <c r="O22" i="631" s="1"/>
  <c r="N21" i="631" s="1"/>
  <c r="M22" i="631"/>
  <c r="P22" i="631"/>
  <c r="Q21" i="631" s="1"/>
  <c r="O23" i="631"/>
  <c r="K24" i="631"/>
  <c r="L24" i="631"/>
  <c r="O24" i="631" s="1"/>
  <c r="N23" i="631" s="1"/>
  <c r="M24" i="631"/>
  <c r="P24" i="631"/>
  <c r="O25" i="631"/>
  <c r="K26" i="631"/>
  <c r="L26" i="631"/>
  <c r="O26" i="631" s="1"/>
  <c r="N25" i="631" s="1"/>
  <c r="M26" i="631"/>
  <c r="P26" i="631"/>
  <c r="O27" i="631"/>
  <c r="K28" i="631"/>
  <c r="L28" i="631"/>
  <c r="M28" i="631"/>
  <c r="O28" i="631" s="1"/>
  <c r="N27" i="631" s="1"/>
  <c r="P28" i="631"/>
  <c r="Q27" i="631" s="1"/>
  <c r="O29" i="631"/>
  <c r="K30" i="631"/>
  <c r="L30" i="631"/>
  <c r="O30" i="631" s="1"/>
  <c r="N29" i="631" s="1"/>
  <c r="M30" i="631"/>
  <c r="P30" i="631"/>
  <c r="O31" i="631"/>
  <c r="K32" i="631"/>
  <c r="L32" i="631"/>
  <c r="O32" i="631" s="1"/>
  <c r="N31" i="631" s="1"/>
  <c r="M32" i="631"/>
  <c r="P32" i="631"/>
  <c r="O33" i="631"/>
  <c r="K34" i="631"/>
  <c r="L34" i="631"/>
  <c r="M34" i="631"/>
  <c r="O34" i="631"/>
  <c r="N33" i="631" s="1"/>
  <c r="P34" i="631"/>
  <c r="O35" i="631"/>
  <c r="K36" i="631"/>
  <c r="L36" i="631"/>
  <c r="M36" i="631"/>
  <c r="O36" i="631"/>
  <c r="N35" i="631" s="1"/>
  <c r="P36" i="631"/>
  <c r="Q35" i="631" s="1"/>
  <c r="O37" i="631"/>
  <c r="K38" i="631"/>
  <c r="L38" i="631"/>
  <c r="O38" i="631" s="1"/>
  <c r="N37" i="631" s="1"/>
  <c r="M38" i="631"/>
  <c r="P38" i="631"/>
  <c r="Q37" i="631" s="1"/>
  <c r="O39" i="631"/>
  <c r="K40" i="631"/>
  <c r="L40" i="631"/>
  <c r="O40" i="631" s="1"/>
  <c r="N39" i="631" s="1"/>
  <c r="M40" i="631"/>
  <c r="P40" i="631"/>
  <c r="O41" i="631"/>
  <c r="K42" i="631"/>
  <c r="L42" i="631"/>
  <c r="O42" i="631" s="1"/>
  <c r="N41" i="631" s="1"/>
  <c r="M42" i="631"/>
  <c r="P42" i="631"/>
  <c r="J43" i="631"/>
  <c r="L43" i="631"/>
  <c r="S43" i="631"/>
  <c r="T43" i="631"/>
  <c r="U43" i="631"/>
  <c r="V43" i="631"/>
  <c r="W43" i="631"/>
  <c r="X43" i="631"/>
  <c r="X64" i="631" s="1"/>
  <c r="Y43" i="631"/>
  <c r="Z43" i="631"/>
  <c r="AA43" i="631"/>
  <c r="AB43" i="631"/>
  <c r="AC43" i="631"/>
  <c r="AD43" i="631"/>
  <c r="AE43" i="631"/>
  <c r="AF43" i="631"/>
  <c r="AF64" i="631" s="1"/>
  <c r="AG43" i="631"/>
  <c r="AH43" i="631"/>
  <c r="AI43" i="631"/>
  <c r="AJ43" i="631"/>
  <c r="AK43" i="631"/>
  <c r="AL43" i="631"/>
  <c r="AM43" i="631"/>
  <c r="AN43" i="631"/>
  <c r="AN64" i="631" s="1"/>
  <c r="AO43" i="631"/>
  <c r="AP43" i="631"/>
  <c r="AQ43" i="631"/>
  <c r="AR43" i="631"/>
  <c r="AS43" i="631"/>
  <c r="AT43" i="631"/>
  <c r="AU43" i="631"/>
  <c r="AV43" i="631"/>
  <c r="AV64" i="631" s="1"/>
  <c r="AW43" i="631"/>
  <c r="AX43" i="631"/>
  <c r="AY43" i="631"/>
  <c r="AZ43" i="631"/>
  <c r="BA43" i="631"/>
  <c r="BB43" i="631"/>
  <c r="BC43" i="631"/>
  <c r="BD43" i="631"/>
  <c r="BE43" i="631"/>
  <c r="BF43" i="631"/>
  <c r="BG43" i="631"/>
  <c r="J50" i="631"/>
  <c r="K50" i="631"/>
  <c r="L50" i="631"/>
  <c r="M50" i="631"/>
  <c r="O50" i="631"/>
  <c r="N50" i="631" s="1"/>
  <c r="P50" i="631"/>
  <c r="Q50" i="631"/>
  <c r="S50" i="631"/>
  <c r="T50" i="631"/>
  <c r="U50" i="631"/>
  <c r="V50" i="631"/>
  <c r="W50" i="631"/>
  <c r="X50" i="631"/>
  <c r="Y50" i="631"/>
  <c r="Z50" i="631"/>
  <c r="AA50" i="631"/>
  <c r="AB50" i="631"/>
  <c r="AC50" i="631"/>
  <c r="AD50" i="631"/>
  <c r="AE50" i="631"/>
  <c r="AF50" i="631"/>
  <c r="AG50" i="631"/>
  <c r="AH50" i="631"/>
  <c r="AI50" i="631"/>
  <c r="AJ50" i="631"/>
  <c r="AK50" i="631"/>
  <c r="AL50" i="631"/>
  <c r="AM50" i="631"/>
  <c r="AN50" i="631"/>
  <c r="AO50" i="631"/>
  <c r="AP50" i="631"/>
  <c r="AQ50" i="631"/>
  <c r="AR50" i="631"/>
  <c r="AS50" i="631"/>
  <c r="AT50" i="631"/>
  <c r="AU50" i="631"/>
  <c r="AV50" i="631"/>
  <c r="AW50" i="631"/>
  <c r="AX50" i="631"/>
  <c r="AY50" i="631"/>
  <c r="AZ50" i="631"/>
  <c r="BA50" i="631"/>
  <c r="BB50" i="631"/>
  <c r="BC50" i="631"/>
  <c r="BD50" i="631"/>
  <c r="BE50" i="631"/>
  <c r="BF50" i="631"/>
  <c r="BG50" i="631"/>
  <c r="N53" i="631"/>
  <c r="O53" i="631"/>
  <c r="Q53" i="631"/>
  <c r="O54" i="631"/>
  <c r="O55" i="631"/>
  <c r="Q55" i="631"/>
  <c r="Q63" i="631" s="1"/>
  <c r="O56" i="631"/>
  <c r="N55" i="631" s="1"/>
  <c r="N57" i="631"/>
  <c r="O57" i="631"/>
  <c r="Q57" i="631"/>
  <c r="O58" i="631"/>
  <c r="O59" i="631"/>
  <c r="Q59" i="631"/>
  <c r="O60" i="631"/>
  <c r="N59" i="631" s="1"/>
  <c r="N61" i="631"/>
  <c r="J63" i="631"/>
  <c r="K63" i="631"/>
  <c r="L63" i="631"/>
  <c r="M63" i="631"/>
  <c r="P63" i="631"/>
  <c r="S63" i="631"/>
  <c r="T63" i="631"/>
  <c r="U63" i="631"/>
  <c r="V63" i="631"/>
  <c r="V64" i="631" s="1"/>
  <c r="W63" i="631"/>
  <c r="X63" i="631"/>
  <c r="Y63" i="631"/>
  <c r="Z63" i="631"/>
  <c r="AA63" i="631"/>
  <c r="AB63" i="631"/>
  <c r="AC63" i="631"/>
  <c r="AD63" i="631"/>
  <c r="AD64" i="631" s="1"/>
  <c r="AE63" i="631"/>
  <c r="AF63" i="631"/>
  <c r="AG63" i="631"/>
  <c r="AH63" i="631"/>
  <c r="AI63" i="631"/>
  <c r="AJ63" i="631"/>
  <c r="AK63" i="631"/>
  <c r="AL63" i="631"/>
  <c r="AL64" i="631" s="1"/>
  <c r="AM63" i="631"/>
  <c r="AN63" i="631"/>
  <c r="AO63" i="631"/>
  <c r="AP63" i="631"/>
  <c r="AQ63" i="631"/>
  <c r="AR63" i="631"/>
  <c r="AS63" i="631"/>
  <c r="AT63" i="631"/>
  <c r="AT64" i="631" s="1"/>
  <c r="AU63" i="631"/>
  <c r="AV63" i="631"/>
  <c r="AW63" i="631"/>
  <c r="AX63" i="631"/>
  <c r="AY63" i="631"/>
  <c r="AZ63" i="631"/>
  <c r="BA63" i="631"/>
  <c r="BA64" i="631" s="1"/>
  <c r="BB63" i="631"/>
  <c r="BB64" i="631" s="1"/>
  <c r="BC63" i="631"/>
  <c r="BD63" i="631"/>
  <c r="BE63" i="631"/>
  <c r="BF63" i="631"/>
  <c r="BG63" i="631"/>
  <c r="L64" i="631"/>
  <c r="U64" i="631"/>
  <c r="W64" i="631"/>
  <c r="AC64" i="631"/>
  <c r="AE64" i="631"/>
  <c r="AK64" i="631"/>
  <c r="AM64" i="631"/>
  <c r="AS64" i="631"/>
  <c r="AU64" i="631"/>
  <c r="BC64" i="631"/>
  <c r="BD64" i="631"/>
  <c r="O69" i="631"/>
  <c r="Q69" i="631"/>
  <c r="O70" i="631"/>
  <c r="N69" i="631" s="1"/>
  <c r="O71" i="631"/>
  <c r="K72" i="631"/>
  <c r="L72" i="631"/>
  <c r="M72" i="631"/>
  <c r="O72" i="631" s="1"/>
  <c r="P72" i="631"/>
  <c r="Q71" i="631" s="1"/>
  <c r="M73" i="631"/>
  <c r="O73" i="631" s="1"/>
  <c r="P73" i="631"/>
  <c r="K74" i="631"/>
  <c r="L74" i="631"/>
  <c r="O74" i="631" s="1"/>
  <c r="N73" i="631" s="1"/>
  <c r="M74" i="631"/>
  <c r="P74" i="631"/>
  <c r="J77" i="631"/>
  <c r="J107" i="631" s="1"/>
  <c r="K77" i="631"/>
  <c r="L77" i="631"/>
  <c r="S77" i="631"/>
  <c r="T77" i="631"/>
  <c r="U77" i="631"/>
  <c r="V77" i="631"/>
  <c r="W77" i="631"/>
  <c r="X77" i="631"/>
  <c r="Y77" i="631"/>
  <c r="Z77" i="631"/>
  <c r="AA77" i="631"/>
  <c r="AB77" i="631"/>
  <c r="AC77" i="631"/>
  <c r="AD77" i="631"/>
  <c r="AE77" i="631"/>
  <c r="AE107" i="631" s="1"/>
  <c r="AF77" i="631"/>
  <c r="AG77" i="631"/>
  <c r="AH77" i="631"/>
  <c r="AI77" i="631"/>
  <c r="AJ77" i="631"/>
  <c r="AK77" i="631"/>
  <c r="AL77" i="631"/>
  <c r="AM77" i="631"/>
  <c r="AM107" i="631" s="1"/>
  <c r="AN77" i="631"/>
  <c r="AO77" i="631"/>
  <c r="AP77" i="631"/>
  <c r="AQ77" i="631"/>
  <c r="AR77" i="631"/>
  <c r="AS77" i="631"/>
  <c r="AT77" i="631"/>
  <c r="AU77" i="631"/>
  <c r="AV77" i="631"/>
  <c r="AW77" i="631"/>
  <c r="AX77" i="631"/>
  <c r="AY77" i="631"/>
  <c r="AZ77" i="631"/>
  <c r="BA77" i="631"/>
  <c r="BB77" i="631"/>
  <c r="BC77" i="631"/>
  <c r="BC107" i="631" s="1"/>
  <c r="BD77" i="631"/>
  <c r="BE77" i="631"/>
  <c r="BF77" i="631"/>
  <c r="BG77" i="631"/>
  <c r="N86" i="631"/>
  <c r="Q86" i="631"/>
  <c r="J88" i="631"/>
  <c r="K88" i="631"/>
  <c r="L88" i="631"/>
  <c r="M88" i="631"/>
  <c r="O88" i="631"/>
  <c r="P88" i="631"/>
  <c r="Q88" i="631"/>
  <c r="S88" i="631"/>
  <c r="T88" i="631"/>
  <c r="U88" i="631"/>
  <c r="U107" i="631" s="1"/>
  <c r="V88" i="631"/>
  <c r="W88" i="631"/>
  <c r="X88" i="631"/>
  <c r="Y88" i="631"/>
  <c r="Z88" i="631"/>
  <c r="AA88" i="631"/>
  <c r="AB88" i="631"/>
  <c r="AC88" i="631"/>
  <c r="AC107" i="631" s="1"/>
  <c r="AD88" i="631"/>
  <c r="AE88" i="631"/>
  <c r="AF88" i="631"/>
  <c r="AG88" i="631"/>
  <c r="AH88" i="631"/>
  <c r="AI88" i="631"/>
  <c r="AJ88" i="631"/>
  <c r="AK88" i="631"/>
  <c r="AK107" i="631" s="1"/>
  <c r="AL88" i="631"/>
  <c r="AM88" i="631"/>
  <c r="AN88" i="631"/>
  <c r="AO88" i="631"/>
  <c r="AP88" i="631"/>
  <c r="AQ88" i="631"/>
  <c r="AR88" i="631"/>
  <c r="AS88" i="631"/>
  <c r="AS107" i="631" s="1"/>
  <c r="AT88" i="631"/>
  <c r="AU88" i="631"/>
  <c r="AV88" i="631"/>
  <c r="AW88" i="631"/>
  <c r="AX88" i="631"/>
  <c r="AY88" i="631"/>
  <c r="AZ88" i="631"/>
  <c r="BA88" i="631"/>
  <c r="BA107" i="631" s="1"/>
  <c r="BB88" i="631"/>
  <c r="BC88" i="631"/>
  <c r="BD88" i="631"/>
  <c r="BE88" i="631"/>
  <c r="BF88" i="631"/>
  <c r="BG88" i="631"/>
  <c r="O93" i="631"/>
  <c r="O97" i="631" s="1"/>
  <c r="N97" i="631" s="1"/>
  <c r="Q93" i="631"/>
  <c r="Q97" i="631" s="1"/>
  <c r="O94" i="631"/>
  <c r="N93" i="631" s="1"/>
  <c r="O95" i="631"/>
  <c r="Q95" i="631"/>
  <c r="O96" i="631"/>
  <c r="N95" i="631" s="1"/>
  <c r="J97" i="631"/>
  <c r="K97" i="631"/>
  <c r="L97" i="631"/>
  <c r="M97" i="631"/>
  <c r="P97" i="631"/>
  <c r="S97" i="631"/>
  <c r="T97" i="631"/>
  <c r="U97" i="631"/>
  <c r="V97" i="631"/>
  <c r="W97" i="631"/>
  <c r="X97" i="631"/>
  <c r="Y97" i="631"/>
  <c r="Z97" i="631"/>
  <c r="AA97" i="631"/>
  <c r="AB97" i="631"/>
  <c r="AC97" i="631"/>
  <c r="AD97" i="631"/>
  <c r="AE97" i="631"/>
  <c r="AF97" i="631"/>
  <c r="AG97" i="631"/>
  <c r="AH97" i="631"/>
  <c r="AH107" i="631" s="1"/>
  <c r="AI97" i="631"/>
  <c r="AI107" i="631" s="1"/>
  <c r="AJ97" i="631"/>
  <c r="AK97" i="631"/>
  <c r="AL97" i="631"/>
  <c r="AM97" i="631"/>
  <c r="AN97" i="631"/>
  <c r="AO97" i="631"/>
  <c r="AP97" i="631"/>
  <c r="AP107" i="631" s="1"/>
  <c r="AQ97" i="631"/>
  <c r="AR97" i="631"/>
  <c r="AS97" i="631"/>
  <c r="AT97" i="631"/>
  <c r="AU97" i="631"/>
  <c r="AV97" i="631"/>
  <c r="AW97" i="631"/>
  <c r="AX97" i="631"/>
  <c r="AY97" i="631"/>
  <c r="AZ97" i="631"/>
  <c r="BA97" i="631"/>
  <c r="BB97" i="631"/>
  <c r="BC97" i="631"/>
  <c r="BD97" i="631"/>
  <c r="BE97" i="631"/>
  <c r="BF97" i="631"/>
  <c r="BF107" i="631" s="1"/>
  <c r="BG97" i="631"/>
  <c r="BG107" i="631" s="1"/>
  <c r="N100" i="631"/>
  <c r="O100" i="631"/>
  <c r="Q100" i="631"/>
  <c r="O101" i="631"/>
  <c r="N102" i="631"/>
  <c r="O102" i="631"/>
  <c r="O106" i="631" s="1"/>
  <c r="N106" i="631" s="1"/>
  <c r="Q102" i="631"/>
  <c r="O103" i="631"/>
  <c r="N104" i="631"/>
  <c r="O104" i="631"/>
  <c r="Q104" i="631"/>
  <c r="O105" i="631"/>
  <c r="J106" i="631"/>
  <c r="K106" i="631"/>
  <c r="L106" i="631"/>
  <c r="M106" i="631"/>
  <c r="P106" i="631"/>
  <c r="S106" i="631"/>
  <c r="T106" i="631"/>
  <c r="U106" i="631"/>
  <c r="V106" i="631"/>
  <c r="W106" i="631"/>
  <c r="X106" i="631"/>
  <c r="Y106" i="631"/>
  <c r="Z106" i="631"/>
  <c r="AA106" i="631"/>
  <c r="AB106" i="631"/>
  <c r="AC106" i="631"/>
  <c r="AD106" i="631"/>
  <c r="AE106" i="631"/>
  <c r="AF106" i="631"/>
  <c r="AG106" i="631"/>
  <c r="AH106" i="631"/>
  <c r="AI106" i="631"/>
  <c r="AJ106" i="631"/>
  <c r="AK106" i="631"/>
  <c r="AL106" i="631"/>
  <c r="AM106" i="631"/>
  <c r="AN106" i="631"/>
  <c r="AO106" i="631"/>
  <c r="AP106" i="631"/>
  <c r="AQ106" i="631"/>
  <c r="AR106" i="631"/>
  <c r="AS106" i="631"/>
  <c r="AT106" i="631"/>
  <c r="AU106" i="631"/>
  <c r="AV106" i="631"/>
  <c r="AW106" i="631"/>
  <c r="AX106" i="631"/>
  <c r="AY106" i="631"/>
  <c r="AZ106" i="631"/>
  <c r="BA106" i="631"/>
  <c r="BB106" i="631"/>
  <c r="BC106" i="631"/>
  <c r="BD106" i="631"/>
  <c r="BE106" i="631"/>
  <c r="BF106" i="631"/>
  <c r="BG106" i="631"/>
  <c r="S107" i="631"/>
  <c r="W107" i="631"/>
  <c r="Z107" i="631"/>
  <c r="AA107" i="631"/>
  <c r="AQ107" i="631"/>
  <c r="AU107" i="631"/>
  <c r="AX107" i="631"/>
  <c r="AY107" i="631"/>
  <c r="N39" i="633" l="1"/>
  <c r="K107" i="631"/>
  <c r="J64" i="631"/>
  <c r="Q39" i="631"/>
  <c r="Q23" i="631"/>
  <c r="Q106" i="631"/>
  <c r="BE64" i="631"/>
  <c r="AW64" i="631"/>
  <c r="AO64" i="631"/>
  <c r="AG64" i="631"/>
  <c r="Y64" i="631"/>
  <c r="M64" i="631"/>
  <c r="Q41" i="631"/>
  <c r="Q25" i="631"/>
  <c r="Q73" i="631"/>
  <c r="Q9" i="631"/>
  <c r="Q43" i="631" s="1"/>
  <c r="Q64" i="631" s="1"/>
  <c r="AZ107" i="631"/>
  <c r="AR107" i="631"/>
  <c r="AJ107" i="631"/>
  <c r="AB107" i="631"/>
  <c r="T107" i="631"/>
  <c r="N88" i="631"/>
  <c r="P77" i="631"/>
  <c r="P107" i="631" s="1"/>
  <c r="AZ64" i="631"/>
  <c r="AR64" i="631"/>
  <c r="AJ64" i="631"/>
  <c r="AB64" i="631"/>
  <c r="T64" i="631"/>
  <c r="Q29" i="631"/>
  <c r="P43" i="631"/>
  <c r="P64" i="631" s="1"/>
  <c r="BE107" i="631"/>
  <c r="AW107" i="631"/>
  <c r="AO107" i="631"/>
  <c r="AG107" i="631"/>
  <c r="Y107" i="631"/>
  <c r="BG64" i="631"/>
  <c r="AY64" i="631"/>
  <c r="AQ64" i="631"/>
  <c r="AI64" i="631"/>
  <c r="AA64" i="631"/>
  <c r="S64" i="631"/>
  <c r="Q31" i="631"/>
  <c r="O14" i="631"/>
  <c r="N13" i="631" s="1"/>
  <c r="O6" i="631"/>
  <c r="N5" i="631" s="1"/>
  <c r="BB107" i="631"/>
  <c r="AT107" i="631"/>
  <c r="AL107" i="631"/>
  <c r="AD107" i="631"/>
  <c r="V107" i="631"/>
  <c r="L107" i="631"/>
  <c r="BD107" i="631"/>
  <c r="AV107" i="631"/>
  <c r="AN107" i="631"/>
  <c r="AF107" i="631"/>
  <c r="X107" i="631"/>
  <c r="BF64" i="631"/>
  <c r="AX64" i="631"/>
  <c r="AP64" i="631"/>
  <c r="AH64" i="631"/>
  <c r="Z64" i="631"/>
  <c r="Q33" i="631"/>
  <c r="Q17" i="631"/>
  <c r="O16" i="631"/>
  <c r="N15" i="631" s="1"/>
  <c r="N67" i="632"/>
  <c r="O73" i="632"/>
  <c r="N5" i="632"/>
  <c r="O39" i="632"/>
  <c r="N71" i="631"/>
  <c r="O77" i="631"/>
  <c r="Q77" i="631"/>
  <c r="Q107" i="631" s="1"/>
  <c r="O63" i="631"/>
  <c r="N63" i="631" s="1"/>
  <c r="M77" i="631"/>
  <c r="M107" i="631" s="1"/>
  <c r="O43" i="631"/>
  <c r="O5" i="630"/>
  <c r="K6" i="630"/>
  <c r="L6" i="630"/>
  <c r="M6" i="630"/>
  <c r="O6" i="630" s="1"/>
  <c r="N5" i="630" s="1"/>
  <c r="P6" i="630"/>
  <c r="P43" i="630" s="1"/>
  <c r="P64" i="630" s="1"/>
  <c r="O7" i="630"/>
  <c r="K8" i="630"/>
  <c r="L8" i="630"/>
  <c r="O8" i="630" s="1"/>
  <c r="N7" i="630" s="1"/>
  <c r="M8" i="630"/>
  <c r="P8" i="630"/>
  <c r="O9" i="630"/>
  <c r="K10" i="630"/>
  <c r="K43" i="630" s="1"/>
  <c r="K64" i="630" s="1"/>
  <c r="L10" i="630"/>
  <c r="M10" i="630"/>
  <c r="O10" i="630"/>
  <c r="N9" i="630" s="1"/>
  <c r="P10" i="630"/>
  <c r="K11" i="630"/>
  <c r="L11" i="630"/>
  <c r="L43" i="630" s="1"/>
  <c r="L64" i="630" s="1"/>
  <c r="M11" i="630"/>
  <c r="O11" i="630"/>
  <c r="P11" i="630"/>
  <c r="T11" i="630"/>
  <c r="T43" i="630" s="1"/>
  <c r="K12" i="630"/>
  <c r="L12" i="630"/>
  <c r="M12" i="630"/>
  <c r="O12" i="630" s="1"/>
  <c r="N11" i="630" s="1"/>
  <c r="P12" i="630"/>
  <c r="Q11" i="630" s="1"/>
  <c r="O13" i="630"/>
  <c r="K14" i="630"/>
  <c r="L14" i="630"/>
  <c r="M14" i="630"/>
  <c r="O14" i="630" s="1"/>
  <c r="N13" i="630" s="1"/>
  <c r="P14" i="630"/>
  <c r="Q13" i="630" s="1"/>
  <c r="O15" i="630"/>
  <c r="K16" i="630"/>
  <c r="L16" i="630"/>
  <c r="M16" i="630"/>
  <c r="O16" i="630" s="1"/>
  <c r="N15" i="630" s="1"/>
  <c r="P16" i="630"/>
  <c r="Q15" i="630" s="1"/>
  <c r="O17" i="630"/>
  <c r="K18" i="630"/>
  <c r="L18" i="630"/>
  <c r="M18" i="630"/>
  <c r="O18" i="630" s="1"/>
  <c r="N17" i="630" s="1"/>
  <c r="P18" i="630"/>
  <c r="Q17" i="630" s="1"/>
  <c r="O19" i="630"/>
  <c r="K20" i="630"/>
  <c r="L20" i="630"/>
  <c r="M20" i="630"/>
  <c r="O20" i="630" s="1"/>
  <c r="N19" i="630" s="1"/>
  <c r="P20" i="630"/>
  <c r="Q19" i="630" s="1"/>
  <c r="O21" i="630"/>
  <c r="K22" i="630"/>
  <c r="L22" i="630"/>
  <c r="M22" i="630"/>
  <c r="O22" i="630" s="1"/>
  <c r="N21" i="630" s="1"/>
  <c r="P22" i="630"/>
  <c r="Q21" i="630" s="1"/>
  <c r="O23" i="630"/>
  <c r="K24" i="630"/>
  <c r="L24" i="630"/>
  <c r="M24" i="630"/>
  <c r="O24" i="630" s="1"/>
  <c r="N23" i="630" s="1"/>
  <c r="P24" i="630"/>
  <c r="Q23" i="630" s="1"/>
  <c r="O25" i="630"/>
  <c r="K26" i="630"/>
  <c r="L26" i="630"/>
  <c r="M26" i="630"/>
  <c r="O26" i="630" s="1"/>
  <c r="N25" i="630" s="1"/>
  <c r="P26" i="630"/>
  <c r="Q25" i="630" s="1"/>
  <c r="O27" i="630"/>
  <c r="K28" i="630"/>
  <c r="L28" i="630"/>
  <c r="M28" i="630"/>
  <c r="O28" i="630" s="1"/>
  <c r="N27" i="630" s="1"/>
  <c r="P28" i="630"/>
  <c r="Q27" i="630" s="1"/>
  <c r="O29" i="630"/>
  <c r="K30" i="630"/>
  <c r="L30" i="630"/>
  <c r="M30" i="630"/>
  <c r="O30" i="630" s="1"/>
  <c r="N29" i="630" s="1"/>
  <c r="P30" i="630"/>
  <c r="Q29" i="630" s="1"/>
  <c r="O31" i="630"/>
  <c r="K32" i="630"/>
  <c r="L32" i="630"/>
  <c r="M32" i="630"/>
  <c r="O32" i="630" s="1"/>
  <c r="N31" i="630" s="1"/>
  <c r="P32" i="630"/>
  <c r="Q31" i="630" s="1"/>
  <c r="O33" i="630"/>
  <c r="K34" i="630"/>
  <c r="L34" i="630"/>
  <c r="M34" i="630"/>
  <c r="O34" i="630" s="1"/>
  <c r="N33" i="630" s="1"/>
  <c r="P34" i="630"/>
  <c r="Q33" i="630" s="1"/>
  <c r="O35" i="630"/>
  <c r="K36" i="630"/>
  <c r="L36" i="630"/>
  <c r="M36" i="630"/>
  <c r="O36" i="630" s="1"/>
  <c r="N35" i="630" s="1"/>
  <c r="P36" i="630"/>
  <c r="Q35" i="630" s="1"/>
  <c r="O37" i="630"/>
  <c r="K38" i="630"/>
  <c r="L38" i="630"/>
  <c r="M38" i="630"/>
  <c r="O38" i="630" s="1"/>
  <c r="N37" i="630" s="1"/>
  <c r="P38" i="630"/>
  <c r="Q37" i="630" s="1"/>
  <c r="O39" i="630"/>
  <c r="K40" i="630"/>
  <c r="L40" i="630"/>
  <c r="M40" i="630"/>
  <c r="O40" i="630" s="1"/>
  <c r="N39" i="630" s="1"/>
  <c r="P40" i="630"/>
  <c r="Q39" i="630" s="1"/>
  <c r="O41" i="630"/>
  <c r="K42" i="630"/>
  <c r="L42" i="630"/>
  <c r="M42" i="630"/>
  <c r="O42" i="630" s="1"/>
  <c r="N41" i="630" s="1"/>
  <c r="P42" i="630"/>
  <c r="Q41" i="630" s="1"/>
  <c r="J43" i="630"/>
  <c r="S43" i="630"/>
  <c r="U43" i="630"/>
  <c r="V43" i="630"/>
  <c r="W43" i="630"/>
  <c r="X43" i="630"/>
  <c r="X64" i="630" s="1"/>
  <c r="Y43" i="630"/>
  <c r="Z43" i="630"/>
  <c r="AA43" i="630"/>
  <c r="AB43" i="630"/>
  <c r="AC43" i="630"/>
  <c r="AD43" i="630"/>
  <c r="AE43" i="630"/>
  <c r="AF43" i="630"/>
  <c r="AF64" i="630" s="1"/>
  <c r="AG43" i="630"/>
  <c r="AH43" i="630"/>
  <c r="AI43" i="630"/>
  <c r="AJ43" i="630"/>
  <c r="AK43" i="630"/>
  <c r="AL43" i="630"/>
  <c r="AM43" i="630"/>
  <c r="AN43" i="630"/>
  <c r="AN64" i="630" s="1"/>
  <c r="AO43" i="630"/>
  <c r="AP43" i="630"/>
  <c r="AQ43" i="630"/>
  <c r="AR43" i="630"/>
  <c r="AS43" i="630"/>
  <c r="AT43" i="630"/>
  <c r="AU43" i="630"/>
  <c r="AV43" i="630"/>
  <c r="AV64" i="630" s="1"/>
  <c r="AW43" i="630"/>
  <c r="AX43" i="630"/>
  <c r="AY43" i="630"/>
  <c r="AZ43" i="630"/>
  <c r="BA43" i="630"/>
  <c r="BB43" i="630"/>
  <c r="BC43" i="630"/>
  <c r="BD43" i="630"/>
  <c r="BD64" i="630" s="1"/>
  <c r="BE43" i="630"/>
  <c r="BF43" i="630"/>
  <c r="BG43" i="630"/>
  <c r="J50" i="630"/>
  <c r="K50" i="630"/>
  <c r="L50" i="630"/>
  <c r="M50" i="630"/>
  <c r="O50" i="630"/>
  <c r="N50" i="630" s="1"/>
  <c r="P50" i="630"/>
  <c r="Q50" i="630"/>
  <c r="S50" i="630"/>
  <c r="T50" i="630"/>
  <c r="U50" i="630"/>
  <c r="V50" i="630"/>
  <c r="W50" i="630"/>
  <c r="X50" i="630"/>
  <c r="Y50" i="630"/>
  <c r="Z50" i="630"/>
  <c r="AA50" i="630"/>
  <c r="AB50" i="630"/>
  <c r="AC50" i="630"/>
  <c r="AD50" i="630"/>
  <c r="AE50" i="630"/>
  <c r="AF50" i="630"/>
  <c r="AG50" i="630"/>
  <c r="AH50" i="630"/>
  <c r="AI50" i="630"/>
  <c r="AJ50" i="630"/>
  <c r="AK50" i="630"/>
  <c r="AL50" i="630"/>
  <c r="AM50" i="630"/>
  <c r="AN50" i="630"/>
  <c r="AO50" i="630"/>
  <c r="AP50" i="630"/>
  <c r="AQ50" i="630"/>
  <c r="AR50" i="630"/>
  <c r="AS50" i="630"/>
  <c r="AT50" i="630"/>
  <c r="AU50" i="630"/>
  <c r="AV50" i="630"/>
  <c r="AW50" i="630"/>
  <c r="AX50" i="630"/>
  <c r="AY50" i="630"/>
  <c r="AZ50" i="630"/>
  <c r="BA50" i="630"/>
  <c r="BB50" i="630"/>
  <c r="BC50" i="630"/>
  <c r="BD50" i="630"/>
  <c r="BE50" i="630"/>
  <c r="BF50" i="630"/>
  <c r="BG50" i="630"/>
  <c r="N53" i="630"/>
  <c r="O53" i="630"/>
  <c r="Q53" i="630"/>
  <c r="O54" i="630"/>
  <c r="O55" i="630"/>
  <c r="Q55" i="630"/>
  <c r="O56" i="630"/>
  <c r="N55" i="630" s="1"/>
  <c r="O57" i="630"/>
  <c r="Q57" i="630"/>
  <c r="O58" i="630"/>
  <c r="N57" i="630" s="1"/>
  <c r="O59" i="630"/>
  <c r="Q59" i="630"/>
  <c r="O60" i="630"/>
  <c r="N59" i="630" s="1"/>
  <c r="N61" i="630"/>
  <c r="J63" i="630"/>
  <c r="K63" i="630"/>
  <c r="L63" i="630"/>
  <c r="M63" i="630"/>
  <c r="P63" i="630"/>
  <c r="Q63" i="630"/>
  <c r="S63" i="630"/>
  <c r="T63" i="630"/>
  <c r="U63" i="630"/>
  <c r="V63" i="630"/>
  <c r="W63" i="630"/>
  <c r="X63" i="630"/>
  <c r="Y63" i="630"/>
  <c r="Z63" i="630"/>
  <c r="AA63" i="630"/>
  <c r="AB63" i="630"/>
  <c r="AC63" i="630"/>
  <c r="AD63" i="630"/>
  <c r="AE63" i="630"/>
  <c r="AF63" i="630"/>
  <c r="AG63" i="630"/>
  <c r="AH63" i="630"/>
  <c r="AI63" i="630"/>
  <c r="AJ63" i="630"/>
  <c r="AK63" i="630"/>
  <c r="AL63" i="630"/>
  <c r="AM63" i="630"/>
  <c r="AN63" i="630"/>
  <c r="AO63" i="630"/>
  <c r="AP63" i="630"/>
  <c r="AQ63" i="630"/>
  <c r="AR63" i="630"/>
  <c r="AS63" i="630"/>
  <c r="AT63" i="630"/>
  <c r="AU63" i="630"/>
  <c r="AV63" i="630"/>
  <c r="AW63" i="630"/>
  <c r="AW64" i="630" s="1"/>
  <c r="AX63" i="630"/>
  <c r="AY63" i="630"/>
  <c r="AZ63" i="630"/>
  <c r="BA63" i="630"/>
  <c r="BB63" i="630"/>
  <c r="BC63" i="630"/>
  <c r="BD63" i="630"/>
  <c r="BE63" i="630"/>
  <c r="BF63" i="630"/>
  <c r="BG63" i="630"/>
  <c r="W64" i="630"/>
  <c r="Y64" i="630"/>
  <c r="AE64" i="630"/>
  <c r="AG64" i="630"/>
  <c r="AM64" i="630"/>
  <c r="AO64" i="630"/>
  <c r="AU64" i="630"/>
  <c r="BC64" i="630"/>
  <c r="BE64" i="630"/>
  <c r="O69" i="630"/>
  <c r="Q69" i="630"/>
  <c r="O70" i="630"/>
  <c r="N69" i="630" s="1"/>
  <c r="O71" i="630"/>
  <c r="K72" i="630"/>
  <c r="L72" i="630"/>
  <c r="O72" i="630" s="1"/>
  <c r="N71" i="630" s="1"/>
  <c r="M72" i="630"/>
  <c r="P72" i="630"/>
  <c r="Q71" i="630" s="1"/>
  <c r="O73" i="630"/>
  <c r="K74" i="630"/>
  <c r="K77" i="630" s="1"/>
  <c r="K107" i="630" s="1"/>
  <c r="L74" i="630"/>
  <c r="O74" i="630" s="1"/>
  <c r="N73" i="630" s="1"/>
  <c r="M74" i="630"/>
  <c r="P74" i="630"/>
  <c r="J77" i="630"/>
  <c r="L77" i="630"/>
  <c r="L107" i="630" s="1"/>
  <c r="S77" i="630"/>
  <c r="T77" i="630"/>
  <c r="U77" i="630"/>
  <c r="V77" i="630"/>
  <c r="W77" i="630"/>
  <c r="X77" i="630"/>
  <c r="Y77" i="630"/>
  <c r="Z77" i="630"/>
  <c r="Z107" i="630" s="1"/>
  <c r="AA77" i="630"/>
  <c r="AB77" i="630"/>
  <c r="AC77" i="630"/>
  <c r="AD77" i="630"/>
  <c r="AE77" i="630"/>
  <c r="AF77" i="630"/>
  <c r="AG77" i="630"/>
  <c r="AH77" i="630"/>
  <c r="AH107" i="630" s="1"/>
  <c r="AI77" i="630"/>
  <c r="AJ77" i="630"/>
  <c r="AK77" i="630"/>
  <c r="AL77" i="630"/>
  <c r="AM77" i="630"/>
  <c r="AN77" i="630"/>
  <c r="AO77" i="630"/>
  <c r="AP77" i="630"/>
  <c r="AP107" i="630" s="1"/>
  <c r="AQ77" i="630"/>
  <c r="AR77" i="630"/>
  <c r="AS77" i="630"/>
  <c r="AT77" i="630"/>
  <c r="AU77" i="630"/>
  <c r="AV77" i="630"/>
  <c r="AW77" i="630"/>
  <c r="AX77" i="630"/>
  <c r="AX107" i="630" s="1"/>
  <c r="AY77" i="630"/>
  <c r="AZ77" i="630"/>
  <c r="BA77" i="630"/>
  <c r="BB77" i="630"/>
  <c r="BC77" i="630"/>
  <c r="BD77" i="630"/>
  <c r="BE77" i="630"/>
  <c r="BF77" i="630"/>
  <c r="BF107" i="630" s="1"/>
  <c r="BG77" i="630"/>
  <c r="N86" i="630"/>
  <c r="Q86" i="630"/>
  <c r="Q88" i="630" s="1"/>
  <c r="J88" i="630"/>
  <c r="K88" i="630"/>
  <c r="L88" i="630"/>
  <c r="M88" i="630"/>
  <c r="O88" i="630"/>
  <c r="N88" i="630" s="1"/>
  <c r="P88" i="630"/>
  <c r="S88" i="630"/>
  <c r="T88" i="630"/>
  <c r="U88" i="630"/>
  <c r="V88" i="630"/>
  <c r="W88" i="630"/>
  <c r="X88" i="630"/>
  <c r="X107" i="630" s="1"/>
  <c r="Y88" i="630"/>
  <c r="Z88" i="630"/>
  <c r="AA88" i="630"/>
  <c r="AB88" i="630"/>
  <c r="AC88" i="630"/>
  <c r="AD88" i="630"/>
  <c r="AE88" i="630"/>
  <c r="AF88" i="630"/>
  <c r="AF107" i="630" s="1"/>
  <c r="AG88" i="630"/>
  <c r="AH88" i="630"/>
  <c r="AI88" i="630"/>
  <c r="AJ88" i="630"/>
  <c r="AK88" i="630"/>
  <c r="AL88" i="630"/>
  <c r="AM88" i="630"/>
  <c r="AN88" i="630"/>
  <c r="AN107" i="630" s="1"/>
  <c r="AO88" i="630"/>
  <c r="AP88" i="630"/>
  <c r="AQ88" i="630"/>
  <c r="AR88" i="630"/>
  <c r="AS88" i="630"/>
  <c r="AT88" i="630"/>
  <c r="AU88" i="630"/>
  <c r="AV88" i="630"/>
  <c r="AV107" i="630" s="1"/>
  <c r="AW88" i="630"/>
  <c r="AX88" i="630"/>
  <c r="AY88" i="630"/>
  <c r="AZ88" i="630"/>
  <c r="BA88" i="630"/>
  <c r="BB88" i="630"/>
  <c r="BC88" i="630"/>
  <c r="BD88" i="630"/>
  <c r="BD107" i="630" s="1"/>
  <c r="BE88" i="630"/>
  <c r="BF88" i="630"/>
  <c r="BG88" i="630"/>
  <c r="O93" i="630"/>
  <c r="Q93" i="630"/>
  <c r="O94" i="630"/>
  <c r="N93" i="630" s="1"/>
  <c r="O95" i="630"/>
  <c r="Q95" i="630"/>
  <c r="O96" i="630"/>
  <c r="N95" i="630" s="1"/>
  <c r="J97" i="630"/>
  <c r="K97" i="630"/>
  <c r="L97" i="630"/>
  <c r="M97" i="630"/>
  <c r="P97" i="630"/>
  <c r="S97" i="630"/>
  <c r="T97" i="630"/>
  <c r="U97" i="630"/>
  <c r="U107" i="630" s="1"/>
  <c r="V97" i="630"/>
  <c r="W97" i="630"/>
  <c r="X97" i="630"/>
  <c r="Y97" i="630"/>
  <c r="Z97" i="630"/>
  <c r="AA97" i="630"/>
  <c r="AB97" i="630"/>
  <c r="AC97" i="630"/>
  <c r="AD97" i="630"/>
  <c r="AE97" i="630"/>
  <c r="AF97" i="630"/>
  <c r="AG97" i="630"/>
  <c r="AH97" i="630"/>
  <c r="AI97" i="630"/>
  <c r="AJ97" i="630"/>
  <c r="AK97" i="630"/>
  <c r="AL97" i="630"/>
  <c r="AM97" i="630"/>
  <c r="AN97" i="630"/>
  <c r="AO97" i="630"/>
  <c r="AP97" i="630"/>
  <c r="AQ97" i="630"/>
  <c r="AR97" i="630"/>
  <c r="AS97" i="630"/>
  <c r="AS107" i="630" s="1"/>
  <c r="AT97" i="630"/>
  <c r="AU97" i="630"/>
  <c r="AV97" i="630"/>
  <c r="AW97" i="630"/>
  <c r="AX97" i="630"/>
  <c r="AY97" i="630"/>
  <c r="AZ97" i="630"/>
  <c r="BA97" i="630"/>
  <c r="BA107" i="630" s="1"/>
  <c r="BB97" i="630"/>
  <c r="BC97" i="630"/>
  <c r="BD97" i="630"/>
  <c r="BE97" i="630"/>
  <c r="BF97" i="630"/>
  <c r="BG97" i="630"/>
  <c r="O100" i="630"/>
  <c r="Q100" i="630"/>
  <c r="Q106" i="630" s="1"/>
  <c r="O101" i="630"/>
  <c r="N100" i="630" s="1"/>
  <c r="O102" i="630"/>
  <c r="Q102" i="630"/>
  <c r="O103" i="630"/>
  <c r="N102" i="630" s="1"/>
  <c r="O104" i="630"/>
  <c r="Q104" i="630"/>
  <c r="O105" i="630"/>
  <c r="N104" i="630" s="1"/>
  <c r="J106" i="630"/>
  <c r="K106" i="630"/>
  <c r="L106" i="630"/>
  <c r="M106" i="630"/>
  <c r="P106" i="630"/>
  <c r="S106" i="630"/>
  <c r="T106" i="630"/>
  <c r="U106" i="630"/>
  <c r="V106" i="630"/>
  <c r="W106" i="630"/>
  <c r="X106" i="630"/>
  <c r="Y106" i="630"/>
  <c r="Z106" i="630"/>
  <c r="AA106" i="630"/>
  <c r="AB106" i="630"/>
  <c r="AC106" i="630"/>
  <c r="AD106" i="630"/>
  <c r="AE106" i="630"/>
  <c r="AF106" i="630"/>
  <c r="AG106" i="630"/>
  <c r="AH106" i="630"/>
  <c r="AI106" i="630"/>
  <c r="AJ106" i="630"/>
  <c r="AK106" i="630"/>
  <c r="AL106" i="630"/>
  <c r="AM106" i="630"/>
  <c r="AN106" i="630"/>
  <c r="AO106" i="630"/>
  <c r="AP106" i="630"/>
  <c r="AQ106" i="630"/>
  <c r="AR106" i="630"/>
  <c r="AS106" i="630"/>
  <c r="AT106" i="630"/>
  <c r="AU106" i="630"/>
  <c r="AV106" i="630"/>
  <c r="AW106" i="630"/>
  <c r="AX106" i="630"/>
  <c r="AY106" i="630"/>
  <c r="AZ106" i="630"/>
  <c r="BA106" i="630"/>
  <c r="BB106" i="630"/>
  <c r="BC106" i="630"/>
  <c r="BD106" i="630"/>
  <c r="BE106" i="630"/>
  <c r="BF106" i="630"/>
  <c r="BG106" i="630"/>
  <c r="AC107" i="630"/>
  <c r="AK107" i="630"/>
  <c r="O97" i="630" l="1"/>
  <c r="N97" i="630" s="1"/>
  <c r="BC107" i="630"/>
  <c r="AU107" i="630"/>
  <c r="AM107" i="630"/>
  <c r="AE107" i="630"/>
  <c r="W107" i="630"/>
  <c r="M77" i="630"/>
  <c r="M107" i="630" s="1"/>
  <c r="M43" i="630"/>
  <c r="M64" i="630" s="1"/>
  <c r="J107" i="630"/>
  <c r="Q97" i="630"/>
  <c r="Q73" i="630"/>
  <c r="Q77" i="630" s="1"/>
  <c r="Q107" i="630" s="1"/>
  <c r="BA64" i="630"/>
  <c r="AS64" i="630"/>
  <c r="AK64" i="630"/>
  <c r="AC64" i="630"/>
  <c r="U64" i="630"/>
  <c r="Q5" i="630"/>
  <c r="BB107" i="630"/>
  <c r="AT107" i="630"/>
  <c r="AL107" i="630"/>
  <c r="AD107" i="630"/>
  <c r="V107" i="630"/>
  <c r="BB64" i="630"/>
  <c r="AT64" i="630"/>
  <c r="AL64" i="630"/>
  <c r="AD64" i="630"/>
  <c r="V64" i="630"/>
  <c r="AZ64" i="630"/>
  <c r="AR64" i="630"/>
  <c r="AJ64" i="630"/>
  <c r="AB64" i="630"/>
  <c r="S64" i="630"/>
  <c r="BG64" i="630"/>
  <c r="AY64" i="630"/>
  <c r="AQ64" i="630"/>
  <c r="AI64" i="630"/>
  <c r="AA64" i="630"/>
  <c r="T64" i="630"/>
  <c r="Q7" i="630"/>
  <c r="AZ107" i="630"/>
  <c r="AJ107" i="630"/>
  <c r="AB107" i="630"/>
  <c r="T107" i="630"/>
  <c r="BF64" i="630"/>
  <c r="AX64" i="630"/>
  <c r="AP64" i="630"/>
  <c r="AH64" i="630"/>
  <c r="Z64" i="630"/>
  <c r="AR107" i="630"/>
  <c r="BE107" i="630"/>
  <c r="AW107" i="630"/>
  <c r="AO107" i="630"/>
  <c r="AG107" i="630"/>
  <c r="Y107" i="630"/>
  <c r="BG107" i="630"/>
  <c r="AY107" i="630"/>
  <c r="AQ107" i="630"/>
  <c r="AI107" i="630"/>
  <c r="AA107" i="630"/>
  <c r="S107" i="630"/>
  <c r="J64" i="630"/>
  <c r="Q9" i="630"/>
  <c r="N39" i="632"/>
  <c r="O60" i="632"/>
  <c r="N60" i="632" s="1"/>
  <c r="N73" i="632"/>
  <c r="O103" i="632"/>
  <c r="N103" i="632" s="1"/>
  <c r="O64" i="631"/>
  <c r="N64" i="631" s="1"/>
  <c r="N43" i="631"/>
  <c r="O107" i="631"/>
  <c r="N107" i="631" s="1"/>
  <c r="N77" i="631"/>
  <c r="Q43" i="630"/>
  <c r="Q64" i="630" s="1"/>
  <c r="O63" i="630"/>
  <c r="N63" i="630" s="1"/>
  <c r="O106" i="630"/>
  <c r="N106" i="630" s="1"/>
  <c r="P77" i="630"/>
  <c r="P107" i="630" s="1"/>
  <c r="O77" i="630"/>
  <c r="O43" i="630"/>
  <c r="O5" i="629"/>
  <c r="K6" i="629"/>
  <c r="L6" i="629"/>
  <c r="Q5" i="629" s="1"/>
  <c r="M6" i="629"/>
  <c r="P6" i="629"/>
  <c r="O7" i="629"/>
  <c r="K8" i="629"/>
  <c r="L8" i="629"/>
  <c r="M8" i="629"/>
  <c r="O8" i="629"/>
  <c r="N7" i="629" s="1"/>
  <c r="P8" i="629"/>
  <c r="O9" i="629"/>
  <c r="K10" i="629"/>
  <c r="K45" i="629" s="1"/>
  <c r="K66" i="629" s="1"/>
  <c r="L10" i="629"/>
  <c r="Q9" i="629" s="1"/>
  <c r="M10" i="629"/>
  <c r="P10" i="629"/>
  <c r="O11" i="629"/>
  <c r="K12" i="629"/>
  <c r="L12" i="629"/>
  <c r="Q11" i="629" s="1"/>
  <c r="M12" i="629"/>
  <c r="P12" i="629"/>
  <c r="O13" i="629"/>
  <c r="K14" i="629"/>
  <c r="L14" i="629"/>
  <c r="Q13" i="629" s="1"/>
  <c r="M14" i="629"/>
  <c r="P14" i="629"/>
  <c r="O15" i="629"/>
  <c r="K16" i="629"/>
  <c r="L16" i="629"/>
  <c r="M16" i="629"/>
  <c r="O16" i="629"/>
  <c r="N15" i="629" s="1"/>
  <c r="P16" i="629"/>
  <c r="O17" i="629"/>
  <c r="K18" i="629"/>
  <c r="L18" i="629"/>
  <c r="Q17" i="629" s="1"/>
  <c r="M18" i="629"/>
  <c r="P18" i="629"/>
  <c r="O19" i="629"/>
  <c r="K20" i="629"/>
  <c r="L20" i="629"/>
  <c r="Q19" i="629" s="1"/>
  <c r="M20" i="629"/>
  <c r="P20" i="629"/>
  <c r="O21" i="629"/>
  <c r="K22" i="629"/>
  <c r="L22" i="629"/>
  <c r="Q21" i="629" s="1"/>
  <c r="M22" i="629"/>
  <c r="P22" i="629"/>
  <c r="O23" i="629"/>
  <c r="K24" i="629"/>
  <c r="L24" i="629"/>
  <c r="M24" i="629"/>
  <c r="O24" i="629"/>
  <c r="N23" i="629" s="1"/>
  <c r="P24" i="629"/>
  <c r="O25" i="629"/>
  <c r="K26" i="629"/>
  <c r="L26" i="629"/>
  <c r="Q25" i="629" s="1"/>
  <c r="M26" i="629"/>
  <c r="P26" i="629"/>
  <c r="O27" i="629"/>
  <c r="K28" i="629"/>
  <c r="L28" i="629"/>
  <c r="Q27" i="629" s="1"/>
  <c r="M28" i="629"/>
  <c r="P28" i="629"/>
  <c r="O29" i="629"/>
  <c r="K30" i="629"/>
  <c r="L30" i="629"/>
  <c r="Q29" i="629" s="1"/>
  <c r="M30" i="629"/>
  <c r="P30" i="629"/>
  <c r="O31" i="629"/>
  <c r="K32" i="629"/>
  <c r="L32" i="629"/>
  <c r="M32" i="629"/>
  <c r="O32" i="629"/>
  <c r="N31" i="629" s="1"/>
  <c r="P32" i="629"/>
  <c r="O33" i="629"/>
  <c r="K34" i="629"/>
  <c r="L34" i="629"/>
  <c r="Q33" i="629" s="1"/>
  <c r="M34" i="629"/>
  <c r="P34" i="629"/>
  <c r="O35" i="629"/>
  <c r="K36" i="629"/>
  <c r="L36" i="629"/>
  <c r="Q35" i="629" s="1"/>
  <c r="M36" i="629"/>
  <c r="P36" i="629"/>
  <c r="O37" i="629"/>
  <c r="K38" i="629"/>
  <c r="L38" i="629"/>
  <c r="Q37" i="629" s="1"/>
  <c r="M38" i="629"/>
  <c r="P38" i="629"/>
  <c r="O39" i="629"/>
  <c r="K40" i="629"/>
  <c r="L40" i="629"/>
  <c r="M40" i="629"/>
  <c r="O40" i="629"/>
  <c r="N39" i="629" s="1"/>
  <c r="P40" i="629"/>
  <c r="O41" i="629"/>
  <c r="K42" i="629"/>
  <c r="L42" i="629"/>
  <c r="Q41" i="629" s="1"/>
  <c r="M42" i="629"/>
  <c r="P42" i="629"/>
  <c r="O43" i="629"/>
  <c r="K44" i="629"/>
  <c r="L44" i="629"/>
  <c r="Q43" i="629" s="1"/>
  <c r="M44" i="629"/>
  <c r="P44" i="629"/>
  <c r="J45" i="629"/>
  <c r="L45" i="629"/>
  <c r="L66" i="629" s="1"/>
  <c r="M45" i="629"/>
  <c r="M66" i="629" s="1"/>
  <c r="S45" i="629"/>
  <c r="T45" i="629"/>
  <c r="U45" i="629"/>
  <c r="V45" i="629"/>
  <c r="W45" i="629"/>
  <c r="X45" i="629"/>
  <c r="Y45" i="629"/>
  <c r="Z45" i="629"/>
  <c r="AA45" i="629"/>
  <c r="AB45" i="629"/>
  <c r="AC45" i="629"/>
  <c r="AD45" i="629"/>
  <c r="AE45" i="629"/>
  <c r="AF45" i="629"/>
  <c r="AG45" i="629"/>
  <c r="AH45" i="629"/>
  <c r="AI45" i="629"/>
  <c r="AJ45" i="629"/>
  <c r="AK45" i="629"/>
  <c r="AL45" i="629"/>
  <c r="AM45" i="629"/>
  <c r="AN45" i="629"/>
  <c r="AO45" i="629"/>
  <c r="AP45" i="629"/>
  <c r="AQ45" i="629"/>
  <c r="AR45" i="629"/>
  <c r="AS45" i="629"/>
  <c r="AT45" i="629"/>
  <c r="AU45" i="629"/>
  <c r="AV45" i="629"/>
  <c r="AW45" i="629"/>
  <c r="AX45" i="629"/>
  <c r="AY45" i="629"/>
  <c r="AZ45" i="629"/>
  <c r="BA45" i="629"/>
  <c r="BB45" i="629"/>
  <c r="BC45" i="629"/>
  <c r="BD45" i="629"/>
  <c r="BE45" i="629"/>
  <c r="BF45" i="629"/>
  <c r="BG45" i="629"/>
  <c r="J52" i="629"/>
  <c r="K52" i="629"/>
  <c r="L52" i="629"/>
  <c r="M52" i="629"/>
  <c r="O52" i="629"/>
  <c r="N52" i="629" s="1"/>
  <c r="P52" i="629"/>
  <c r="Q52" i="629"/>
  <c r="S52" i="629"/>
  <c r="T52" i="629"/>
  <c r="U52" i="629"/>
  <c r="V52" i="629"/>
  <c r="W52" i="629"/>
  <c r="X52" i="629"/>
  <c r="Y52" i="629"/>
  <c r="Z52" i="629"/>
  <c r="AA52" i="629"/>
  <c r="AB52" i="629"/>
  <c r="AC52" i="629"/>
  <c r="AD52" i="629"/>
  <c r="AE52" i="629"/>
  <c r="AF52" i="629"/>
  <c r="AG52" i="629"/>
  <c r="AH52" i="629"/>
  <c r="AI52" i="629"/>
  <c r="AJ52" i="629"/>
  <c r="AK52" i="629"/>
  <c r="AL52" i="629"/>
  <c r="AM52" i="629"/>
  <c r="AN52" i="629"/>
  <c r="AO52" i="629"/>
  <c r="AP52" i="629"/>
  <c r="AQ52" i="629"/>
  <c r="AR52" i="629"/>
  <c r="AS52" i="629"/>
  <c r="AT52" i="629"/>
  <c r="AU52" i="629"/>
  <c r="AV52" i="629"/>
  <c r="AW52" i="629"/>
  <c r="AX52" i="629"/>
  <c r="AY52" i="629"/>
  <c r="AZ52" i="629"/>
  <c r="BA52" i="629"/>
  <c r="BB52" i="629"/>
  <c r="BC52" i="629"/>
  <c r="BD52" i="629"/>
  <c r="BE52" i="629"/>
  <c r="BF52" i="629"/>
  <c r="BG52" i="629"/>
  <c r="N55" i="629"/>
  <c r="O55" i="629"/>
  <c r="Q55" i="629"/>
  <c r="O56" i="629"/>
  <c r="N57" i="629"/>
  <c r="O57" i="629"/>
  <c r="Q57" i="629"/>
  <c r="O58" i="629"/>
  <c r="N59" i="629"/>
  <c r="O59" i="629"/>
  <c r="Q59" i="629"/>
  <c r="O60" i="629"/>
  <c r="N61" i="629"/>
  <c r="O61" i="629"/>
  <c r="Q61" i="629"/>
  <c r="O62" i="629"/>
  <c r="N63" i="629"/>
  <c r="J65" i="629"/>
  <c r="J66" i="629" s="1"/>
  <c r="K65" i="629"/>
  <c r="L65" i="629"/>
  <c r="M65" i="629"/>
  <c r="P65" i="629"/>
  <c r="Q65" i="629"/>
  <c r="S65" i="629"/>
  <c r="T65" i="629"/>
  <c r="U65" i="629"/>
  <c r="U66" i="629" s="1"/>
  <c r="V65" i="629"/>
  <c r="V66" i="629" s="1"/>
  <c r="W65" i="629"/>
  <c r="X65" i="629"/>
  <c r="Y65" i="629"/>
  <c r="Z65" i="629"/>
  <c r="AA65" i="629"/>
  <c r="AB65" i="629"/>
  <c r="AC65" i="629"/>
  <c r="AD65" i="629"/>
  <c r="AE65" i="629"/>
  <c r="AF65" i="629"/>
  <c r="AG65" i="629"/>
  <c r="AH65" i="629"/>
  <c r="AI65" i="629"/>
  <c r="AJ65" i="629"/>
  <c r="AK65" i="629"/>
  <c r="AL65" i="629"/>
  <c r="AL66" i="629" s="1"/>
  <c r="AM65" i="629"/>
  <c r="AN65" i="629"/>
  <c r="AO65" i="629"/>
  <c r="AP65" i="629"/>
  <c r="AQ65" i="629"/>
  <c r="AR65" i="629"/>
  <c r="AS65" i="629"/>
  <c r="AS66" i="629" s="1"/>
  <c r="AT65" i="629"/>
  <c r="AU65" i="629"/>
  <c r="AV65" i="629"/>
  <c r="AW65" i="629"/>
  <c r="AX65" i="629"/>
  <c r="AY65" i="629"/>
  <c r="AZ65" i="629"/>
  <c r="BA65" i="629"/>
  <c r="BA66" i="629" s="1"/>
  <c r="BB65" i="629"/>
  <c r="BB66" i="629" s="1"/>
  <c r="BC65" i="629"/>
  <c r="BD65" i="629"/>
  <c r="BE65" i="629"/>
  <c r="BF65" i="629"/>
  <c r="BG65" i="629"/>
  <c r="AC66" i="629"/>
  <c r="AD66" i="629"/>
  <c r="AK66" i="629"/>
  <c r="AT66" i="629"/>
  <c r="N71" i="629"/>
  <c r="O71" i="629"/>
  <c r="Q71" i="629"/>
  <c r="O72" i="629"/>
  <c r="O73" i="629"/>
  <c r="K74" i="629"/>
  <c r="L74" i="629"/>
  <c r="M74" i="629"/>
  <c r="O74" i="629"/>
  <c r="N73" i="629" s="1"/>
  <c r="P74" i="629"/>
  <c r="P79" i="629" s="1"/>
  <c r="P109" i="629" s="1"/>
  <c r="O75" i="629"/>
  <c r="K76" i="629"/>
  <c r="L76" i="629"/>
  <c r="M76" i="629"/>
  <c r="O76" i="629" s="1"/>
  <c r="N75" i="629" s="1"/>
  <c r="P76" i="629"/>
  <c r="J79" i="629"/>
  <c r="K79" i="629"/>
  <c r="L79" i="629"/>
  <c r="S79" i="629"/>
  <c r="T79" i="629"/>
  <c r="U79" i="629"/>
  <c r="V79" i="629"/>
  <c r="W79" i="629"/>
  <c r="X79" i="629"/>
  <c r="Y79" i="629"/>
  <c r="Z79" i="629"/>
  <c r="AA79" i="629"/>
  <c r="AB79" i="629"/>
  <c r="AC79" i="629"/>
  <c r="AD79" i="629"/>
  <c r="AE79" i="629"/>
  <c r="AF79" i="629"/>
  <c r="AG79" i="629"/>
  <c r="AH79" i="629"/>
  <c r="AI79" i="629"/>
  <c r="AJ79" i="629"/>
  <c r="AK79" i="629"/>
  <c r="AL79" i="629"/>
  <c r="AM79" i="629"/>
  <c r="AN79" i="629"/>
  <c r="AO79" i="629"/>
  <c r="AP79" i="629"/>
  <c r="AQ79" i="629"/>
  <c r="AR79" i="629"/>
  <c r="AS79" i="629"/>
  <c r="AT79" i="629"/>
  <c r="AU79" i="629"/>
  <c r="AV79" i="629"/>
  <c r="AW79" i="629"/>
  <c r="AX79" i="629"/>
  <c r="AY79" i="629"/>
  <c r="AZ79" i="629"/>
  <c r="BA79" i="629"/>
  <c r="BB79" i="629"/>
  <c r="BC79" i="629"/>
  <c r="BD79" i="629"/>
  <c r="BE79" i="629"/>
  <c r="BF79" i="629"/>
  <c r="BG79" i="629"/>
  <c r="N88" i="629"/>
  <c r="Q88" i="629"/>
  <c r="J90" i="629"/>
  <c r="K90" i="629"/>
  <c r="L90" i="629"/>
  <c r="M90" i="629"/>
  <c r="O90" i="629"/>
  <c r="P90" i="629"/>
  <c r="Q90" i="629"/>
  <c r="S90" i="629"/>
  <c r="T90" i="629"/>
  <c r="U90" i="629"/>
  <c r="V90" i="629"/>
  <c r="V109" i="629" s="1"/>
  <c r="W90" i="629"/>
  <c r="X90" i="629"/>
  <c r="Y90" i="629"/>
  <c r="Z90" i="629"/>
  <c r="AA90" i="629"/>
  <c r="AB90" i="629"/>
  <c r="AC90" i="629"/>
  <c r="AD90" i="629"/>
  <c r="AD109" i="629" s="1"/>
  <c r="AE90" i="629"/>
  <c r="AF90" i="629"/>
  <c r="AG90" i="629"/>
  <c r="AH90" i="629"/>
  <c r="AI90" i="629"/>
  <c r="AJ90" i="629"/>
  <c r="AK90" i="629"/>
  <c r="AL90" i="629"/>
  <c r="AL109" i="629" s="1"/>
  <c r="AM90" i="629"/>
  <c r="AM109" i="629" s="1"/>
  <c r="AN90" i="629"/>
  <c r="AO90" i="629"/>
  <c r="AP90" i="629"/>
  <c r="AQ90" i="629"/>
  <c r="AR90" i="629"/>
  <c r="AS90" i="629"/>
  <c r="AT90" i="629"/>
  <c r="AT109" i="629" s="1"/>
  <c r="AU90" i="629"/>
  <c r="AU109" i="629" s="1"/>
  <c r="AV90" i="629"/>
  <c r="AW90" i="629"/>
  <c r="AX90" i="629"/>
  <c r="AY90" i="629"/>
  <c r="AZ90" i="629"/>
  <c r="BA90" i="629"/>
  <c r="BB90" i="629"/>
  <c r="BB109" i="629" s="1"/>
  <c r="BC90" i="629"/>
  <c r="BC109" i="629" s="1"/>
  <c r="BD90" i="629"/>
  <c r="BE90" i="629"/>
  <c r="BF90" i="629"/>
  <c r="BG90" i="629"/>
  <c r="O95" i="629"/>
  <c r="Q95" i="629"/>
  <c r="Q99" i="629" s="1"/>
  <c r="O96" i="629"/>
  <c r="N95" i="629" s="1"/>
  <c r="N97" i="629"/>
  <c r="O97" i="629"/>
  <c r="Q97" i="629"/>
  <c r="O98" i="629"/>
  <c r="J99" i="629"/>
  <c r="K99" i="629"/>
  <c r="L99" i="629"/>
  <c r="M99" i="629"/>
  <c r="P99" i="629"/>
  <c r="S99" i="629"/>
  <c r="T99" i="629"/>
  <c r="U99" i="629"/>
  <c r="V99" i="629"/>
  <c r="W99" i="629"/>
  <c r="X99" i="629"/>
  <c r="Y99" i="629"/>
  <c r="Z99" i="629"/>
  <c r="AA99" i="629"/>
  <c r="AB99" i="629"/>
  <c r="AC99" i="629"/>
  <c r="AD99" i="629"/>
  <c r="AE99" i="629"/>
  <c r="AF99" i="629"/>
  <c r="AG99" i="629"/>
  <c r="AH99" i="629"/>
  <c r="AI99" i="629"/>
  <c r="AJ99" i="629"/>
  <c r="AK99" i="629"/>
  <c r="AL99" i="629"/>
  <c r="AM99" i="629"/>
  <c r="AN99" i="629"/>
  <c r="AO99" i="629"/>
  <c r="AP99" i="629"/>
  <c r="AQ99" i="629"/>
  <c r="AR99" i="629"/>
  <c r="AS99" i="629"/>
  <c r="AT99" i="629"/>
  <c r="AU99" i="629"/>
  <c r="AV99" i="629"/>
  <c r="AW99" i="629"/>
  <c r="AX99" i="629"/>
  <c r="AY99" i="629"/>
  <c r="AZ99" i="629"/>
  <c r="BA99" i="629"/>
  <c r="BB99" i="629"/>
  <c r="BC99" i="629"/>
  <c r="BD99" i="629"/>
  <c r="BE99" i="629"/>
  <c r="BF99" i="629"/>
  <c r="BG99" i="629"/>
  <c r="O102" i="629"/>
  <c r="Q102" i="629"/>
  <c r="O103" i="629"/>
  <c r="N102" i="629" s="1"/>
  <c r="N104" i="629"/>
  <c r="O104" i="629"/>
  <c r="Q104" i="629"/>
  <c r="Q108" i="629" s="1"/>
  <c r="O105" i="629"/>
  <c r="O106" i="629"/>
  <c r="Q106" i="629"/>
  <c r="O107" i="629"/>
  <c r="N106" i="629" s="1"/>
  <c r="J108" i="629"/>
  <c r="K108" i="629"/>
  <c r="L108" i="629"/>
  <c r="M108" i="629"/>
  <c r="P108" i="629"/>
  <c r="S108" i="629"/>
  <c r="T108" i="629"/>
  <c r="U108" i="629"/>
  <c r="V108" i="629"/>
  <c r="W108" i="629"/>
  <c r="X108" i="629"/>
  <c r="Y108" i="629"/>
  <c r="Z108" i="629"/>
  <c r="Z109" i="629" s="1"/>
  <c r="AA108" i="629"/>
  <c r="AB108" i="629"/>
  <c r="AC108" i="629"/>
  <c r="AD108" i="629"/>
  <c r="AE108" i="629"/>
  <c r="AF108" i="629"/>
  <c r="AG108" i="629"/>
  <c r="AH108" i="629"/>
  <c r="AH109" i="629" s="1"/>
  <c r="AI108" i="629"/>
  <c r="AJ108" i="629"/>
  <c r="AK108" i="629"/>
  <c r="AL108" i="629"/>
  <c r="AM108" i="629"/>
  <c r="AN108" i="629"/>
  <c r="AO108" i="629"/>
  <c r="AP108" i="629"/>
  <c r="AP109" i="629" s="1"/>
  <c r="AQ108" i="629"/>
  <c r="AR108" i="629"/>
  <c r="AS108" i="629"/>
  <c r="AT108" i="629"/>
  <c r="AU108" i="629"/>
  <c r="AV108" i="629"/>
  <c r="AW108" i="629"/>
  <c r="AX108" i="629"/>
  <c r="AX109" i="629" s="1"/>
  <c r="AY108" i="629"/>
  <c r="AZ108" i="629"/>
  <c r="BA108" i="629"/>
  <c r="BB108" i="629"/>
  <c r="BC108" i="629"/>
  <c r="BD108" i="629"/>
  <c r="BE108" i="629"/>
  <c r="BF108" i="629"/>
  <c r="BF109" i="629" s="1"/>
  <c r="BG108" i="629"/>
  <c r="W109" i="629"/>
  <c r="AE109" i="629"/>
  <c r="O99" i="629" l="1"/>
  <c r="N99" i="629" s="1"/>
  <c r="BA109" i="629"/>
  <c r="AS109" i="629"/>
  <c r="AK109" i="629"/>
  <c r="AC109" i="629"/>
  <c r="U109" i="629"/>
  <c r="K109" i="629"/>
  <c r="J109" i="629"/>
  <c r="BD66" i="629"/>
  <c r="AV66" i="629"/>
  <c r="AN66" i="629"/>
  <c r="AF66" i="629"/>
  <c r="X66" i="629"/>
  <c r="AZ109" i="629"/>
  <c r="AR109" i="629"/>
  <c r="AJ109" i="629"/>
  <c r="AB109" i="629"/>
  <c r="T109" i="629"/>
  <c r="M79" i="629"/>
  <c r="M109" i="629" s="1"/>
  <c r="BC66" i="629"/>
  <c r="AU66" i="629"/>
  <c r="AM66" i="629"/>
  <c r="AE66" i="629"/>
  <c r="W66" i="629"/>
  <c r="O42" i="629"/>
  <c r="N41" i="629" s="1"/>
  <c r="Q39" i="629"/>
  <c r="O34" i="629"/>
  <c r="N33" i="629" s="1"/>
  <c r="Q31" i="629"/>
  <c r="O26" i="629"/>
  <c r="N25" i="629" s="1"/>
  <c r="Q23" i="629"/>
  <c r="O18" i="629"/>
  <c r="N17" i="629" s="1"/>
  <c r="Q15" i="629"/>
  <c r="Q45" i="629" s="1"/>
  <c r="Q66" i="629" s="1"/>
  <c r="O10" i="629"/>
  <c r="N9" i="629" s="1"/>
  <c r="Q7" i="629"/>
  <c r="L109" i="629"/>
  <c r="AV109" i="629"/>
  <c r="AN109" i="629"/>
  <c r="AF109" i="629"/>
  <c r="BE66" i="629"/>
  <c r="Y66" i="629"/>
  <c r="Q73" i="629"/>
  <c r="BD109" i="629"/>
  <c r="X109" i="629"/>
  <c r="AO66" i="629"/>
  <c r="O108" i="629"/>
  <c r="N108" i="629" s="1"/>
  <c r="O65" i="629"/>
  <c r="N65" i="629" s="1"/>
  <c r="O44" i="629"/>
  <c r="N43" i="629" s="1"/>
  <c r="O36" i="629"/>
  <c r="N35" i="629" s="1"/>
  <c r="O28" i="629"/>
  <c r="N27" i="629" s="1"/>
  <c r="O20" i="629"/>
  <c r="N19" i="629" s="1"/>
  <c r="O12" i="629"/>
  <c r="N11" i="629" s="1"/>
  <c r="AW66" i="629"/>
  <c r="BG109" i="629"/>
  <c r="AY109" i="629"/>
  <c r="AQ109" i="629"/>
  <c r="AI109" i="629"/>
  <c r="AA109" i="629"/>
  <c r="S109" i="629"/>
  <c r="Q75" i="629"/>
  <c r="AZ66" i="629"/>
  <c r="AR66" i="629"/>
  <c r="AJ66" i="629"/>
  <c r="AB66" i="629"/>
  <c r="T66" i="629"/>
  <c r="P45" i="629"/>
  <c r="P66" i="629" s="1"/>
  <c r="AG66" i="629"/>
  <c r="N90" i="629"/>
  <c r="BG66" i="629"/>
  <c r="AY66" i="629"/>
  <c r="AQ66" i="629"/>
  <c r="AI66" i="629"/>
  <c r="AA66" i="629"/>
  <c r="S66" i="629"/>
  <c r="O38" i="629"/>
  <c r="N37" i="629" s="1"/>
  <c r="O30" i="629"/>
  <c r="N29" i="629" s="1"/>
  <c r="O22" i="629"/>
  <c r="N21" i="629" s="1"/>
  <c r="O14" i="629"/>
  <c r="N13" i="629" s="1"/>
  <c r="O6" i="629"/>
  <c r="N5" i="629" s="1"/>
  <c r="BE109" i="629"/>
  <c r="AW109" i="629"/>
  <c r="AO109" i="629"/>
  <c r="AG109" i="629"/>
  <c r="Y109" i="629"/>
  <c r="BF66" i="629"/>
  <c r="AX66" i="629"/>
  <c r="AP66" i="629"/>
  <c r="AH66" i="629"/>
  <c r="Z66" i="629"/>
  <c r="O64" i="630"/>
  <c r="N64" i="630" s="1"/>
  <c r="N43" i="630"/>
  <c r="O107" i="630"/>
  <c r="N107" i="630" s="1"/>
  <c r="N77" i="630"/>
  <c r="Q79" i="629"/>
  <c r="Q109" i="629" s="1"/>
  <c r="O79" i="629"/>
  <c r="O45" i="629"/>
  <c r="O5" i="628"/>
  <c r="K6" i="628"/>
  <c r="L6" i="628"/>
  <c r="M6" i="628"/>
  <c r="O6" i="628"/>
  <c r="N5" i="628" s="1"/>
  <c r="P6" i="628"/>
  <c r="O7" i="628"/>
  <c r="K8" i="628"/>
  <c r="L8" i="628"/>
  <c r="Q7" i="628" s="1"/>
  <c r="M8" i="628"/>
  <c r="P8" i="628"/>
  <c r="O9" i="628"/>
  <c r="K10" i="628"/>
  <c r="L10" i="628"/>
  <c r="Q9" i="628" s="1"/>
  <c r="M10" i="628"/>
  <c r="O10" i="628" s="1"/>
  <c r="N9" i="628" s="1"/>
  <c r="P10" i="628"/>
  <c r="O11" i="628"/>
  <c r="K12" i="628"/>
  <c r="L12" i="628"/>
  <c r="O12" i="628" s="1"/>
  <c r="N11" i="628" s="1"/>
  <c r="M12" i="628"/>
  <c r="P12" i="628"/>
  <c r="O13" i="628"/>
  <c r="K14" i="628"/>
  <c r="L14" i="628"/>
  <c r="M14" i="628"/>
  <c r="O14" i="628"/>
  <c r="N13" i="628" s="1"/>
  <c r="P14" i="628"/>
  <c r="O15" i="628"/>
  <c r="K16" i="628"/>
  <c r="L16" i="628"/>
  <c r="Q15" i="628" s="1"/>
  <c r="M16" i="628"/>
  <c r="P16" i="628"/>
  <c r="O17" i="628"/>
  <c r="K18" i="628"/>
  <c r="L18" i="628"/>
  <c r="Q17" i="628" s="1"/>
  <c r="M18" i="628"/>
  <c r="O18" i="628" s="1"/>
  <c r="N17" i="628" s="1"/>
  <c r="P18" i="628"/>
  <c r="O19" i="628"/>
  <c r="K20" i="628"/>
  <c r="L20" i="628"/>
  <c r="O20" i="628" s="1"/>
  <c r="N19" i="628" s="1"/>
  <c r="M20" i="628"/>
  <c r="P20" i="628"/>
  <c r="O21" i="628"/>
  <c r="K22" i="628"/>
  <c r="L22" i="628"/>
  <c r="M22" i="628"/>
  <c r="O22" i="628"/>
  <c r="N21" i="628" s="1"/>
  <c r="P22" i="628"/>
  <c r="O23" i="628"/>
  <c r="K24" i="628"/>
  <c r="L24" i="628"/>
  <c r="Q23" i="628" s="1"/>
  <c r="M24" i="628"/>
  <c r="P24" i="628"/>
  <c r="O25" i="628"/>
  <c r="K26" i="628"/>
  <c r="L26" i="628"/>
  <c r="Q25" i="628" s="1"/>
  <c r="M26" i="628"/>
  <c r="O26" i="628" s="1"/>
  <c r="N25" i="628" s="1"/>
  <c r="P26" i="628"/>
  <c r="O27" i="628"/>
  <c r="K28" i="628"/>
  <c r="L28" i="628"/>
  <c r="O28" i="628" s="1"/>
  <c r="N27" i="628" s="1"/>
  <c r="M28" i="628"/>
  <c r="P28" i="628"/>
  <c r="O29" i="628"/>
  <c r="K30" i="628"/>
  <c r="L30" i="628"/>
  <c r="M30" i="628"/>
  <c r="O30" i="628"/>
  <c r="N29" i="628" s="1"/>
  <c r="P30" i="628"/>
  <c r="O31" i="628"/>
  <c r="K32" i="628"/>
  <c r="L32" i="628"/>
  <c r="Q31" i="628" s="1"/>
  <c r="M32" i="628"/>
  <c r="P32" i="628"/>
  <c r="O33" i="628"/>
  <c r="K34" i="628"/>
  <c r="L34" i="628"/>
  <c r="Q33" i="628" s="1"/>
  <c r="M34" i="628"/>
  <c r="O34" i="628" s="1"/>
  <c r="N33" i="628" s="1"/>
  <c r="P34" i="628"/>
  <c r="O35" i="628"/>
  <c r="K36" i="628"/>
  <c r="L36" i="628"/>
  <c r="O36" i="628" s="1"/>
  <c r="N35" i="628" s="1"/>
  <c r="M36" i="628"/>
  <c r="P36" i="628"/>
  <c r="O37" i="628"/>
  <c r="K38" i="628"/>
  <c r="L38" i="628"/>
  <c r="M38" i="628"/>
  <c r="O38" i="628"/>
  <c r="N37" i="628" s="1"/>
  <c r="P38" i="628"/>
  <c r="O39" i="628"/>
  <c r="K40" i="628"/>
  <c r="L40" i="628"/>
  <c r="Q39" i="628" s="1"/>
  <c r="M40" i="628"/>
  <c r="P40" i="628"/>
  <c r="O41" i="628"/>
  <c r="K42" i="628"/>
  <c r="L42" i="628"/>
  <c r="Q41" i="628" s="1"/>
  <c r="M42" i="628"/>
  <c r="O42" i="628" s="1"/>
  <c r="N41" i="628" s="1"/>
  <c r="P42" i="628"/>
  <c r="O43" i="628"/>
  <c r="K44" i="628"/>
  <c r="L44" i="628"/>
  <c r="O44" i="628" s="1"/>
  <c r="N43" i="628" s="1"/>
  <c r="M44" i="628"/>
  <c r="P44" i="628"/>
  <c r="O45" i="628"/>
  <c r="K46" i="628"/>
  <c r="L46" i="628"/>
  <c r="M46" i="628"/>
  <c r="O46" i="628"/>
  <c r="N45" i="628" s="1"/>
  <c r="P46" i="628"/>
  <c r="J47" i="628"/>
  <c r="K47" i="628"/>
  <c r="K68" i="628" s="1"/>
  <c r="L47" i="628"/>
  <c r="S47" i="628"/>
  <c r="T47" i="628"/>
  <c r="U47" i="628"/>
  <c r="V47" i="628"/>
  <c r="W47" i="628"/>
  <c r="X47" i="628"/>
  <c r="Y47" i="628"/>
  <c r="Z47" i="628"/>
  <c r="AA47" i="628"/>
  <c r="AB47" i="628"/>
  <c r="AC47" i="628"/>
  <c r="AC68" i="628" s="1"/>
  <c r="AD47" i="628"/>
  <c r="AD68" i="628" s="1"/>
  <c r="AE47" i="628"/>
  <c r="AF47" i="628"/>
  <c r="AG47" i="628"/>
  <c r="AH47" i="628"/>
  <c r="AI47" i="628"/>
  <c r="AJ47" i="628"/>
  <c r="AK47" i="628"/>
  <c r="AL47" i="628"/>
  <c r="AL68" i="628" s="1"/>
  <c r="AM47" i="628"/>
  <c r="AN47" i="628"/>
  <c r="AO47" i="628"/>
  <c r="AP47" i="628"/>
  <c r="AQ47" i="628"/>
  <c r="AR47" i="628"/>
  <c r="AS47" i="628"/>
  <c r="AT47" i="628"/>
  <c r="AT68" i="628" s="1"/>
  <c r="AU47" i="628"/>
  <c r="AV47" i="628"/>
  <c r="AW47" i="628"/>
  <c r="AX47" i="628"/>
  <c r="AY47" i="628"/>
  <c r="AZ47" i="628"/>
  <c r="BA47" i="628"/>
  <c r="BA68" i="628" s="1"/>
  <c r="BB47" i="628"/>
  <c r="BC47" i="628"/>
  <c r="BD47" i="628"/>
  <c r="BE47" i="628"/>
  <c r="BF47" i="628"/>
  <c r="BG47" i="628"/>
  <c r="J54" i="628"/>
  <c r="K54" i="628"/>
  <c r="L54" i="628"/>
  <c r="L68" i="628" s="1"/>
  <c r="M54" i="628"/>
  <c r="O54" i="628"/>
  <c r="N54" i="628" s="1"/>
  <c r="P54" i="628"/>
  <c r="Q54" i="628"/>
  <c r="S54" i="628"/>
  <c r="T54" i="628"/>
  <c r="U54" i="628"/>
  <c r="V54" i="628"/>
  <c r="W54" i="628"/>
  <c r="X54" i="628"/>
  <c r="Y54" i="628"/>
  <c r="Z54" i="628"/>
  <c r="AA54" i="628"/>
  <c r="AB54" i="628"/>
  <c r="AC54" i="628"/>
  <c r="AD54" i="628"/>
  <c r="AE54" i="628"/>
  <c r="AF54" i="628"/>
  <c r="AG54" i="628"/>
  <c r="AH54" i="628"/>
  <c r="AI54" i="628"/>
  <c r="AJ54" i="628"/>
  <c r="AK54" i="628"/>
  <c r="AL54" i="628"/>
  <c r="AM54" i="628"/>
  <c r="AN54" i="628"/>
  <c r="AO54" i="628"/>
  <c r="AP54" i="628"/>
  <c r="AQ54" i="628"/>
  <c r="AR54" i="628"/>
  <c r="AS54" i="628"/>
  <c r="AT54" i="628"/>
  <c r="AU54" i="628"/>
  <c r="AV54" i="628"/>
  <c r="AW54" i="628"/>
  <c r="AX54" i="628"/>
  <c r="AY54" i="628"/>
  <c r="AZ54" i="628"/>
  <c r="BA54" i="628"/>
  <c r="BB54" i="628"/>
  <c r="BB68" i="628" s="1"/>
  <c r="BC54" i="628"/>
  <c r="BD54" i="628"/>
  <c r="BE54" i="628"/>
  <c r="BF54" i="628"/>
  <c r="BG54" i="628"/>
  <c r="O57" i="628"/>
  <c r="Q57" i="628"/>
  <c r="Q67" i="628" s="1"/>
  <c r="O58" i="628"/>
  <c r="N57" i="628" s="1"/>
  <c r="N59" i="628"/>
  <c r="O59" i="628"/>
  <c r="Q59" i="628"/>
  <c r="O60" i="628"/>
  <c r="O61" i="628"/>
  <c r="Q61" i="628"/>
  <c r="O62" i="628"/>
  <c r="N61" i="628" s="1"/>
  <c r="N63" i="628"/>
  <c r="O63" i="628"/>
  <c r="Q63" i="628"/>
  <c r="O64" i="628"/>
  <c r="N65" i="628"/>
  <c r="J67" i="628"/>
  <c r="J68" i="628" s="1"/>
  <c r="K67" i="628"/>
  <c r="L67" i="628"/>
  <c r="M67" i="628"/>
  <c r="P67" i="628"/>
  <c r="S67" i="628"/>
  <c r="S68" i="628" s="1"/>
  <c r="T67" i="628"/>
  <c r="U67" i="628"/>
  <c r="V67" i="628"/>
  <c r="W67" i="628"/>
  <c r="X67" i="628"/>
  <c r="Y67" i="628"/>
  <c r="Z67" i="628"/>
  <c r="AA67" i="628"/>
  <c r="AA68" i="628" s="1"/>
  <c r="AB67" i="628"/>
  <c r="AC67" i="628"/>
  <c r="AD67" i="628"/>
  <c r="AE67" i="628"/>
  <c r="AF67" i="628"/>
  <c r="AG67" i="628"/>
  <c r="AH67" i="628"/>
  <c r="AI67" i="628"/>
  <c r="AI68" i="628" s="1"/>
  <c r="AJ67" i="628"/>
  <c r="AK67" i="628"/>
  <c r="AL67" i="628"/>
  <c r="AM67" i="628"/>
  <c r="AN67" i="628"/>
  <c r="AO67" i="628"/>
  <c r="AP67" i="628"/>
  <c r="AQ67" i="628"/>
  <c r="AQ68" i="628" s="1"/>
  <c r="AR67" i="628"/>
  <c r="AS67" i="628"/>
  <c r="AT67" i="628"/>
  <c r="AU67" i="628"/>
  <c r="AV67" i="628"/>
  <c r="AW67" i="628"/>
  <c r="AX67" i="628"/>
  <c r="AY67" i="628"/>
  <c r="AY68" i="628" s="1"/>
  <c r="AZ67" i="628"/>
  <c r="BA67" i="628"/>
  <c r="BB67" i="628"/>
  <c r="BC67" i="628"/>
  <c r="BD67" i="628"/>
  <c r="BE67" i="628"/>
  <c r="BF67" i="628"/>
  <c r="BG67" i="628"/>
  <c r="BG68" i="628" s="1"/>
  <c r="T68" i="628"/>
  <c r="U68" i="628"/>
  <c r="V68" i="628"/>
  <c r="AB68" i="628"/>
  <c r="AJ68" i="628"/>
  <c r="AK68" i="628"/>
  <c r="AR68" i="628"/>
  <c r="AS68" i="628"/>
  <c r="AZ68" i="628"/>
  <c r="O73" i="628"/>
  <c r="Q73" i="628"/>
  <c r="O74" i="628"/>
  <c r="N73" i="628" s="1"/>
  <c r="O75" i="628"/>
  <c r="K76" i="628"/>
  <c r="L76" i="628"/>
  <c r="M76" i="628"/>
  <c r="O76" i="628"/>
  <c r="N75" i="628" s="1"/>
  <c r="P76" i="628"/>
  <c r="M77" i="628"/>
  <c r="O77" i="628" s="1"/>
  <c r="P77" i="628"/>
  <c r="K78" i="628"/>
  <c r="K81" i="628" s="1"/>
  <c r="L78" i="628"/>
  <c r="M78" i="628"/>
  <c r="P78" i="628"/>
  <c r="J81" i="628"/>
  <c r="M81" i="628"/>
  <c r="P81" i="628"/>
  <c r="S81" i="628"/>
  <c r="T81" i="628"/>
  <c r="U81" i="628"/>
  <c r="V81" i="628"/>
  <c r="W81" i="628"/>
  <c r="X81" i="628"/>
  <c r="Y81" i="628"/>
  <c r="Y111" i="628" s="1"/>
  <c r="Z81" i="628"/>
  <c r="AA81" i="628"/>
  <c r="AB81" i="628"/>
  <c r="AC81" i="628"/>
  <c r="AD81" i="628"/>
  <c r="AE81" i="628"/>
  <c r="AF81" i="628"/>
  <c r="AG81" i="628"/>
  <c r="AG111" i="628" s="1"/>
  <c r="AH81" i="628"/>
  <c r="AI81" i="628"/>
  <c r="AJ81" i="628"/>
  <c r="AK81" i="628"/>
  <c r="AL81" i="628"/>
  <c r="AM81" i="628"/>
  <c r="AN81" i="628"/>
  <c r="AO81" i="628"/>
  <c r="AO111" i="628" s="1"/>
  <c r="AP81" i="628"/>
  <c r="AQ81" i="628"/>
  <c r="AR81" i="628"/>
  <c r="AS81" i="628"/>
  <c r="AT81" i="628"/>
  <c r="AU81" i="628"/>
  <c r="AV81" i="628"/>
  <c r="AV111" i="628" s="1"/>
  <c r="AW81" i="628"/>
  <c r="AW111" i="628" s="1"/>
  <c r="AX81" i="628"/>
  <c r="AY81" i="628"/>
  <c r="AZ81" i="628"/>
  <c r="BA81" i="628"/>
  <c r="BB81" i="628"/>
  <c r="BC81" i="628"/>
  <c r="BD81" i="628"/>
  <c r="BE81" i="628"/>
  <c r="BF81" i="628"/>
  <c r="BG81" i="628"/>
  <c r="N90" i="628"/>
  <c r="Q90" i="628"/>
  <c r="J92" i="628"/>
  <c r="J111" i="628" s="1"/>
  <c r="K92" i="628"/>
  <c r="L92" i="628"/>
  <c r="M92" i="628"/>
  <c r="O92" i="628"/>
  <c r="N92" i="628" s="1"/>
  <c r="P92" i="628"/>
  <c r="Q92" i="628"/>
  <c r="S92" i="628"/>
  <c r="T92" i="628"/>
  <c r="T111" i="628" s="1"/>
  <c r="U92" i="628"/>
  <c r="U111" i="628" s="1"/>
  <c r="V92" i="628"/>
  <c r="W92" i="628"/>
  <c r="X92" i="628"/>
  <c r="X111" i="628" s="1"/>
  <c r="Y92" i="628"/>
  <c r="Z92" i="628"/>
  <c r="AA92" i="628"/>
  <c r="AB92" i="628"/>
  <c r="AB111" i="628" s="1"/>
  <c r="AC92" i="628"/>
  <c r="AC111" i="628" s="1"/>
  <c r="AD92" i="628"/>
  <c r="AE92" i="628"/>
  <c r="AF92" i="628"/>
  <c r="AF111" i="628" s="1"/>
  <c r="AG92" i="628"/>
  <c r="AH92" i="628"/>
  <c r="AI92" i="628"/>
  <c r="AJ92" i="628"/>
  <c r="AJ111" i="628" s="1"/>
  <c r="AK92" i="628"/>
  <c r="AL92" i="628"/>
  <c r="AM92" i="628"/>
  <c r="AN92" i="628"/>
  <c r="AO92" i="628"/>
  <c r="AP92" i="628"/>
  <c r="AQ92" i="628"/>
  <c r="AR92" i="628"/>
  <c r="AR111" i="628" s="1"/>
  <c r="AS92" i="628"/>
  <c r="AS111" i="628" s="1"/>
  <c r="AT92" i="628"/>
  <c r="AU92" i="628"/>
  <c r="AV92" i="628"/>
  <c r="AW92" i="628"/>
  <c r="AX92" i="628"/>
  <c r="AY92" i="628"/>
  <c r="AZ92" i="628"/>
  <c r="AZ111" i="628" s="1"/>
  <c r="BA92" i="628"/>
  <c r="BB92" i="628"/>
  <c r="BC92" i="628"/>
  <c r="BD92" i="628"/>
  <c r="BD111" i="628" s="1"/>
  <c r="BE92" i="628"/>
  <c r="BF92" i="628"/>
  <c r="BG92" i="628"/>
  <c r="O97" i="628"/>
  <c r="Q97" i="628"/>
  <c r="O98" i="628"/>
  <c r="N97" i="628" s="1"/>
  <c r="O99" i="628"/>
  <c r="Q99" i="628"/>
  <c r="O100" i="628"/>
  <c r="N99" i="628" s="1"/>
  <c r="J101" i="628"/>
  <c r="K101" i="628"/>
  <c r="L101" i="628"/>
  <c r="M101" i="628"/>
  <c r="P101" i="628"/>
  <c r="Q101" i="628"/>
  <c r="S101" i="628"/>
  <c r="T101" i="628"/>
  <c r="U101" i="628"/>
  <c r="V101" i="628"/>
  <c r="W101" i="628"/>
  <c r="X101" i="628"/>
  <c r="Y101" i="628"/>
  <c r="Z101" i="628"/>
  <c r="AA101" i="628"/>
  <c r="AB101" i="628"/>
  <c r="AC101" i="628"/>
  <c r="AD101" i="628"/>
  <c r="AE101" i="628"/>
  <c r="AF101" i="628"/>
  <c r="AG101" i="628"/>
  <c r="AH101" i="628"/>
  <c r="AI101" i="628"/>
  <c r="AJ101" i="628"/>
  <c r="AK101" i="628"/>
  <c r="AL101" i="628"/>
  <c r="AM101" i="628"/>
  <c r="AN101" i="628"/>
  <c r="AO101" i="628"/>
  <c r="AP101" i="628"/>
  <c r="AQ101" i="628"/>
  <c r="AR101" i="628"/>
  <c r="AS101" i="628"/>
  <c r="AT101" i="628"/>
  <c r="AU101" i="628"/>
  <c r="AV101" i="628"/>
  <c r="AW101" i="628"/>
  <c r="AX101" i="628"/>
  <c r="AY101" i="628"/>
  <c r="AZ101" i="628"/>
  <c r="BA101" i="628"/>
  <c r="BB101" i="628"/>
  <c r="BC101" i="628"/>
  <c r="BD101" i="628"/>
  <c r="BE101" i="628"/>
  <c r="BF101" i="628"/>
  <c r="BG101" i="628"/>
  <c r="O104" i="628"/>
  <c r="Q104" i="628"/>
  <c r="O105" i="628"/>
  <c r="N104" i="628" s="1"/>
  <c r="O106" i="628"/>
  <c r="Q106" i="628"/>
  <c r="Q110" i="628" s="1"/>
  <c r="O107" i="628"/>
  <c r="O110" i="628" s="1"/>
  <c r="N110" i="628" s="1"/>
  <c r="O108" i="628"/>
  <c r="Q108" i="628"/>
  <c r="O109" i="628"/>
  <c r="N108" i="628" s="1"/>
  <c r="J110" i="628"/>
  <c r="K110" i="628"/>
  <c r="L110" i="628"/>
  <c r="M110" i="628"/>
  <c r="P110" i="628"/>
  <c r="P111" i="628" s="1"/>
  <c r="S110" i="628"/>
  <c r="T110" i="628"/>
  <c r="U110" i="628"/>
  <c r="V110" i="628"/>
  <c r="W110" i="628"/>
  <c r="X110" i="628"/>
  <c r="Y110" i="628"/>
  <c r="Z110" i="628"/>
  <c r="AA110" i="628"/>
  <c r="AB110" i="628"/>
  <c r="AC110" i="628"/>
  <c r="AD110" i="628"/>
  <c r="AE110" i="628"/>
  <c r="AF110" i="628"/>
  <c r="AG110" i="628"/>
  <c r="AH110" i="628"/>
  <c r="AI110" i="628"/>
  <c r="AJ110" i="628"/>
  <c r="AK110" i="628"/>
  <c r="AL110" i="628"/>
  <c r="AM110" i="628"/>
  <c r="AN110" i="628"/>
  <c r="AO110" i="628"/>
  <c r="AP110" i="628"/>
  <c r="AQ110" i="628"/>
  <c r="AR110" i="628"/>
  <c r="AS110" i="628"/>
  <c r="AT110" i="628"/>
  <c r="AU110" i="628"/>
  <c r="AV110" i="628"/>
  <c r="AW110" i="628"/>
  <c r="AX110" i="628"/>
  <c r="AY110" i="628"/>
  <c r="AZ110" i="628"/>
  <c r="BA110" i="628"/>
  <c r="BB110" i="628"/>
  <c r="BC110" i="628"/>
  <c r="BD110" i="628"/>
  <c r="BE110" i="628"/>
  <c r="BF110" i="628"/>
  <c r="BG110" i="628"/>
  <c r="AK111" i="628"/>
  <c r="AN111" i="628"/>
  <c r="BA111" i="628"/>
  <c r="BE111" i="628"/>
  <c r="M111" i="628" l="1"/>
  <c r="O81" i="628"/>
  <c r="BC68" i="628"/>
  <c r="AU68" i="628"/>
  <c r="AM68" i="628"/>
  <c r="AE68" i="628"/>
  <c r="W68" i="628"/>
  <c r="BD68" i="628"/>
  <c r="AF68" i="628"/>
  <c r="AE111" i="628"/>
  <c r="P47" i="628"/>
  <c r="P68" i="628" s="1"/>
  <c r="AV68" i="628"/>
  <c r="X68" i="628"/>
  <c r="AT111" i="628"/>
  <c r="AL111" i="628"/>
  <c r="V111" i="628"/>
  <c r="O67" i="628"/>
  <c r="N67" i="628" s="1"/>
  <c r="Q43" i="628"/>
  <c r="Q35" i="628"/>
  <c r="Q27" i="628"/>
  <c r="Q19" i="628"/>
  <c r="Q11" i="628"/>
  <c r="BG111" i="628"/>
  <c r="AY111" i="628"/>
  <c r="AQ111" i="628"/>
  <c r="AI111" i="628"/>
  <c r="AA111" i="628"/>
  <c r="S111" i="628"/>
  <c r="O78" i="628"/>
  <c r="N77" i="628" s="1"/>
  <c r="Q75" i="628"/>
  <c r="BC111" i="628"/>
  <c r="AM111" i="628"/>
  <c r="BB111" i="628"/>
  <c r="AD111" i="628"/>
  <c r="K111" i="628"/>
  <c r="Q45" i="628"/>
  <c r="O40" i="628"/>
  <c r="N39" i="628" s="1"/>
  <c r="Q37" i="628"/>
  <c r="O32" i="628"/>
  <c r="N31" i="628" s="1"/>
  <c r="Q29" i="628"/>
  <c r="Q47" i="628" s="1"/>
  <c r="Q68" i="628" s="1"/>
  <c r="O24" i="628"/>
  <c r="N23" i="628" s="1"/>
  <c r="Q21" i="628"/>
  <c r="O16" i="628"/>
  <c r="N15" i="628" s="1"/>
  <c r="Q13" i="628"/>
  <c r="O8" i="628"/>
  <c r="N7" i="628" s="1"/>
  <c r="Q5" i="628"/>
  <c r="AN68" i="628"/>
  <c r="AU111" i="628"/>
  <c r="W111" i="628"/>
  <c r="BF68" i="628"/>
  <c r="AX68" i="628"/>
  <c r="AP68" i="628"/>
  <c r="AH68" i="628"/>
  <c r="Z68" i="628"/>
  <c r="M47" i="628"/>
  <c r="M68" i="628" s="1"/>
  <c r="BF111" i="628"/>
  <c r="AX111" i="628"/>
  <c r="AP111" i="628"/>
  <c r="AH111" i="628"/>
  <c r="Z111" i="628"/>
  <c r="BE68" i="628"/>
  <c r="AW68" i="628"/>
  <c r="AO68" i="628"/>
  <c r="AG68" i="628"/>
  <c r="Y68" i="628"/>
  <c r="O66" i="629"/>
  <c r="N66" i="629" s="1"/>
  <c r="N45" i="629"/>
  <c r="O109" i="629"/>
  <c r="N109" i="629" s="1"/>
  <c r="N79" i="629"/>
  <c r="L81" i="628"/>
  <c r="L111" i="628" s="1"/>
  <c r="Q77" i="628"/>
  <c r="Q81" i="628" s="1"/>
  <c r="Q111" i="628" s="1"/>
  <c r="O47" i="628"/>
  <c r="N106" i="628"/>
  <c r="O101" i="628"/>
  <c r="N101" i="628" s="1"/>
  <c r="O5" i="627"/>
  <c r="K6" i="627"/>
  <c r="L6" i="627"/>
  <c r="M6" i="627"/>
  <c r="O6" i="627"/>
  <c r="N5" i="627" s="1"/>
  <c r="P6" i="627"/>
  <c r="O7" i="627"/>
  <c r="K8" i="627"/>
  <c r="L8" i="627"/>
  <c r="M8" i="627"/>
  <c r="O8" i="627"/>
  <c r="N7" i="627" s="1"/>
  <c r="P8" i="627"/>
  <c r="O9" i="627"/>
  <c r="K10" i="627"/>
  <c r="L10" i="627"/>
  <c r="Q9" i="627" s="1"/>
  <c r="M10" i="627"/>
  <c r="P10" i="627"/>
  <c r="O11" i="627"/>
  <c r="K12" i="627"/>
  <c r="L12" i="627"/>
  <c r="Q11" i="627" s="1"/>
  <c r="M12" i="627"/>
  <c r="P12" i="627"/>
  <c r="O13" i="627"/>
  <c r="K14" i="627"/>
  <c r="L14" i="627"/>
  <c r="M14" i="627"/>
  <c r="O14" i="627"/>
  <c r="N13" i="627" s="1"/>
  <c r="P14" i="627"/>
  <c r="O15" i="627"/>
  <c r="K16" i="627"/>
  <c r="L16" i="627"/>
  <c r="M16" i="627"/>
  <c r="O16" i="627"/>
  <c r="N15" i="627" s="1"/>
  <c r="P16" i="627"/>
  <c r="O17" i="627"/>
  <c r="K18" i="627"/>
  <c r="K49" i="627" s="1"/>
  <c r="K70" i="627" s="1"/>
  <c r="L18" i="627"/>
  <c r="Q17" i="627" s="1"/>
  <c r="M18" i="627"/>
  <c r="P18" i="627"/>
  <c r="O19" i="627"/>
  <c r="K20" i="627"/>
  <c r="L20" i="627"/>
  <c r="Q19" i="627" s="1"/>
  <c r="M20" i="627"/>
  <c r="P20" i="627"/>
  <c r="O21" i="627"/>
  <c r="K22" i="627"/>
  <c r="L22" i="627"/>
  <c r="M22" i="627"/>
  <c r="O22" i="627"/>
  <c r="N21" i="627" s="1"/>
  <c r="P22" i="627"/>
  <c r="O23" i="627"/>
  <c r="K24" i="627"/>
  <c r="L24" i="627"/>
  <c r="M24" i="627"/>
  <c r="O24" i="627"/>
  <c r="N23" i="627" s="1"/>
  <c r="P24" i="627"/>
  <c r="O25" i="627"/>
  <c r="K26" i="627"/>
  <c r="L26" i="627"/>
  <c r="Q25" i="627" s="1"/>
  <c r="M26" i="627"/>
  <c r="P26" i="627"/>
  <c r="O27" i="627"/>
  <c r="K28" i="627"/>
  <c r="L28" i="627"/>
  <c r="Q27" i="627" s="1"/>
  <c r="M28" i="627"/>
  <c r="P28" i="627"/>
  <c r="O29" i="627"/>
  <c r="Q29" i="627"/>
  <c r="K30" i="627"/>
  <c r="O30" i="627"/>
  <c r="N29" i="627" s="1"/>
  <c r="O31" i="627"/>
  <c r="Q31" i="627"/>
  <c r="K32" i="627"/>
  <c r="L32" i="627"/>
  <c r="O32" i="627" s="1"/>
  <c r="N31" i="627" s="1"/>
  <c r="M32" i="627"/>
  <c r="P32" i="627"/>
  <c r="O33" i="627"/>
  <c r="Q33" i="627"/>
  <c r="K34" i="627"/>
  <c r="L34" i="627"/>
  <c r="O34" i="627" s="1"/>
  <c r="N33" i="627" s="1"/>
  <c r="M34" i="627"/>
  <c r="P34" i="627"/>
  <c r="O35" i="627"/>
  <c r="Q35" i="627"/>
  <c r="K36" i="627"/>
  <c r="L36" i="627"/>
  <c r="O36" i="627" s="1"/>
  <c r="N35" i="627" s="1"/>
  <c r="M36" i="627"/>
  <c r="P36" i="627"/>
  <c r="O37" i="627"/>
  <c r="Q37" i="627"/>
  <c r="K38" i="627"/>
  <c r="L38" i="627"/>
  <c r="O38" i="627" s="1"/>
  <c r="N37" i="627" s="1"/>
  <c r="M38" i="627"/>
  <c r="P38" i="627"/>
  <c r="O39" i="627"/>
  <c r="Q39" i="627"/>
  <c r="K40" i="627"/>
  <c r="L40" i="627"/>
  <c r="O40" i="627" s="1"/>
  <c r="N39" i="627" s="1"/>
  <c r="M40" i="627"/>
  <c r="P40" i="627"/>
  <c r="O41" i="627"/>
  <c r="Q41" i="627"/>
  <c r="K42" i="627"/>
  <c r="L42" i="627"/>
  <c r="O42" i="627" s="1"/>
  <c r="N41" i="627" s="1"/>
  <c r="M42" i="627"/>
  <c r="P42" i="627"/>
  <c r="O43" i="627"/>
  <c r="Q43" i="627"/>
  <c r="K44" i="627"/>
  <c r="L44" i="627"/>
  <c r="O44" i="627" s="1"/>
  <c r="N43" i="627" s="1"/>
  <c r="M44" i="627"/>
  <c r="P44" i="627"/>
  <c r="O45" i="627"/>
  <c r="Q45" i="627"/>
  <c r="K46" i="627"/>
  <c r="L46" i="627"/>
  <c r="O46" i="627" s="1"/>
  <c r="N45" i="627" s="1"/>
  <c r="M46" i="627"/>
  <c r="P46" i="627"/>
  <c r="O47" i="627"/>
  <c r="Q47" i="627"/>
  <c r="K48" i="627"/>
  <c r="L48" i="627"/>
  <c r="O48" i="627" s="1"/>
  <c r="N47" i="627" s="1"/>
  <c r="M48" i="627"/>
  <c r="P48" i="627"/>
  <c r="J49" i="627"/>
  <c r="L49" i="627"/>
  <c r="M49" i="627"/>
  <c r="S49" i="627"/>
  <c r="T49" i="627"/>
  <c r="U49" i="627"/>
  <c r="V49" i="627"/>
  <c r="W49" i="627"/>
  <c r="X49" i="627"/>
  <c r="X70" i="627" s="1"/>
  <c r="Y49" i="627"/>
  <c r="Y70" i="627" s="1"/>
  <c r="Z49" i="627"/>
  <c r="AA49" i="627"/>
  <c r="AB49" i="627"/>
  <c r="AC49" i="627"/>
  <c r="AD49" i="627"/>
  <c r="AE49" i="627"/>
  <c r="AF49" i="627"/>
  <c r="AF70" i="627" s="1"/>
  <c r="AG49" i="627"/>
  <c r="AG70" i="627" s="1"/>
  <c r="AH49" i="627"/>
  <c r="AI49" i="627"/>
  <c r="AJ49" i="627"/>
  <c r="AK49" i="627"/>
  <c r="AL49" i="627"/>
  <c r="AM49" i="627"/>
  <c r="AN49" i="627"/>
  <c r="AO49" i="627"/>
  <c r="AP49" i="627"/>
  <c r="AQ49" i="627"/>
  <c r="AR49" i="627"/>
  <c r="AS49" i="627"/>
  <c r="AT49" i="627"/>
  <c r="AU49" i="627"/>
  <c r="AV49" i="627"/>
  <c r="AW49" i="627"/>
  <c r="AW70" i="627" s="1"/>
  <c r="AX49" i="627"/>
  <c r="AY49" i="627"/>
  <c r="AZ49" i="627"/>
  <c r="BA49" i="627"/>
  <c r="BB49" i="627"/>
  <c r="BC49" i="627"/>
  <c r="BD49" i="627"/>
  <c r="BD70" i="627" s="1"/>
  <c r="BE49" i="627"/>
  <c r="BE70" i="627" s="1"/>
  <c r="BF49" i="627"/>
  <c r="BG49" i="627"/>
  <c r="O50" i="627"/>
  <c r="K51" i="627"/>
  <c r="L51" i="627"/>
  <c r="M51" i="627"/>
  <c r="M56" i="627" s="1"/>
  <c r="P51" i="627"/>
  <c r="P56" i="627" s="1"/>
  <c r="J56" i="627"/>
  <c r="J70" i="627" s="1"/>
  <c r="K56" i="627"/>
  <c r="S56" i="627"/>
  <c r="T56" i="627"/>
  <c r="U56" i="627"/>
  <c r="V56" i="627"/>
  <c r="W56" i="627"/>
  <c r="W70" i="627" s="1"/>
  <c r="X56" i="627"/>
  <c r="Y56" i="627"/>
  <c r="Z56" i="627"/>
  <c r="AA56" i="627"/>
  <c r="AB56" i="627"/>
  <c r="AC56" i="627"/>
  <c r="AD56" i="627"/>
  <c r="AE56" i="627"/>
  <c r="AE70" i="627" s="1"/>
  <c r="AF56" i="627"/>
  <c r="AG56" i="627"/>
  <c r="AH56" i="627"/>
  <c r="AI56" i="627"/>
  <c r="AJ56" i="627"/>
  <c r="AK56" i="627"/>
  <c r="AL56" i="627"/>
  <c r="AM56" i="627"/>
  <c r="AM70" i="627" s="1"/>
  <c r="AN56" i="627"/>
  <c r="AN70" i="627" s="1"/>
  <c r="AO56" i="627"/>
  <c r="AP56" i="627"/>
  <c r="AQ56" i="627"/>
  <c r="AR56" i="627"/>
  <c r="AS56" i="627"/>
  <c r="AT56" i="627"/>
  <c r="AU56" i="627"/>
  <c r="AU70" i="627" s="1"/>
  <c r="AV56" i="627"/>
  <c r="AW56" i="627"/>
  <c r="AX56" i="627"/>
  <c r="AY56" i="627"/>
  <c r="AZ56" i="627"/>
  <c r="BA56" i="627"/>
  <c r="BB56" i="627"/>
  <c r="BC56" i="627"/>
  <c r="BC70" i="627" s="1"/>
  <c r="BD56" i="627"/>
  <c r="BE56" i="627"/>
  <c r="BF56" i="627"/>
  <c r="BG56" i="627"/>
  <c r="O59" i="627"/>
  <c r="Q59" i="627"/>
  <c r="O60" i="627"/>
  <c r="N59" i="627" s="1"/>
  <c r="O61" i="627"/>
  <c r="Q61" i="627"/>
  <c r="O62" i="627"/>
  <c r="N61" i="627" s="1"/>
  <c r="O63" i="627"/>
  <c r="Q63" i="627"/>
  <c r="O64" i="627"/>
  <c r="N63" i="627" s="1"/>
  <c r="O65" i="627"/>
  <c r="Q65" i="627"/>
  <c r="O66" i="627"/>
  <c r="N65" i="627" s="1"/>
  <c r="N67" i="627"/>
  <c r="J69" i="627"/>
  <c r="K69" i="627"/>
  <c r="L69" i="627"/>
  <c r="M69" i="627"/>
  <c r="P69" i="627"/>
  <c r="Q69" i="627"/>
  <c r="S69" i="627"/>
  <c r="T69" i="627"/>
  <c r="U69" i="627"/>
  <c r="V69" i="627"/>
  <c r="W69" i="627"/>
  <c r="X69" i="627"/>
  <c r="Y69" i="627"/>
  <c r="Z69" i="627"/>
  <c r="Z70" i="627" s="1"/>
  <c r="AA69" i="627"/>
  <c r="AB69" i="627"/>
  <c r="AC69" i="627"/>
  <c r="AD69" i="627"/>
  <c r="AE69" i="627"/>
  <c r="AF69" i="627"/>
  <c r="AG69" i="627"/>
  <c r="AH69" i="627"/>
  <c r="AH70" i="627" s="1"/>
  <c r="AI69" i="627"/>
  <c r="AJ69" i="627"/>
  <c r="AK69" i="627"/>
  <c r="AL69" i="627"/>
  <c r="AM69" i="627"/>
  <c r="AN69" i="627"/>
  <c r="AO69" i="627"/>
  <c r="AP69" i="627"/>
  <c r="AP70" i="627" s="1"/>
  <c r="AQ69" i="627"/>
  <c r="AR69" i="627"/>
  <c r="AS69" i="627"/>
  <c r="AT69" i="627"/>
  <c r="AU69" i="627"/>
  <c r="AV69" i="627"/>
  <c r="AW69" i="627"/>
  <c r="AX69" i="627"/>
  <c r="AX70" i="627" s="1"/>
  <c r="AY69" i="627"/>
  <c r="AZ69" i="627"/>
  <c r="BA69" i="627"/>
  <c r="BB69" i="627"/>
  <c r="BC69" i="627"/>
  <c r="BD69" i="627"/>
  <c r="BE69" i="627"/>
  <c r="BF69" i="627"/>
  <c r="BF70" i="627" s="1"/>
  <c r="BG69" i="627"/>
  <c r="AO70" i="627"/>
  <c r="AV70" i="627"/>
  <c r="O75" i="627"/>
  <c r="Q75" i="627"/>
  <c r="O76" i="627"/>
  <c r="N75" i="627" s="1"/>
  <c r="O77" i="627"/>
  <c r="K78" i="627"/>
  <c r="L78" i="627"/>
  <c r="Q77" i="627" s="1"/>
  <c r="M78" i="627"/>
  <c r="P78" i="627"/>
  <c r="M79" i="627"/>
  <c r="O79" i="627" s="1"/>
  <c r="P79" i="627"/>
  <c r="K80" i="627"/>
  <c r="K81" i="627" s="1"/>
  <c r="L80" i="627"/>
  <c r="O80" i="627" s="1"/>
  <c r="N79" i="627" s="1"/>
  <c r="M80" i="627"/>
  <c r="P80" i="627"/>
  <c r="J81" i="627"/>
  <c r="J111" i="627" s="1"/>
  <c r="L81" i="627"/>
  <c r="L111" i="627" s="1"/>
  <c r="S81" i="627"/>
  <c r="S111" i="627" s="1"/>
  <c r="T81" i="627"/>
  <c r="U81" i="627"/>
  <c r="V81" i="627"/>
  <c r="W81" i="627"/>
  <c r="X81" i="627"/>
  <c r="Y81" i="627"/>
  <c r="Z81" i="627"/>
  <c r="Z111" i="627" s="1"/>
  <c r="AA81" i="627"/>
  <c r="AA111" i="627" s="1"/>
  <c r="AB81" i="627"/>
  <c r="AC81" i="627"/>
  <c r="AD81" i="627"/>
  <c r="AE81" i="627"/>
  <c r="AF81" i="627"/>
  <c r="AG81" i="627"/>
  <c r="AH81" i="627"/>
  <c r="AH111" i="627" s="1"/>
  <c r="AI81" i="627"/>
  <c r="AJ81" i="627"/>
  <c r="AK81" i="627"/>
  <c r="AL81" i="627"/>
  <c r="AM81" i="627"/>
  <c r="AN81" i="627"/>
  <c r="AN111" i="627" s="1"/>
  <c r="AO81" i="627"/>
  <c r="AP81" i="627"/>
  <c r="AP111" i="627" s="1"/>
  <c r="AQ81" i="627"/>
  <c r="AQ111" i="627" s="1"/>
  <c r="AR81" i="627"/>
  <c r="AS81" i="627"/>
  <c r="AT81" i="627"/>
  <c r="AU81" i="627"/>
  <c r="AV81" i="627"/>
  <c r="AV111" i="627" s="1"/>
  <c r="AW81" i="627"/>
  <c r="AX81" i="627"/>
  <c r="AX111" i="627" s="1"/>
  <c r="AY81" i="627"/>
  <c r="AY111" i="627" s="1"/>
  <c r="AZ81" i="627"/>
  <c r="BA81" i="627"/>
  <c r="BB81" i="627"/>
  <c r="BC81" i="627"/>
  <c r="BD81" i="627"/>
  <c r="BE81" i="627"/>
  <c r="BF81" i="627"/>
  <c r="BF111" i="627" s="1"/>
  <c r="BG81" i="627"/>
  <c r="BG111" i="627" s="1"/>
  <c r="N90" i="627"/>
  <c r="Q90" i="627"/>
  <c r="J92" i="627"/>
  <c r="K92" i="627"/>
  <c r="L92" i="627"/>
  <c r="M92" i="627"/>
  <c r="N92" i="627"/>
  <c r="O92" i="627"/>
  <c r="P92" i="627"/>
  <c r="Q92" i="627"/>
  <c r="S92" i="627"/>
  <c r="T92" i="627"/>
  <c r="U92" i="627"/>
  <c r="V92" i="627"/>
  <c r="V111" i="627" s="1"/>
  <c r="W92" i="627"/>
  <c r="W111" i="627" s="1"/>
  <c r="X92" i="627"/>
  <c r="X111" i="627" s="1"/>
  <c r="Y92" i="627"/>
  <c r="Z92" i="627"/>
  <c r="AA92" i="627"/>
  <c r="AB92" i="627"/>
  <c r="AC92" i="627"/>
  <c r="AD92" i="627"/>
  <c r="AD111" i="627" s="1"/>
  <c r="AE92" i="627"/>
  <c r="AE111" i="627" s="1"/>
  <c r="AF92" i="627"/>
  <c r="AG92" i="627"/>
  <c r="AH92" i="627"/>
  <c r="AI92" i="627"/>
  <c r="AJ92" i="627"/>
  <c r="AK92" i="627"/>
  <c r="AL92" i="627"/>
  <c r="AL111" i="627" s="1"/>
  <c r="AM92" i="627"/>
  <c r="AM111" i="627" s="1"/>
  <c r="AN92" i="627"/>
  <c r="AO92" i="627"/>
  <c r="AP92" i="627"/>
  <c r="AQ92" i="627"/>
  <c r="AR92" i="627"/>
  <c r="AS92" i="627"/>
  <c r="AT92" i="627"/>
  <c r="AT111" i="627" s="1"/>
  <c r="AU92" i="627"/>
  <c r="AU111" i="627" s="1"/>
  <c r="AV92" i="627"/>
  <c r="AW92" i="627"/>
  <c r="AX92" i="627"/>
  <c r="AY92" i="627"/>
  <c r="AZ92" i="627"/>
  <c r="BA92" i="627"/>
  <c r="BB92" i="627"/>
  <c r="BB111" i="627" s="1"/>
  <c r="BC92" i="627"/>
  <c r="BC111" i="627" s="1"/>
  <c r="BD92" i="627"/>
  <c r="BD111" i="627" s="1"/>
  <c r="BE92" i="627"/>
  <c r="BF92" i="627"/>
  <c r="BG92" i="627"/>
  <c r="O97" i="627"/>
  <c r="Q97" i="627"/>
  <c r="O98" i="627"/>
  <c r="O99" i="627"/>
  <c r="Q99" i="627"/>
  <c r="O100" i="627"/>
  <c r="N99" i="627" s="1"/>
  <c r="J101" i="627"/>
  <c r="K101" i="627"/>
  <c r="L101" i="627"/>
  <c r="M101" i="627"/>
  <c r="P101" i="627"/>
  <c r="S101" i="627"/>
  <c r="T101" i="627"/>
  <c r="U101" i="627"/>
  <c r="V101" i="627"/>
  <c r="W101" i="627"/>
  <c r="X101" i="627"/>
  <c r="Y101" i="627"/>
  <c r="Z101" i="627"/>
  <c r="AA101" i="627"/>
  <c r="AB101" i="627"/>
  <c r="AC101" i="627"/>
  <c r="AD101" i="627"/>
  <c r="AE101" i="627"/>
  <c r="AF101" i="627"/>
  <c r="AG101" i="627"/>
  <c r="AH101" i="627"/>
  <c r="AI101" i="627"/>
  <c r="AJ101" i="627"/>
  <c r="AK101" i="627"/>
  <c r="AL101" i="627"/>
  <c r="AM101" i="627"/>
  <c r="AN101" i="627"/>
  <c r="AO101" i="627"/>
  <c r="AP101" i="627"/>
  <c r="AQ101" i="627"/>
  <c r="AR101" i="627"/>
  <c r="AS101" i="627"/>
  <c r="AT101" i="627"/>
  <c r="AU101" i="627"/>
  <c r="AV101" i="627"/>
  <c r="AW101" i="627"/>
  <c r="AX101" i="627"/>
  <c r="AY101" i="627"/>
  <c r="AZ101" i="627"/>
  <c r="BA101" i="627"/>
  <c r="BB101" i="627"/>
  <c r="BC101" i="627"/>
  <c r="BD101" i="627"/>
  <c r="BE101" i="627"/>
  <c r="BF101" i="627"/>
  <c r="BG101" i="627"/>
  <c r="N104" i="627"/>
  <c r="O104" i="627"/>
  <c r="Q104" i="627"/>
  <c r="O105" i="627"/>
  <c r="O106" i="627"/>
  <c r="Q106" i="627"/>
  <c r="O107" i="627"/>
  <c r="N106" i="627" s="1"/>
  <c r="N108" i="627"/>
  <c r="O108" i="627"/>
  <c r="Q108" i="627"/>
  <c r="O109" i="627"/>
  <c r="J110" i="627"/>
  <c r="K110" i="627"/>
  <c r="L110" i="627"/>
  <c r="M110" i="627"/>
  <c r="O110" i="627"/>
  <c r="N110" i="627" s="1"/>
  <c r="P110" i="627"/>
  <c r="S110" i="627"/>
  <c r="T110" i="627"/>
  <c r="U110" i="627"/>
  <c r="V110" i="627"/>
  <c r="W110" i="627"/>
  <c r="X110" i="627"/>
  <c r="Y110" i="627"/>
  <c r="Z110" i="627"/>
  <c r="AA110" i="627"/>
  <c r="AB110" i="627"/>
  <c r="AC110" i="627"/>
  <c r="AD110" i="627"/>
  <c r="AE110" i="627"/>
  <c r="AF110" i="627"/>
  <c r="AF111" i="627" s="1"/>
  <c r="AG110" i="627"/>
  <c r="AH110" i="627"/>
  <c r="AI110" i="627"/>
  <c r="AJ110" i="627"/>
  <c r="AK110" i="627"/>
  <c r="AL110" i="627"/>
  <c r="AM110" i="627"/>
  <c r="AN110" i="627"/>
  <c r="AO110" i="627"/>
  <c r="AP110" i="627"/>
  <c r="AQ110" i="627"/>
  <c r="AR110" i="627"/>
  <c r="AS110" i="627"/>
  <c r="AT110" i="627"/>
  <c r="AU110" i="627"/>
  <c r="AV110" i="627"/>
  <c r="AW110" i="627"/>
  <c r="AX110" i="627"/>
  <c r="AY110" i="627"/>
  <c r="AZ110" i="627"/>
  <c r="BA110" i="627"/>
  <c r="BB110" i="627"/>
  <c r="BC110" i="627"/>
  <c r="BD110" i="627"/>
  <c r="BE110" i="627"/>
  <c r="BF110" i="627"/>
  <c r="BG110" i="627"/>
  <c r="AI111" i="627"/>
  <c r="M70" i="627" l="1"/>
  <c r="O69" i="627"/>
  <c r="N69" i="627" s="1"/>
  <c r="Q21" i="627"/>
  <c r="Q13" i="627"/>
  <c r="Q5" i="627"/>
  <c r="O101" i="627"/>
  <c r="N101" i="627" s="1"/>
  <c r="BE111" i="627"/>
  <c r="AO111" i="627"/>
  <c r="Y111" i="627"/>
  <c r="Q101" i="627"/>
  <c r="Q111" i="627" s="1"/>
  <c r="Q79" i="627"/>
  <c r="BB70" i="627"/>
  <c r="AT70" i="627"/>
  <c r="AL70" i="627"/>
  <c r="AD70" i="627"/>
  <c r="V70" i="627"/>
  <c r="AZ70" i="627"/>
  <c r="AR70" i="627"/>
  <c r="AJ70" i="627"/>
  <c r="AB70" i="627"/>
  <c r="T70" i="627"/>
  <c r="Q50" i="627"/>
  <c r="Q56" i="627" s="1"/>
  <c r="AW111" i="627"/>
  <c r="AG111" i="627"/>
  <c r="AZ111" i="627"/>
  <c r="AR111" i="627"/>
  <c r="AJ111" i="627"/>
  <c r="AB111" i="627"/>
  <c r="T111" i="627"/>
  <c r="BG70" i="627"/>
  <c r="AY70" i="627"/>
  <c r="AQ70" i="627"/>
  <c r="AI70" i="627"/>
  <c r="AA70" i="627"/>
  <c r="S70" i="627"/>
  <c r="BA70" i="627"/>
  <c r="AS70" i="627"/>
  <c r="AK70" i="627"/>
  <c r="AC70" i="627"/>
  <c r="U70" i="627"/>
  <c r="O26" i="627"/>
  <c r="N25" i="627" s="1"/>
  <c r="Q23" i="627"/>
  <c r="O18" i="627"/>
  <c r="N17" i="627" s="1"/>
  <c r="Q15" i="627"/>
  <c r="O10" i="627"/>
  <c r="N9" i="627" s="1"/>
  <c r="Q7" i="627"/>
  <c r="Q110" i="627"/>
  <c r="BA111" i="627"/>
  <c r="AS111" i="627"/>
  <c r="AK111" i="627"/>
  <c r="AC111" i="627"/>
  <c r="U111" i="627"/>
  <c r="Q81" i="627"/>
  <c r="K111" i="627"/>
  <c r="O28" i="627"/>
  <c r="N27" i="627" s="1"/>
  <c r="O20" i="627"/>
  <c r="N19" i="627" s="1"/>
  <c r="O12" i="627"/>
  <c r="N11" i="627" s="1"/>
  <c r="P49" i="627"/>
  <c r="P70" i="627" s="1"/>
  <c r="N81" i="628"/>
  <c r="O111" i="628"/>
  <c r="N111" i="628" s="1"/>
  <c r="O68" i="628"/>
  <c r="N68" i="628" s="1"/>
  <c r="N47" i="628"/>
  <c r="O56" i="627"/>
  <c r="Q49" i="627"/>
  <c r="Q70" i="627" s="1"/>
  <c r="O81" i="627"/>
  <c r="P81" i="627"/>
  <c r="P111" i="627" s="1"/>
  <c r="N97" i="627"/>
  <c r="O78" i="627"/>
  <c r="N77" i="627" s="1"/>
  <c r="O51" i="627"/>
  <c r="N50" i="627" s="1"/>
  <c r="M81" i="627"/>
  <c r="M111" i="627" s="1"/>
  <c r="O49" i="627"/>
  <c r="L56" i="627"/>
  <c r="L70" i="627" s="1"/>
  <c r="P14" i="626"/>
  <c r="O111" i="627" l="1"/>
  <c r="N111" i="627" s="1"/>
  <c r="N81" i="627"/>
  <c r="N49" i="627"/>
  <c r="O70" i="627"/>
  <c r="N70" i="627" s="1"/>
  <c r="N56" i="627"/>
  <c r="O5" i="626"/>
  <c r="K6" i="626"/>
  <c r="L6" i="626"/>
  <c r="Q5" i="626" s="1"/>
  <c r="M6" i="626"/>
  <c r="P6" i="626"/>
  <c r="O7" i="626"/>
  <c r="K8" i="626"/>
  <c r="L8" i="626"/>
  <c r="M8" i="626"/>
  <c r="O8" i="626"/>
  <c r="N7" i="626" s="1"/>
  <c r="P8" i="626"/>
  <c r="O9" i="626"/>
  <c r="K10" i="626"/>
  <c r="L10" i="626"/>
  <c r="Q9" i="626" s="1"/>
  <c r="M10" i="626"/>
  <c r="P10" i="626"/>
  <c r="O11" i="626"/>
  <c r="K12" i="626"/>
  <c r="L12" i="626"/>
  <c r="M12" i="626"/>
  <c r="O12" i="626"/>
  <c r="N11" i="626" s="1"/>
  <c r="P12" i="626"/>
  <c r="O13" i="626"/>
  <c r="K14" i="626"/>
  <c r="L14" i="626"/>
  <c r="Q13" i="626" s="1"/>
  <c r="M14" i="626"/>
  <c r="O15" i="626"/>
  <c r="K16" i="626"/>
  <c r="L16" i="626"/>
  <c r="M16" i="626"/>
  <c r="O16" i="626" s="1"/>
  <c r="N15" i="626" s="1"/>
  <c r="P16" i="626"/>
  <c r="P47" i="626" s="1"/>
  <c r="P68" i="626" s="1"/>
  <c r="O17" i="626"/>
  <c r="K18" i="626"/>
  <c r="L18" i="626"/>
  <c r="M18" i="626"/>
  <c r="O18" i="626" s="1"/>
  <c r="N17" i="626" s="1"/>
  <c r="P18" i="626"/>
  <c r="O19" i="626"/>
  <c r="K20" i="626"/>
  <c r="L20" i="626"/>
  <c r="Q19" i="626" s="1"/>
  <c r="M20" i="626"/>
  <c r="P20" i="626"/>
  <c r="O21" i="626"/>
  <c r="K22" i="626"/>
  <c r="L22" i="626"/>
  <c r="Q21" i="626" s="1"/>
  <c r="M22" i="626"/>
  <c r="O22" i="626" s="1"/>
  <c r="N21" i="626" s="1"/>
  <c r="P22" i="626"/>
  <c r="O23" i="626"/>
  <c r="K24" i="626"/>
  <c r="L24" i="626"/>
  <c r="M24" i="626"/>
  <c r="O24" i="626" s="1"/>
  <c r="N23" i="626" s="1"/>
  <c r="P24" i="626"/>
  <c r="O25" i="626"/>
  <c r="K26" i="626"/>
  <c r="L26" i="626"/>
  <c r="M26" i="626"/>
  <c r="O26" i="626" s="1"/>
  <c r="N25" i="626" s="1"/>
  <c r="P26" i="626"/>
  <c r="O27" i="626"/>
  <c r="K28" i="626"/>
  <c r="L28" i="626"/>
  <c r="Q27" i="626" s="1"/>
  <c r="M28" i="626"/>
  <c r="P28" i="626"/>
  <c r="O29" i="626"/>
  <c r="K30" i="626"/>
  <c r="L30" i="626"/>
  <c r="Q29" i="626" s="1"/>
  <c r="M30" i="626"/>
  <c r="O30" i="626" s="1"/>
  <c r="N29" i="626" s="1"/>
  <c r="P30" i="626"/>
  <c r="O31" i="626"/>
  <c r="K32" i="626"/>
  <c r="L32" i="626"/>
  <c r="M32" i="626"/>
  <c r="O32" i="626"/>
  <c r="N31" i="626" s="1"/>
  <c r="P32" i="626"/>
  <c r="O33" i="626"/>
  <c r="K34" i="626"/>
  <c r="L34" i="626"/>
  <c r="M34" i="626"/>
  <c r="O34" i="626" s="1"/>
  <c r="N33" i="626" s="1"/>
  <c r="P34" i="626"/>
  <c r="K35" i="626"/>
  <c r="O35" i="626"/>
  <c r="P35" i="626"/>
  <c r="K36" i="626"/>
  <c r="L36" i="626"/>
  <c r="M36" i="626"/>
  <c r="P36" i="626"/>
  <c r="O37" i="626"/>
  <c r="K38" i="626"/>
  <c r="L38" i="626"/>
  <c r="O38" i="626" s="1"/>
  <c r="N37" i="626" s="1"/>
  <c r="M38" i="626"/>
  <c r="P38" i="626"/>
  <c r="O39" i="626"/>
  <c r="K40" i="626"/>
  <c r="L40" i="626"/>
  <c r="M40" i="626"/>
  <c r="P40" i="626"/>
  <c r="O41" i="626"/>
  <c r="K42" i="626"/>
  <c r="L42" i="626"/>
  <c r="Q41" i="626" s="1"/>
  <c r="P42" i="626"/>
  <c r="O43" i="626"/>
  <c r="K44" i="626"/>
  <c r="L44" i="626"/>
  <c r="M44" i="626"/>
  <c r="P44" i="626"/>
  <c r="O45" i="626"/>
  <c r="K46" i="626"/>
  <c r="L46" i="626"/>
  <c r="Q45" i="626" s="1"/>
  <c r="M46" i="626"/>
  <c r="P46" i="626"/>
  <c r="J47" i="626"/>
  <c r="S47" i="626"/>
  <c r="T47" i="626"/>
  <c r="U47" i="626"/>
  <c r="V47" i="626"/>
  <c r="W47" i="626"/>
  <c r="X47" i="626"/>
  <c r="Y47" i="626"/>
  <c r="Z47" i="626"/>
  <c r="AA47" i="626"/>
  <c r="AA68" i="626" s="1"/>
  <c r="AB47" i="626"/>
  <c r="AC47" i="626"/>
  <c r="AD47" i="626"/>
  <c r="AE47" i="626"/>
  <c r="AF47" i="626"/>
  <c r="AG47" i="626"/>
  <c r="AH47" i="626"/>
  <c r="AI47" i="626"/>
  <c r="AI68" i="626" s="1"/>
  <c r="AJ47" i="626"/>
  <c r="AK47" i="626"/>
  <c r="AL47" i="626"/>
  <c r="AM47" i="626"/>
  <c r="AN47" i="626"/>
  <c r="AO47" i="626"/>
  <c r="AP47" i="626"/>
  <c r="AQ47" i="626"/>
  <c r="AQ68" i="626" s="1"/>
  <c r="AR47" i="626"/>
  <c r="AS47" i="626"/>
  <c r="AT47" i="626"/>
  <c r="AU47" i="626"/>
  <c r="AV47" i="626"/>
  <c r="AW47" i="626"/>
  <c r="AX47" i="626"/>
  <c r="AY47" i="626"/>
  <c r="AY68" i="626" s="1"/>
  <c r="AZ47" i="626"/>
  <c r="BA47" i="626"/>
  <c r="BB47" i="626"/>
  <c r="BC47" i="626"/>
  <c r="BD47" i="626"/>
  <c r="BE47" i="626"/>
  <c r="BF47" i="626"/>
  <c r="BF68" i="626" s="1"/>
  <c r="BG47" i="626"/>
  <c r="BG68" i="626" s="1"/>
  <c r="O48" i="626"/>
  <c r="K49" i="626"/>
  <c r="K54" i="626" s="1"/>
  <c r="L49" i="626"/>
  <c r="M49" i="626"/>
  <c r="P49" i="626"/>
  <c r="J54" i="626"/>
  <c r="M54" i="626"/>
  <c r="P54" i="626"/>
  <c r="S54" i="626"/>
  <c r="T54" i="626"/>
  <c r="T68" i="626" s="1"/>
  <c r="U54" i="626"/>
  <c r="V54" i="626"/>
  <c r="W54" i="626"/>
  <c r="X54" i="626"/>
  <c r="Y54" i="626"/>
  <c r="Z54" i="626"/>
  <c r="Z68" i="626" s="1"/>
  <c r="AA54" i="626"/>
  <c r="AB54" i="626"/>
  <c r="AC54" i="626"/>
  <c r="AD54" i="626"/>
  <c r="AE54" i="626"/>
  <c r="AF54" i="626"/>
  <c r="AG54" i="626"/>
  <c r="AH54" i="626"/>
  <c r="AH68" i="626" s="1"/>
  <c r="AI54" i="626"/>
  <c r="AJ54" i="626"/>
  <c r="AJ68" i="626" s="1"/>
  <c r="AK54" i="626"/>
  <c r="AL54" i="626"/>
  <c r="AM54" i="626"/>
  <c r="AN54" i="626"/>
  <c r="AO54" i="626"/>
  <c r="AP54" i="626"/>
  <c r="AQ54" i="626"/>
  <c r="AR54" i="626"/>
  <c r="AS54" i="626"/>
  <c r="AT54" i="626"/>
  <c r="AU54" i="626"/>
  <c r="AV54" i="626"/>
  <c r="AW54" i="626"/>
  <c r="AX54" i="626"/>
  <c r="AX68" i="626" s="1"/>
  <c r="AY54" i="626"/>
  <c r="AZ54" i="626"/>
  <c r="AZ68" i="626" s="1"/>
  <c r="BA54" i="626"/>
  <c r="BB54" i="626"/>
  <c r="BC54" i="626"/>
  <c r="BD54" i="626"/>
  <c r="BE54" i="626"/>
  <c r="BF54" i="626"/>
  <c r="BG54" i="626"/>
  <c r="O57" i="626"/>
  <c r="Q57" i="626"/>
  <c r="O58" i="626"/>
  <c r="N57" i="626" s="1"/>
  <c r="O59" i="626"/>
  <c r="Q59" i="626"/>
  <c r="O60" i="626"/>
  <c r="N59" i="626" s="1"/>
  <c r="O61" i="626"/>
  <c r="Q61" i="626"/>
  <c r="O62" i="626"/>
  <c r="N61" i="626" s="1"/>
  <c r="O63" i="626"/>
  <c r="Q63" i="626"/>
  <c r="O64" i="626"/>
  <c r="N63" i="626" s="1"/>
  <c r="N65" i="626"/>
  <c r="J67" i="626"/>
  <c r="K67" i="626"/>
  <c r="L67" i="626"/>
  <c r="M67" i="626"/>
  <c r="P67" i="626"/>
  <c r="S67" i="626"/>
  <c r="T67" i="626"/>
  <c r="U67" i="626"/>
  <c r="U68" i="626" s="1"/>
  <c r="V67" i="626"/>
  <c r="W67" i="626"/>
  <c r="X67" i="626"/>
  <c r="Y67" i="626"/>
  <c r="Z67" i="626"/>
  <c r="AA67" i="626"/>
  <c r="AB67" i="626"/>
  <c r="AC67" i="626"/>
  <c r="AC68" i="626" s="1"/>
  <c r="AD67" i="626"/>
  <c r="AE67" i="626"/>
  <c r="AF67" i="626"/>
  <c r="AG67" i="626"/>
  <c r="AH67" i="626"/>
  <c r="AI67" i="626"/>
  <c r="AJ67" i="626"/>
  <c r="AK67" i="626"/>
  <c r="AK68" i="626" s="1"/>
  <c r="AL67" i="626"/>
  <c r="AM67" i="626"/>
  <c r="AN67" i="626"/>
  <c r="AO67" i="626"/>
  <c r="AP67" i="626"/>
  <c r="AQ67" i="626"/>
  <c r="AR67" i="626"/>
  <c r="AS67" i="626"/>
  <c r="AS68" i="626" s="1"/>
  <c r="AT67" i="626"/>
  <c r="AU67" i="626"/>
  <c r="AV67" i="626"/>
  <c r="AW67" i="626"/>
  <c r="AX67" i="626"/>
  <c r="AY67" i="626"/>
  <c r="AZ67" i="626"/>
  <c r="BA67" i="626"/>
  <c r="BA68" i="626" s="1"/>
  <c r="BB67" i="626"/>
  <c r="BC67" i="626"/>
  <c r="BD67" i="626"/>
  <c r="BE67" i="626"/>
  <c r="BF67" i="626"/>
  <c r="BG67" i="626"/>
  <c r="J68" i="626"/>
  <c r="S68" i="626"/>
  <c r="AB68" i="626"/>
  <c r="AP68" i="626"/>
  <c r="AR68" i="626"/>
  <c r="N73" i="626"/>
  <c r="O73" i="626"/>
  <c r="Q73" i="626"/>
  <c r="O74" i="626"/>
  <c r="O75" i="626"/>
  <c r="P75" i="626"/>
  <c r="K76" i="626"/>
  <c r="L76" i="626"/>
  <c r="M76" i="626"/>
  <c r="M79" i="626" s="1"/>
  <c r="P76" i="626"/>
  <c r="O77" i="626"/>
  <c r="Q77" i="626"/>
  <c r="O78" i="626"/>
  <c r="N77" i="626" s="1"/>
  <c r="J79" i="626"/>
  <c r="K79" i="626"/>
  <c r="P79" i="626"/>
  <c r="S79" i="626"/>
  <c r="T79" i="626"/>
  <c r="U79" i="626"/>
  <c r="V79" i="626"/>
  <c r="W79" i="626"/>
  <c r="X79" i="626"/>
  <c r="Y79" i="626"/>
  <c r="Z79" i="626"/>
  <c r="Z109" i="626" s="1"/>
  <c r="AA79" i="626"/>
  <c r="AB79" i="626"/>
  <c r="AB109" i="626" s="1"/>
  <c r="AC79" i="626"/>
  <c r="AD79" i="626"/>
  <c r="AE79" i="626"/>
  <c r="AF79" i="626"/>
  <c r="AG79" i="626"/>
  <c r="AH79" i="626"/>
  <c r="AH109" i="626" s="1"/>
  <c r="AI79" i="626"/>
  <c r="AJ79" i="626"/>
  <c r="AK79" i="626"/>
  <c r="AL79" i="626"/>
  <c r="AM79" i="626"/>
  <c r="AN79" i="626"/>
  <c r="AO79" i="626"/>
  <c r="AP79" i="626"/>
  <c r="AP109" i="626" s="1"/>
  <c r="AQ79" i="626"/>
  <c r="AR79" i="626"/>
  <c r="AR109" i="626" s="1"/>
  <c r="AS79" i="626"/>
  <c r="AT79" i="626"/>
  <c r="AU79" i="626"/>
  <c r="AV79" i="626"/>
  <c r="AW79" i="626"/>
  <c r="AX79" i="626"/>
  <c r="AX109" i="626" s="1"/>
  <c r="AY79" i="626"/>
  <c r="AZ79" i="626"/>
  <c r="AZ109" i="626" s="1"/>
  <c r="BA79" i="626"/>
  <c r="BB79" i="626"/>
  <c r="BC79" i="626"/>
  <c r="BD79" i="626"/>
  <c r="BE79" i="626"/>
  <c r="BF79" i="626"/>
  <c r="BF109" i="626" s="1"/>
  <c r="BG79" i="626"/>
  <c r="N88" i="626"/>
  <c r="Q88" i="626"/>
  <c r="J90" i="626"/>
  <c r="K90" i="626"/>
  <c r="L90" i="626"/>
  <c r="M90" i="626"/>
  <c r="O90" i="626"/>
  <c r="N90" i="626" s="1"/>
  <c r="P90" i="626"/>
  <c r="Q90" i="626"/>
  <c r="S90" i="626"/>
  <c r="T90" i="626"/>
  <c r="U90" i="626"/>
  <c r="V90" i="626"/>
  <c r="W90" i="626"/>
  <c r="X90" i="626"/>
  <c r="X109" i="626" s="1"/>
  <c r="Y90" i="626"/>
  <c r="Z90" i="626"/>
  <c r="AA90" i="626"/>
  <c r="AB90" i="626"/>
  <c r="AC90" i="626"/>
  <c r="AD90" i="626"/>
  <c r="AE90" i="626"/>
  <c r="AF90" i="626"/>
  <c r="AF109" i="626" s="1"/>
  <c r="AG90" i="626"/>
  <c r="AH90" i="626"/>
  <c r="AI90" i="626"/>
  <c r="AJ90" i="626"/>
  <c r="AK90" i="626"/>
  <c r="AL90" i="626"/>
  <c r="AM90" i="626"/>
  <c r="AN90" i="626"/>
  <c r="AN109" i="626" s="1"/>
  <c r="AO90" i="626"/>
  <c r="AP90" i="626"/>
  <c r="AQ90" i="626"/>
  <c r="AR90" i="626"/>
  <c r="AS90" i="626"/>
  <c r="AT90" i="626"/>
  <c r="AU90" i="626"/>
  <c r="AV90" i="626"/>
  <c r="AV109" i="626" s="1"/>
  <c r="AW90" i="626"/>
  <c r="AW109" i="626" s="1"/>
  <c r="AX90" i="626"/>
  <c r="AY90" i="626"/>
  <c r="AZ90" i="626"/>
  <c r="BA90" i="626"/>
  <c r="BB90" i="626"/>
  <c r="BC90" i="626"/>
  <c r="BD90" i="626"/>
  <c r="BD109" i="626" s="1"/>
  <c r="BE90" i="626"/>
  <c r="BF90" i="626"/>
  <c r="BG90" i="626"/>
  <c r="O95" i="626"/>
  <c r="Q95" i="626"/>
  <c r="O96" i="626"/>
  <c r="O97" i="626"/>
  <c r="Q97" i="626"/>
  <c r="O98" i="626"/>
  <c r="N97" i="626" s="1"/>
  <c r="J99" i="626"/>
  <c r="K99" i="626"/>
  <c r="L99" i="626"/>
  <c r="M99" i="626"/>
  <c r="P99" i="626"/>
  <c r="S99" i="626"/>
  <c r="T99" i="626"/>
  <c r="U99" i="626"/>
  <c r="V99" i="626"/>
  <c r="W99" i="626"/>
  <c r="X99" i="626"/>
  <c r="Y99" i="626"/>
  <c r="Z99" i="626"/>
  <c r="AA99" i="626"/>
  <c r="AB99" i="626"/>
  <c r="AC99" i="626"/>
  <c r="AD99" i="626"/>
  <c r="AE99" i="626"/>
  <c r="AF99" i="626"/>
  <c r="AG99" i="626"/>
  <c r="AH99" i="626"/>
  <c r="AI99" i="626"/>
  <c r="AJ99" i="626"/>
  <c r="AK99" i="626"/>
  <c r="AL99" i="626"/>
  <c r="AM99" i="626"/>
  <c r="AN99" i="626"/>
  <c r="AO99" i="626"/>
  <c r="AP99" i="626"/>
  <c r="AQ99" i="626"/>
  <c r="AR99" i="626"/>
  <c r="AS99" i="626"/>
  <c r="AT99" i="626"/>
  <c r="AU99" i="626"/>
  <c r="AV99" i="626"/>
  <c r="AW99" i="626"/>
  <c r="AX99" i="626"/>
  <c r="AY99" i="626"/>
  <c r="AZ99" i="626"/>
  <c r="BA99" i="626"/>
  <c r="BB99" i="626"/>
  <c r="BC99" i="626"/>
  <c r="BD99" i="626"/>
  <c r="BE99" i="626"/>
  <c r="BF99" i="626"/>
  <c r="BG99" i="626"/>
  <c r="O102" i="626"/>
  <c r="Q102" i="626"/>
  <c r="Q108" i="626" s="1"/>
  <c r="O103" i="626"/>
  <c r="O104" i="626"/>
  <c r="Q104" i="626"/>
  <c r="O105" i="626"/>
  <c r="N104" i="626" s="1"/>
  <c r="O106" i="626"/>
  <c r="Q106" i="626"/>
  <c r="O107" i="626"/>
  <c r="N106" i="626" s="1"/>
  <c r="J108" i="626"/>
  <c r="K108" i="626"/>
  <c r="L108" i="626"/>
  <c r="M108" i="626"/>
  <c r="P108" i="626"/>
  <c r="S108" i="626"/>
  <c r="T108" i="626"/>
  <c r="U108" i="626"/>
  <c r="V108" i="626"/>
  <c r="W108" i="626"/>
  <c r="X108" i="626"/>
  <c r="Y108" i="626"/>
  <c r="Z108" i="626"/>
  <c r="AA108" i="626"/>
  <c r="AB108" i="626"/>
  <c r="AC108" i="626"/>
  <c r="AD108" i="626"/>
  <c r="AE108" i="626"/>
  <c r="AF108" i="626"/>
  <c r="AG108" i="626"/>
  <c r="AH108" i="626"/>
  <c r="AI108" i="626"/>
  <c r="AJ108" i="626"/>
  <c r="AK108" i="626"/>
  <c r="AL108" i="626"/>
  <c r="AM108" i="626"/>
  <c r="AN108" i="626"/>
  <c r="AO108" i="626"/>
  <c r="AP108" i="626"/>
  <c r="AQ108" i="626"/>
  <c r="AR108" i="626"/>
  <c r="AS108" i="626"/>
  <c r="AT108" i="626"/>
  <c r="AU108" i="626"/>
  <c r="AV108" i="626"/>
  <c r="AW108" i="626"/>
  <c r="AX108" i="626"/>
  <c r="AY108" i="626"/>
  <c r="AZ108" i="626"/>
  <c r="BA108" i="626"/>
  <c r="BB108" i="626"/>
  <c r="BC108" i="626"/>
  <c r="BD108" i="626"/>
  <c r="BE108" i="626"/>
  <c r="BF108" i="626"/>
  <c r="BG108" i="626"/>
  <c r="K109" i="626"/>
  <c r="T109" i="626"/>
  <c r="Y109" i="626"/>
  <c r="AG109" i="626"/>
  <c r="AJ109" i="626"/>
  <c r="AO109" i="626"/>
  <c r="BE109" i="626"/>
  <c r="BC109" i="626" l="1"/>
  <c r="AU109" i="626"/>
  <c r="AM109" i="626"/>
  <c r="AE109" i="626"/>
  <c r="W109" i="626"/>
  <c r="M109" i="626"/>
  <c r="O76" i="626"/>
  <c r="N75" i="626" s="1"/>
  <c r="P109" i="626"/>
  <c r="O99" i="626"/>
  <c r="N99" i="626" s="1"/>
  <c r="BB109" i="626"/>
  <c r="AT109" i="626"/>
  <c r="AL109" i="626"/>
  <c r="AD109" i="626"/>
  <c r="V109" i="626"/>
  <c r="BE68" i="626"/>
  <c r="AW68" i="626"/>
  <c r="AO68" i="626"/>
  <c r="AG68" i="626"/>
  <c r="Y68" i="626"/>
  <c r="Q43" i="626"/>
  <c r="O10" i="626"/>
  <c r="N9" i="626" s="1"/>
  <c r="Q7" i="626"/>
  <c r="Q99" i="626"/>
  <c r="J109" i="626"/>
  <c r="BD68" i="626"/>
  <c r="AV68" i="626"/>
  <c r="AN68" i="626"/>
  <c r="AF68" i="626"/>
  <c r="X68" i="626"/>
  <c r="O40" i="626"/>
  <c r="N39" i="626" s="1"/>
  <c r="Q31" i="626"/>
  <c r="Q23" i="626"/>
  <c r="Q47" i="626" s="1"/>
  <c r="Q68" i="626" s="1"/>
  <c r="Q15" i="626"/>
  <c r="BB68" i="626"/>
  <c r="AT68" i="626"/>
  <c r="AL68" i="626"/>
  <c r="AD68" i="626"/>
  <c r="V68" i="626"/>
  <c r="BC68" i="626"/>
  <c r="AU68" i="626"/>
  <c r="AM68" i="626"/>
  <c r="AE68" i="626"/>
  <c r="W68" i="626"/>
  <c r="O108" i="626"/>
  <c r="N108" i="626" s="1"/>
  <c r="Q67" i="626"/>
  <c r="O49" i="626"/>
  <c r="O36" i="626"/>
  <c r="Q33" i="626"/>
  <c r="O28" i="626"/>
  <c r="N27" i="626" s="1"/>
  <c r="Q25" i="626"/>
  <c r="O20" i="626"/>
  <c r="N19" i="626" s="1"/>
  <c r="Q17" i="626"/>
  <c r="BA109" i="626"/>
  <c r="AK109" i="626"/>
  <c r="U109" i="626"/>
  <c r="O67" i="626"/>
  <c r="N67" i="626" s="1"/>
  <c r="K47" i="626"/>
  <c r="K68" i="626" s="1"/>
  <c r="O14" i="626"/>
  <c r="N13" i="626" s="1"/>
  <c r="Q11" i="626"/>
  <c r="O6" i="626"/>
  <c r="N5" i="626" s="1"/>
  <c r="AS109" i="626"/>
  <c r="AC109" i="626"/>
  <c r="BG109" i="626"/>
  <c r="AY109" i="626"/>
  <c r="AQ109" i="626"/>
  <c r="AI109" i="626"/>
  <c r="AA109" i="626"/>
  <c r="S109" i="626"/>
  <c r="O79" i="626"/>
  <c r="M47" i="626"/>
  <c r="M68" i="626" s="1"/>
  <c r="N35" i="626"/>
  <c r="O109" i="626"/>
  <c r="N48" i="626"/>
  <c r="O54" i="626"/>
  <c r="O46" i="626"/>
  <c r="N45" i="626" s="1"/>
  <c r="O44" i="626"/>
  <c r="N43" i="626" s="1"/>
  <c r="O42" i="626"/>
  <c r="N41" i="626" s="1"/>
  <c r="Q75" i="626"/>
  <c r="Q79" i="626" s="1"/>
  <c r="Q109" i="626" s="1"/>
  <c r="N102" i="626"/>
  <c r="L54" i="626"/>
  <c r="Q48" i="626"/>
  <c r="Q54" i="626" s="1"/>
  <c r="Q39" i="626"/>
  <c r="Q37" i="626"/>
  <c r="Q35" i="626"/>
  <c r="N95" i="626"/>
  <c r="L47" i="626"/>
  <c r="L68" i="626" s="1"/>
  <c r="L79" i="626"/>
  <c r="L109" i="626" s="1"/>
  <c r="O5" i="625"/>
  <c r="K6" i="625"/>
  <c r="L6" i="625"/>
  <c r="Q5" i="625" s="1"/>
  <c r="M6" i="625"/>
  <c r="P6" i="625"/>
  <c r="O7" i="625"/>
  <c r="K8" i="625"/>
  <c r="K47" i="625" s="1"/>
  <c r="L8" i="625"/>
  <c r="M8" i="625"/>
  <c r="O8" i="625"/>
  <c r="N7" i="625" s="1"/>
  <c r="P8" i="625"/>
  <c r="O9" i="625"/>
  <c r="K10" i="625"/>
  <c r="L10" i="625"/>
  <c r="O10" i="625" s="1"/>
  <c r="N9" i="625" s="1"/>
  <c r="M10" i="625"/>
  <c r="M47" i="625" s="1"/>
  <c r="P10" i="625"/>
  <c r="O11" i="625"/>
  <c r="K12" i="625"/>
  <c r="L12" i="625"/>
  <c r="M12" i="625"/>
  <c r="O12" i="625"/>
  <c r="N11" i="625" s="1"/>
  <c r="P12" i="625"/>
  <c r="Q11" i="625" s="1"/>
  <c r="O13" i="625"/>
  <c r="K14" i="625"/>
  <c r="L14" i="625"/>
  <c r="O14" i="625" s="1"/>
  <c r="N13" i="625" s="1"/>
  <c r="M14" i="625"/>
  <c r="P14" i="625"/>
  <c r="O15" i="625"/>
  <c r="K16" i="625"/>
  <c r="L16" i="625"/>
  <c r="Q15" i="625" s="1"/>
  <c r="O17" i="625"/>
  <c r="K18" i="625"/>
  <c r="L18" i="625"/>
  <c r="Q17" i="625" s="1"/>
  <c r="M18" i="625"/>
  <c r="P18" i="625"/>
  <c r="O19" i="625"/>
  <c r="K20" i="625"/>
  <c r="L20" i="625"/>
  <c r="M20" i="625"/>
  <c r="P20" i="625"/>
  <c r="O21" i="625"/>
  <c r="K22" i="625"/>
  <c r="L22" i="625"/>
  <c r="Q21" i="625" s="1"/>
  <c r="M22" i="625"/>
  <c r="P22" i="625"/>
  <c r="O23" i="625"/>
  <c r="K24" i="625"/>
  <c r="L24" i="625"/>
  <c r="Q23" i="625" s="1"/>
  <c r="M24" i="625"/>
  <c r="P24" i="625"/>
  <c r="O25" i="625"/>
  <c r="K26" i="625"/>
  <c r="L26" i="625"/>
  <c r="Q25" i="625" s="1"/>
  <c r="M26" i="625"/>
  <c r="P26" i="625"/>
  <c r="O27" i="625"/>
  <c r="K28" i="625"/>
  <c r="L28" i="625"/>
  <c r="Q27" i="625" s="1"/>
  <c r="M28" i="625"/>
  <c r="P28" i="625"/>
  <c r="O29" i="625"/>
  <c r="K30" i="625"/>
  <c r="L30" i="625"/>
  <c r="Q29" i="625" s="1"/>
  <c r="O31" i="625"/>
  <c r="K32" i="625"/>
  <c r="L32" i="625"/>
  <c r="O32" i="625" s="1"/>
  <c r="N31" i="625" s="1"/>
  <c r="M32" i="625"/>
  <c r="P32" i="625"/>
  <c r="O33" i="625"/>
  <c r="K34" i="625"/>
  <c r="L34" i="625"/>
  <c r="M34" i="625"/>
  <c r="P34" i="625"/>
  <c r="O35" i="625"/>
  <c r="P35" i="625"/>
  <c r="K36" i="625"/>
  <c r="L36" i="625"/>
  <c r="M36" i="625"/>
  <c r="O36" i="625"/>
  <c r="N35" i="625" s="1"/>
  <c r="P36" i="625"/>
  <c r="Q35" i="625" s="1"/>
  <c r="O37" i="625"/>
  <c r="Q37" i="625"/>
  <c r="K38" i="625"/>
  <c r="L38" i="625"/>
  <c r="M38" i="625"/>
  <c r="O38" i="625"/>
  <c r="N37" i="625" s="1"/>
  <c r="P38" i="625"/>
  <c r="O39" i="625"/>
  <c r="K40" i="625"/>
  <c r="L40" i="625"/>
  <c r="Q39" i="625" s="1"/>
  <c r="M40" i="625"/>
  <c r="P40" i="625"/>
  <c r="O41" i="625"/>
  <c r="K42" i="625"/>
  <c r="L42" i="625"/>
  <c r="O42" i="625" s="1"/>
  <c r="N41" i="625" s="1"/>
  <c r="P42" i="625"/>
  <c r="O43" i="625"/>
  <c r="K44" i="625"/>
  <c r="L44" i="625"/>
  <c r="O44" i="625" s="1"/>
  <c r="N43" i="625" s="1"/>
  <c r="M44" i="625"/>
  <c r="P44" i="625"/>
  <c r="O45" i="625"/>
  <c r="K46" i="625"/>
  <c r="L46" i="625"/>
  <c r="O46" i="625" s="1"/>
  <c r="N45" i="625" s="1"/>
  <c r="M46" i="625"/>
  <c r="P46" i="625"/>
  <c r="J47" i="625"/>
  <c r="S47" i="625"/>
  <c r="T47" i="625"/>
  <c r="U47" i="625"/>
  <c r="V47" i="625"/>
  <c r="W47" i="625"/>
  <c r="X47" i="625"/>
  <c r="Y47" i="625"/>
  <c r="Z47" i="625"/>
  <c r="AA47" i="625"/>
  <c r="AB47" i="625"/>
  <c r="AC47" i="625"/>
  <c r="AD47" i="625"/>
  <c r="AE47" i="625"/>
  <c r="AF47" i="625"/>
  <c r="AG47" i="625"/>
  <c r="AH47" i="625"/>
  <c r="AI47" i="625"/>
  <c r="AJ47" i="625"/>
  <c r="AK47" i="625"/>
  <c r="AL47" i="625"/>
  <c r="AM47" i="625"/>
  <c r="AN47" i="625"/>
  <c r="AO47" i="625"/>
  <c r="AP47" i="625"/>
  <c r="AQ47" i="625"/>
  <c r="AR47" i="625"/>
  <c r="AS47" i="625"/>
  <c r="AT47" i="625"/>
  <c r="AU47" i="625"/>
  <c r="AV47" i="625"/>
  <c r="AW47" i="625"/>
  <c r="AX47" i="625"/>
  <c r="AY47" i="625"/>
  <c r="AZ47" i="625"/>
  <c r="BA47" i="625"/>
  <c r="BB47" i="625"/>
  <c r="BC47" i="625"/>
  <c r="BD47" i="625"/>
  <c r="BE47" i="625"/>
  <c r="BF47" i="625"/>
  <c r="BG47" i="625"/>
  <c r="O48" i="625"/>
  <c r="O54" i="625" s="1"/>
  <c r="K49" i="625"/>
  <c r="L49" i="625"/>
  <c r="O49" i="625" s="1"/>
  <c r="N48" i="625" s="1"/>
  <c r="M49" i="625"/>
  <c r="M54" i="625" s="1"/>
  <c r="P49" i="625"/>
  <c r="J54" i="625"/>
  <c r="K54" i="625"/>
  <c r="P54" i="625"/>
  <c r="S54" i="625"/>
  <c r="T54" i="625"/>
  <c r="U54" i="625"/>
  <c r="V54" i="625"/>
  <c r="W54" i="625"/>
  <c r="X54" i="625"/>
  <c r="Y54" i="625"/>
  <c r="Z54" i="625"/>
  <c r="AA54" i="625"/>
  <c r="AB54" i="625"/>
  <c r="AC54" i="625"/>
  <c r="AD54" i="625"/>
  <c r="AE54" i="625"/>
  <c r="AF54" i="625"/>
  <c r="AG54" i="625"/>
  <c r="AH54" i="625"/>
  <c r="AI54" i="625"/>
  <c r="AJ54" i="625"/>
  <c r="AK54" i="625"/>
  <c r="AL54" i="625"/>
  <c r="AM54" i="625"/>
  <c r="AN54" i="625"/>
  <c r="AO54" i="625"/>
  <c r="AP54" i="625"/>
  <c r="AQ54" i="625"/>
  <c r="AR54" i="625"/>
  <c r="AS54" i="625"/>
  <c r="AT54" i="625"/>
  <c r="AU54" i="625"/>
  <c r="AV54" i="625"/>
  <c r="AW54" i="625"/>
  <c r="AX54" i="625"/>
  <c r="AY54" i="625"/>
  <c r="AZ54" i="625"/>
  <c r="BA54" i="625"/>
  <c r="BB54" i="625"/>
  <c r="BC54" i="625"/>
  <c r="BD54" i="625"/>
  <c r="BE54" i="625"/>
  <c r="BF54" i="625"/>
  <c r="BG54" i="625"/>
  <c r="N57" i="625"/>
  <c r="O57" i="625"/>
  <c r="Q57" i="625"/>
  <c r="O58" i="625"/>
  <c r="N59" i="625"/>
  <c r="O59" i="625"/>
  <c r="Q59" i="625"/>
  <c r="O60" i="625"/>
  <c r="N61" i="625"/>
  <c r="O61" i="625"/>
  <c r="Q61" i="625"/>
  <c r="O62" i="625"/>
  <c r="N63" i="625"/>
  <c r="O63" i="625"/>
  <c r="Q63" i="625"/>
  <c r="Q67" i="625" s="1"/>
  <c r="O64" i="625"/>
  <c r="N65" i="625"/>
  <c r="J67" i="625"/>
  <c r="J68" i="625" s="1"/>
  <c r="K67" i="625"/>
  <c r="L67" i="625"/>
  <c r="M67" i="625"/>
  <c r="P67" i="625"/>
  <c r="S67" i="625"/>
  <c r="S68" i="625" s="1"/>
  <c r="T67" i="625"/>
  <c r="U67" i="625"/>
  <c r="V67" i="625"/>
  <c r="V68" i="625" s="1"/>
  <c r="W67" i="625"/>
  <c r="X67" i="625"/>
  <c r="X68" i="625" s="1"/>
  <c r="Y67" i="625"/>
  <c r="Z67" i="625"/>
  <c r="Z68" i="625" s="1"/>
  <c r="AA67" i="625"/>
  <c r="AA68" i="625" s="1"/>
  <c r="AB67" i="625"/>
  <c r="AC67" i="625"/>
  <c r="AD67" i="625"/>
  <c r="AD68" i="625" s="1"/>
  <c r="AE67" i="625"/>
  <c r="AF67" i="625"/>
  <c r="AF68" i="625" s="1"/>
  <c r="AG67" i="625"/>
  <c r="AH67" i="625"/>
  <c r="AH68" i="625" s="1"/>
  <c r="AI67" i="625"/>
  <c r="AI68" i="625" s="1"/>
  <c r="AJ67" i="625"/>
  <c r="AK67" i="625"/>
  <c r="AL67" i="625"/>
  <c r="AL68" i="625" s="1"/>
  <c r="AM67" i="625"/>
  <c r="AM68" i="625" s="1"/>
  <c r="AN67" i="625"/>
  <c r="AO67" i="625"/>
  <c r="AP67" i="625"/>
  <c r="AP68" i="625" s="1"/>
  <c r="AQ67" i="625"/>
  <c r="AQ68" i="625" s="1"/>
  <c r="AR67" i="625"/>
  <c r="AS67" i="625"/>
  <c r="AT67" i="625"/>
  <c r="AT68" i="625" s="1"/>
  <c r="AU67" i="625"/>
  <c r="AU68" i="625" s="1"/>
  <c r="AV67" i="625"/>
  <c r="AW67" i="625"/>
  <c r="AW68" i="625" s="1"/>
  <c r="AX67" i="625"/>
  <c r="AX68" i="625" s="1"/>
  <c r="AY67" i="625"/>
  <c r="AY68" i="625" s="1"/>
  <c r="AZ67" i="625"/>
  <c r="BA67" i="625"/>
  <c r="BB67" i="625"/>
  <c r="BB68" i="625" s="1"/>
  <c r="BC67" i="625"/>
  <c r="BC68" i="625" s="1"/>
  <c r="BD67" i="625"/>
  <c r="BD68" i="625" s="1"/>
  <c r="BE67" i="625"/>
  <c r="BF67" i="625"/>
  <c r="BF68" i="625" s="1"/>
  <c r="BG67" i="625"/>
  <c r="BG68" i="625" s="1"/>
  <c r="Y68" i="625"/>
  <c r="AG68" i="625"/>
  <c r="AN68" i="625"/>
  <c r="AO68" i="625"/>
  <c r="AV68" i="625"/>
  <c r="BE68" i="625"/>
  <c r="N73" i="625"/>
  <c r="O73" i="625"/>
  <c r="Q73" i="625"/>
  <c r="O74" i="625"/>
  <c r="L75" i="625"/>
  <c r="O75" i="625" s="1"/>
  <c r="O79" i="625" s="1"/>
  <c r="P75" i="625"/>
  <c r="AC75" i="625"/>
  <c r="K76" i="625"/>
  <c r="L76" i="625"/>
  <c r="O76" i="625" s="1"/>
  <c r="N75" i="625" s="1"/>
  <c r="M76" i="625"/>
  <c r="M79" i="625" s="1"/>
  <c r="M109" i="625" s="1"/>
  <c r="P76" i="625"/>
  <c r="Q75" i="625" s="1"/>
  <c r="Q79" i="625" s="1"/>
  <c r="O77" i="625"/>
  <c r="Q77" i="625"/>
  <c r="O78" i="625"/>
  <c r="N77" i="625" s="1"/>
  <c r="J79" i="625"/>
  <c r="K79" i="625"/>
  <c r="P79" i="625"/>
  <c r="S79" i="625"/>
  <c r="T79" i="625"/>
  <c r="U79" i="625"/>
  <c r="V79" i="625"/>
  <c r="W79" i="625"/>
  <c r="X79" i="625"/>
  <c r="Y79" i="625"/>
  <c r="Z79" i="625"/>
  <c r="AA79" i="625"/>
  <c r="AB79" i="625"/>
  <c r="AC79" i="625"/>
  <c r="AD79" i="625"/>
  <c r="AE79" i="625"/>
  <c r="AF79" i="625"/>
  <c r="AG79" i="625"/>
  <c r="AH79" i="625"/>
  <c r="AI79" i="625"/>
  <c r="AJ79" i="625"/>
  <c r="AK79" i="625"/>
  <c r="AL79" i="625"/>
  <c r="AM79" i="625"/>
  <c r="AN79" i="625"/>
  <c r="AO79" i="625"/>
  <c r="AP79" i="625"/>
  <c r="AQ79" i="625"/>
  <c r="AR79" i="625"/>
  <c r="AS79" i="625"/>
  <c r="AT79" i="625"/>
  <c r="AU79" i="625"/>
  <c r="AV79" i="625"/>
  <c r="AW79" i="625"/>
  <c r="AX79" i="625"/>
  <c r="AY79" i="625"/>
  <c r="AZ79" i="625"/>
  <c r="BA79" i="625"/>
  <c r="BB79" i="625"/>
  <c r="BC79" i="625"/>
  <c r="BD79" i="625"/>
  <c r="BE79" i="625"/>
  <c r="BF79" i="625"/>
  <c r="BG79" i="625"/>
  <c r="N88" i="625"/>
  <c r="Q88" i="625"/>
  <c r="Q90" i="625" s="1"/>
  <c r="J90" i="625"/>
  <c r="K90" i="625"/>
  <c r="L90" i="625"/>
  <c r="M90" i="625"/>
  <c r="O90" i="625"/>
  <c r="P90" i="625"/>
  <c r="S90" i="625"/>
  <c r="T90" i="625"/>
  <c r="U90" i="625"/>
  <c r="V90" i="625"/>
  <c r="W90" i="625"/>
  <c r="X90" i="625"/>
  <c r="Y90" i="625"/>
  <c r="Z90" i="625"/>
  <c r="AA90" i="625"/>
  <c r="AB90" i="625"/>
  <c r="AC90" i="625"/>
  <c r="AD90" i="625"/>
  <c r="AD109" i="625" s="1"/>
  <c r="AE90" i="625"/>
  <c r="AF90" i="625"/>
  <c r="AF109" i="625" s="1"/>
  <c r="AG90" i="625"/>
  <c r="AH90" i="625"/>
  <c r="AI90" i="625"/>
  <c r="AJ90" i="625"/>
  <c r="AK90" i="625"/>
  <c r="AL90" i="625"/>
  <c r="AM90" i="625"/>
  <c r="AN90" i="625"/>
  <c r="AO90" i="625"/>
  <c r="AP90" i="625"/>
  <c r="AQ90" i="625"/>
  <c r="AR90" i="625"/>
  <c r="AS90" i="625"/>
  <c r="AT90" i="625"/>
  <c r="AT109" i="625" s="1"/>
  <c r="AU90" i="625"/>
  <c r="AV90" i="625"/>
  <c r="AV109" i="625" s="1"/>
  <c r="AW90" i="625"/>
  <c r="AX90" i="625"/>
  <c r="AY90" i="625"/>
  <c r="AZ90" i="625"/>
  <c r="BA90" i="625"/>
  <c r="BB90" i="625"/>
  <c r="BC90" i="625"/>
  <c r="BD90" i="625"/>
  <c r="BE90" i="625"/>
  <c r="BF90" i="625"/>
  <c r="BG90" i="625"/>
  <c r="O95" i="625"/>
  <c r="Q95" i="625"/>
  <c r="O96" i="625"/>
  <c r="N95" i="625" s="1"/>
  <c r="O97" i="625"/>
  <c r="Q97" i="625"/>
  <c r="O98" i="625"/>
  <c r="N97" i="625" s="1"/>
  <c r="J99" i="625"/>
  <c r="K99" i="625"/>
  <c r="L99" i="625"/>
  <c r="M99" i="625"/>
  <c r="O99" i="625"/>
  <c r="N99" i="625" s="1"/>
  <c r="P99" i="625"/>
  <c r="S99" i="625"/>
  <c r="S109" i="625" s="1"/>
  <c r="T99" i="625"/>
  <c r="U99" i="625"/>
  <c r="V99" i="625"/>
  <c r="W99" i="625"/>
  <c r="X99" i="625"/>
  <c r="Y99" i="625"/>
  <c r="Z99" i="625"/>
  <c r="AA99" i="625"/>
  <c r="AA109" i="625" s="1"/>
  <c r="AB99" i="625"/>
  <c r="AC99" i="625"/>
  <c r="AD99" i="625"/>
  <c r="AE99" i="625"/>
  <c r="AF99" i="625"/>
  <c r="AG99" i="625"/>
  <c r="AH99" i="625"/>
  <c r="AI99" i="625"/>
  <c r="AI109" i="625" s="1"/>
  <c r="AJ99" i="625"/>
  <c r="AK99" i="625"/>
  <c r="AL99" i="625"/>
  <c r="AM99" i="625"/>
  <c r="AN99" i="625"/>
  <c r="AO99" i="625"/>
  <c r="AP99" i="625"/>
  <c r="AQ99" i="625"/>
  <c r="AQ109" i="625" s="1"/>
  <c r="AR99" i="625"/>
  <c r="AS99" i="625"/>
  <c r="AT99" i="625"/>
  <c r="AU99" i="625"/>
  <c r="AV99" i="625"/>
  <c r="AW99" i="625"/>
  <c r="AX99" i="625"/>
  <c r="AY99" i="625"/>
  <c r="AY109" i="625" s="1"/>
  <c r="AZ99" i="625"/>
  <c r="BA99" i="625"/>
  <c r="BB99" i="625"/>
  <c r="BC99" i="625"/>
  <c r="BD99" i="625"/>
  <c r="BE99" i="625"/>
  <c r="BF99" i="625"/>
  <c r="BG99" i="625"/>
  <c r="BG109" i="625" s="1"/>
  <c r="O102" i="625"/>
  <c r="Q102" i="625"/>
  <c r="Q108" i="625" s="1"/>
  <c r="O103" i="625"/>
  <c r="N102" i="625" s="1"/>
  <c r="O104" i="625"/>
  <c r="Q104" i="625"/>
  <c r="O105" i="625"/>
  <c r="N104" i="625" s="1"/>
  <c r="O106" i="625"/>
  <c r="Q106" i="625"/>
  <c r="O107" i="625"/>
  <c r="N106" i="625" s="1"/>
  <c r="J108" i="625"/>
  <c r="K108" i="625"/>
  <c r="K109" i="625" s="1"/>
  <c r="L108" i="625"/>
  <c r="M108" i="625"/>
  <c r="P108" i="625"/>
  <c r="S108" i="625"/>
  <c r="T108" i="625"/>
  <c r="T109" i="625" s="1"/>
  <c r="U108" i="625"/>
  <c r="V108" i="625"/>
  <c r="W108" i="625"/>
  <c r="W109" i="625" s="1"/>
  <c r="X108" i="625"/>
  <c r="Y108" i="625"/>
  <c r="Z108" i="625"/>
  <c r="AA108" i="625"/>
  <c r="AB108" i="625"/>
  <c r="AB109" i="625" s="1"/>
  <c r="AC108" i="625"/>
  <c r="AD108" i="625"/>
  <c r="AE108" i="625"/>
  <c r="AE109" i="625" s="1"/>
  <c r="AF108" i="625"/>
  <c r="AG108" i="625"/>
  <c r="AH108" i="625"/>
  <c r="AI108" i="625"/>
  <c r="AJ108" i="625"/>
  <c r="AJ109" i="625" s="1"/>
  <c r="AK108" i="625"/>
  <c r="AL108" i="625"/>
  <c r="AM108" i="625"/>
  <c r="AM109" i="625" s="1"/>
  <c r="AN108" i="625"/>
  <c r="AO108" i="625"/>
  <c r="AP108" i="625"/>
  <c r="AQ108" i="625"/>
  <c r="AR108" i="625"/>
  <c r="AR109" i="625" s="1"/>
  <c r="AS108" i="625"/>
  <c r="AT108" i="625"/>
  <c r="AU108" i="625"/>
  <c r="AU109" i="625" s="1"/>
  <c r="AV108" i="625"/>
  <c r="AW108" i="625"/>
  <c r="AX108" i="625"/>
  <c r="AY108" i="625"/>
  <c r="AZ108" i="625"/>
  <c r="AZ109" i="625" s="1"/>
  <c r="BA108" i="625"/>
  <c r="BB108" i="625"/>
  <c r="BC108" i="625"/>
  <c r="BC109" i="625" s="1"/>
  <c r="BD108" i="625"/>
  <c r="BE108" i="625"/>
  <c r="BF108" i="625"/>
  <c r="BG108" i="625"/>
  <c r="J109" i="625"/>
  <c r="V109" i="625"/>
  <c r="X109" i="625"/>
  <c r="AL109" i="625"/>
  <c r="AN109" i="625"/>
  <c r="BB109" i="625"/>
  <c r="BD109" i="625"/>
  <c r="P109" i="625" l="1"/>
  <c r="L54" i="625"/>
  <c r="N54" i="625" s="1"/>
  <c r="N90" i="625"/>
  <c r="L79" i="625"/>
  <c r="L109" i="625" s="1"/>
  <c r="K68" i="625"/>
  <c r="Q43" i="625"/>
  <c r="O34" i="625"/>
  <c r="N33" i="625" s="1"/>
  <c r="Q31" i="625"/>
  <c r="Q13" i="625"/>
  <c r="O108" i="625"/>
  <c r="N108" i="625" s="1"/>
  <c r="Y109" i="625"/>
  <c r="Q99" i="625"/>
  <c r="Q109" i="625" s="1"/>
  <c r="AE68" i="625"/>
  <c r="W68" i="625"/>
  <c r="L47" i="625"/>
  <c r="L68" i="625" s="1"/>
  <c r="Q45" i="625"/>
  <c r="O40" i="625"/>
  <c r="N39" i="625" s="1"/>
  <c r="O28" i="625"/>
  <c r="N27" i="625" s="1"/>
  <c r="O26" i="625"/>
  <c r="N25" i="625" s="1"/>
  <c r="O24" i="625"/>
  <c r="N23" i="625" s="1"/>
  <c r="O22" i="625"/>
  <c r="N21" i="625" s="1"/>
  <c r="O6" i="625"/>
  <c r="N5" i="625" s="1"/>
  <c r="BE109" i="625"/>
  <c r="Q41" i="625"/>
  <c r="Q33" i="625"/>
  <c r="O30" i="625"/>
  <c r="N29" i="625" s="1"/>
  <c r="Q19" i="625"/>
  <c r="O16" i="625"/>
  <c r="N15" i="625" s="1"/>
  <c r="Q7" i="625"/>
  <c r="AO109" i="625"/>
  <c r="BA109" i="625"/>
  <c r="AS109" i="625"/>
  <c r="AK109" i="625"/>
  <c r="AC109" i="625"/>
  <c r="U109" i="625"/>
  <c r="O67" i="625"/>
  <c r="N67" i="625" s="1"/>
  <c r="M68" i="625"/>
  <c r="AG109" i="625"/>
  <c r="BF109" i="625"/>
  <c r="AX109" i="625"/>
  <c r="AP109" i="625"/>
  <c r="AH109" i="625"/>
  <c r="Z109" i="625"/>
  <c r="AZ68" i="625"/>
  <c r="AR68" i="625"/>
  <c r="AJ68" i="625"/>
  <c r="AB68" i="625"/>
  <c r="T68" i="625"/>
  <c r="P47" i="625"/>
  <c r="P68" i="625" s="1"/>
  <c r="Q9" i="625"/>
  <c r="N54" i="626"/>
  <c r="AW109" i="625"/>
  <c r="BA68" i="625"/>
  <c r="AS68" i="625"/>
  <c r="AK68" i="625"/>
  <c r="AC68" i="625"/>
  <c r="U68" i="625"/>
  <c r="N79" i="626"/>
  <c r="N109" i="626"/>
  <c r="O47" i="626"/>
  <c r="Q47" i="625"/>
  <c r="Q68" i="625" s="1"/>
  <c r="N79" i="625"/>
  <c r="O109" i="625"/>
  <c r="N109" i="625" s="1"/>
  <c r="Q48" i="625"/>
  <c r="Q54" i="625" s="1"/>
  <c r="O20" i="625"/>
  <c r="N19" i="625" s="1"/>
  <c r="O18" i="625"/>
  <c r="N17" i="625" s="1"/>
  <c r="O47" i="625"/>
  <c r="K52" i="624"/>
  <c r="O68" i="626" l="1"/>
  <c r="N68" i="626" s="1"/>
  <c r="N47" i="626"/>
  <c r="N47" i="625"/>
  <c r="O68" i="625"/>
  <c r="N68" i="625" s="1"/>
  <c r="O5" i="624"/>
  <c r="K6" i="624"/>
  <c r="L6" i="624"/>
  <c r="Q5" i="624" s="1"/>
  <c r="M6" i="624"/>
  <c r="P6" i="624"/>
  <c r="O7" i="624"/>
  <c r="K8" i="624"/>
  <c r="L8" i="624"/>
  <c r="M8" i="624"/>
  <c r="O8" i="624" s="1"/>
  <c r="N7" i="624" s="1"/>
  <c r="P8" i="624"/>
  <c r="O9" i="624"/>
  <c r="K10" i="624"/>
  <c r="L10" i="624"/>
  <c r="M10" i="624"/>
  <c r="O10" i="624" s="1"/>
  <c r="N9" i="624" s="1"/>
  <c r="P10" i="624"/>
  <c r="O11" i="624"/>
  <c r="K12" i="624"/>
  <c r="L12" i="624"/>
  <c r="M12" i="624"/>
  <c r="O12" i="624" s="1"/>
  <c r="N11" i="624" s="1"/>
  <c r="P12" i="624"/>
  <c r="O13" i="624"/>
  <c r="K14" i="624"/>
  <c r="L14" i="624"/>
  <c r="M14" i="624"/>
  <c r="P14" i="624"/>
  <c r="O15" i="624"/>
  <c r="K16" i="624"/>
  <c r="L16" i="624"/>
  <c r="O16" i="624"/>
  <c r="N15" i="624" s="1"/>
  <c r="P16" i="624"/>
  <c r="O17" i="624"/>
  <c r="K18" i="624"/>
  <c r="L18" i="624"/>
  <c r="M18" i="624"/>
  <c r="O18" i="624" s="1"/>
  <c r="N17" i="624" s="1"/>
  <c r="P18" i="624"/>
  <c r="Q17" i="624" s="1"/>
  <c r="O19" i="624"/>
  <c r="AH19" i="624"/>
  <c r="K20" i="624"/>
  <c r="L20" i="624"/>
  <c r="M20" i="624"/>
  <c r="O20" i="624" s="1"/>
  <c r="N19" i="624" s="1"/>
  <c r="P20" i="624"/>
  <c r="Q19" i="624" s="1"/>
  <c r="O21" i="624"/>
  <c r="K22" i="624"/>
  <c r="L22" i="624"/>
  <c r="M22" i="624"/>
  <c r="O22" i="624" s="1"/>
  <c r="N21" i="624" s="1"/>
  <c r="P22" i="624"/>
  <c r="O23" i="624"/>
  <c r="K24" i="624"/>
  <c r="L24" i="624"/>
  <c r="M24" i="624"/>
  <c r="P24" i="624"/>
  <c r="O25" i="624"/>
  <c r="K26" i="624"/>
  <c r="L26" i="624"/>
  <c r="M26" i="624"/>
  <c r="O26" i="624" s="1"/>
  <c r="N25" i="624" s="1"/>
  <c r="P26" i="624"/>
  <c r="O27" i="624"/>
  <c r="K28" i="624"/>
  <c r="L28" i="624"/>
  <c r="M28" i="624"/>
  <c r="O28" i="624" s="1"/>
  <c r="N27" i="624" s="1"/>
  <c r="P28" i="624"/>
  <c r="O29" i="624"/>
  <c r="K30" i="624"/>
  <c r="L30" i="624"/>
  <c r="M30" i="624"/>
  <c r="O30" i="624" s="1"/>
  <c r="N29" i="624" s="1"/>
  <c r="P30" i="624"/>
  <c r="Q29" i="624" s="1"/>
  <c r="O31" i="624"/>
  <c r="K32" i="624"/>
  <c r="L32" i="624"/>
  <c r="O32" i="624" s="1"/>
  <c r="N31" i="624" s="1"/>
  <c r="M32" i="624"/>
  <c r="P32" i="624"/>
  <c r="Q31" i="624" s="1"/>
  <c r="M33" i="624"/>
  <c r="O33" i="624"/>
  <c r="P33" i="624"/>
  <c r="AL33" i="624"/>
  <c r="AL45" i="624" s="1"/>
  <c r="K34" i="624"/>
  <c r="L34" i="624"/>
  <c r="O34" i="624" s="1"/>
  <c r="M34" i="624"/>
  <c r="P34" i="624"/>
  <c r="O35" i="624"/>
  <c r="K36" i="624"/>
  <c r="L36" i="624"/>
  <c r="M36" i="624"/>
  <c r="P36" i="624"/>
  <c r="O37" i="624"/>
  <c r="K38" i="624"/>
  <c r="L38" i="624"/>
  <c r="O38" i="624" s="1"/>
  <c r="N37" i="624" s="1"/>
  <c r="M38" i="624"/>
  <c r="P38" i="624"/>
  <c r="O39" i="624"/>
  <c r="K40" i="624"/>
  <c r="L40" i="624"/>
  <c r="O40" i="624" s="1"/>
  <c r="N39" i="624" s="1"/>
  <c r="P40" i="624"/>
  <c r="O41" i="624"/>
  <c r="K42" i="624"/>
  <c r="L42" i="624"/>
  <c r="M42" i="624"/>
  <c r="P42" i="624"/>
  <c r="O43" i="624"/>
  <c r="K44" i="624"/>
  <c r="L44" i="624"/>
  <c r="O44" i="624" s="1"/>
  <c r="N43" i="624" s="1"/>
  <c r="M44" i="624"/>
  <c r="P44" i="624"/>
  <c r="J45" i="624"/>
  <c r="S45" i="624"/>
  <c r="T45" i="624"/>
  <c r="U45" i="624"/>
  <c r="V45" i="624"/>
  <c r="W45" i="624"/>
  <c r="X45" i="624"/>
  <c r="Y45" i="624"/>
  <c r="Z45" i="624"/>
  <c r="AA45" i="624"/>
  <c r="AB45" i="624"/>
  <c r="AC45" i="624"/>
  <c r="AC66" i="624" s="1"/>
  <c r="AD45" i="624"/>
  <c r="AE45" i="624"/>
  <c r="AF45" i="624"/>
  <c r="AG45" i="624"/>
  <c r="AH45" i="624"/>
  <c r="AI45" i="624"/>
  <c r="AJ45" i="624"/>
  <c r="AK45" i="624"/>
  <c r="AM45" i="624"/>
  <c r="AN45" i="624"/>
  <c r="AO45" i="624"/>
  <c r="AP45" i="624"/>
  <c r="AQ45" i="624"/>
  <c r="AR45" i="624"/>
  <c r="AS45" i="624"/>
  <c r="AS66" i="624" s="1"/>
  <c r="AT45" i="624"/>
  <c r="AU45" i="624"/>
  <c r="AV45" i="624"/>
  <c r="AW45" i="624"/>
  <c r="AX45" i="624"/>
  <c r="AY45" i="624"/>
  <c r="AZ45" i="624"/>
  <c r="BA45" i="624"/>
  <c r="BB45" i="624"/>
  <c r="BC45" i="624"/>
  <c r="BD45" i="624"/>
  <c r="BE45" i="624"/>
  <c r="BF45" i="624"/>
  <c r="BG45" i="624"/>
  <c r="O46" i="624"/>
  <c r="Q46" i="624"/>
  <c r="Q52" i="624" s="1"/>
  <c r="O47" i="624"/>
  <c r="O52" i="624" s="1"/>
  <c r="N52" i="624" s="1"/>
  <c r="J52" i="624"/>
  <c r="L52" i="624"/>
  <c r="M52" i="624"/>
  <c r="P52" i="624"/>
  <c r="S52" i="624"/>
  <c r="T52" i="624"/>
  <c r="U52" i="624"/>
  <c r="U66" i="624" s="1"/>
  <c r="V52" i="624"/>
  <c r="W52" i="624"/>
  <c r="X52" i="624"/>
  <c r="Y52" i="624"/>
  <c r="Z52" i="624"/>
  <c r="AA52" i="624"/>
  <c r="AB52" i="624"/>
  <c r="AC52" i="624"/>
  <c r="AD52" i="624"/>
  <c r="AE52" i="624"/>
  <c r="AF52" i="624"/>
  <c r="AG52" i="624"/>
  <c r="AH52" i="624"/>
  <c r="AI52" i="624"/>
  <c r="AJ52" i="624"/>
  <c r="AK52" i="624"/>
  <c r="AK66" i="624" s="1"/>
  <c r="AL52" i="624"/>
  <c r="AM52" i="624"/>
  <c r="AN52" i="624"/>
  <c r="AO52" i="624"/>
  <c r="AP52" i="624"/>
  <c r="AQ52" i="624"/>
  <c r="AR52" i="624"/>
  <c r="AS52" i="624"/>
  <c r="AT52" i="624"/>
  <c r="AU52" i="624"/>
  <c r="AV52" i="624"/>
  <c r="AW52" i="624"/>
  <c r="AX52" i="624"/>
  <c r="AY52" i="624"/>
  <c r="AZ52" i="624"/>
  <c r="BA52" i="624"/>
  <c r="BA66" i="624" s="1"/>
  <c r="BB52" i="624"/>
  <c r="BC52" i="624"/>
  <c r="BD52" i="624"/>
  <c r="BE52" i="624"/>
  <c r="BF52" i="624"/>
  <c r="BG52" i="624"/>
  <c r="O55" i="624"/>
  <c r="O65" i="624" s="1"/>
  <c r="N65" i="624" s="1"/>
  <c r="Q55" i="624"/>
  <c r="O56" i="624"/>
  <c r="N55" i="624" s="1"/>
  <c r="O57" i="624"/>
  <c r="Q57" i="624"/>
  <c r="Q65" i="624" s="1"/>
  <c r="O58" i="624"/>
  <c r="N57" i="624" s="1"/>
  <c r="N59" i="624"/>
  <c r="O59" i="624"/>
  <c r="Q59" i="624"/>
  <c r="O60" i="624"/>
  <c r="O61" i="624"/>
  <c r="Q61" i="624"/>
  <c r="O62" i="624"/>
  <c r="N61" i="624" s="1"/>
  <c r="N63" i="624"/>
  <c r="J65" i="624"/>
  <c r="J66" i="624" s="1"/>
  <c r="K65" i="624"/>
  <c r="L65" i="624"/>
  <c r="M65" i="624"/>
  <c r="P65" i="624"/>
  <c r="S65" i="624"/>
  <c r="T65" i="624"/>
  <c r="U65" i="624"/>
  <c r="V65" i="624"/>
  <c r="V66" i="624" s="1"/>
  <c r="W65" i="624"/>
  <c r="X65" i="624"/>
  <c r="Y65" i="624"/>
  <c r="Y66" i="624" s="1"/>
  <c r="Z65" i="624"/>
  <c r="AA65" i="624"/>
  <c r="AB65" i="624"/>
  <c r="AC65" i="624"/>
  <c r="AD65" i="624"/>
  <c r="AD66" i="624" s="1"/>
  <c r="AE65" i="624"/>
  <c r="AF65" i="624"/>
  <c r="AG65" i="624"/>
  <c r="AG66" i="624" s="1"/>
  <c r="AH65" i="624"/>
  <c r="AI65" i="624"/>
  <c r="AJ65" i="624"/>
  <c r="AK65" i="624"/>
  <c r="AL65" i="624"/>
  <c r="AM65" i="624"/>
  <c r="AN65" i="624"/>
  <c r="AO65" i="624"/>
  <c r="AO66" i="624" s="1"/>
  <c r="AP65" i="624"/>
  <c r="AQ65" i="624"/>
  <c r="AR65" i="624"/>
  <c r="AS65" i="624"/>
  <c r="AT65" i="624"/>
  <c r="AT66" i="624" s="1"/>
  <c r="AU65" i="624"/>
  <c r="AV65" i="624"/>
  <c r="AW65" i="624"/>
  <c r="AW66" i="624" s="1"/>
  <c r="AX65" i="624"/>
  <c r="AY65" i="624"/>
  <c r="AZ65" i="624"/>
  <c r="BA65" i="624"/>
  <c r="BB65" i="624"/>
  <c r="BB66" i="624" s="1"/>
  <c r="BC65" i="624"/>
  <c r="BD65" i="624"/>
  <c r="BE65" i="624"/>
  <c r="BE66" i="624" s="1"/>
  <c r="BF65" i="624"/>
  <c r="BG65" i="624"/>
  <c r="T66" i="624"/>
  <c r="X66" i="624"/>
  <c r="Z66" i="624"/>
  <c r="AB66" i="624"/>
  <c r="AF66" i="624"/>
  <c r="AH66" i="624"/>
  <c r="AJ66" i="624"/>
  <c r="AN66" i="624"/>
  <c r="AP66" i="624"/>
  <c r="AR66" i="624"/>
  <c r="AV66" i="624"/>
  <c r="AX66" i="624"/>
  <c r="AZ66" i="624"/>
  <c r="BD66" i="624"/>
  <c r="BF66" i="624"/>
  <c r="N71" i="624"/>
  <c r="O71" i="624"/>
  <c r="Q71" i="624"/>
  <c r="O72" i="624"/>
  <c r="K73" i="624"/>
  <c r="K77" i="624" s="1"/>
  <c r="L73" i="624"/>
  <c r="M73" i="624"/>
  <c r="M77" i="624" s="1"/>
  <c r="P73" i="624"/>
  <c r="P77" i="624" s="1"/>
  <c r="K74" i="624"/>
  <c r="L74" i="624"/>
  <c r="M74" i="624"/>
  <c r="P74" i="624"/>
  <c r="N75" i="624"/>
  <c r="O75" i="624"/>
  <c r="Q75" i="624"/>
  <c r="O76" i="624"/>
  <c r="J77" i="624"/>
  <c r="J107" i="624" s="1"/>
  <c r="S77" i="624"/>
  <c r="T77" i="624"/>
  <c r="U77" i="624"/>
  <c r="V77" i="624"/>
  <c r="V107" i="624" s="1"/>
  <c r="W77" i="624"/>
  <c r="X77" i="624"/>
  <c r="Y77" i="624"/>
  <c r="Z77" i="624"/>
  <c r="AA77" i="624"/>
  <c r="AB77" i="624"/>
  <c r="AC77" i="624"/>
  <c r="AD77" i="624"/>
  <c r="AE77" i="624"/>
  <c r="AF77" i="624"/>
  <c r="AG77" i="624"/>
  <c r="AH77" i="624"/>
  <c r="AI77" i="624"/>
  <c r="AJ77" i="624"/>
  <c r="AK77" i="624"/>
  <c r="AL77" i="624"/>
  <c r="AM77" i="624"/>
  <c r="AN77" i="624"/>
  <c r="AO77" i="624"/>
  <c r="AP77" i="624"/>
  <c r="AQ77" i="624"/>
  <c r="AR77" i="624"/>
  <c r="AS77" i="624"/>
  <c r="AT77" i="624"/>
  <c r="AU77" i="624"/>
  <c r="AV77" i="624"/>
  <c r="AW77" i="624"/>
  <c r="AX77" i="624"/>
  <c r="AY77" i="624"/>
  <c r="AZ77" i="624"/>
  <c r="BA77" i="624"/>
  <c r="BB77" i="624"/>
  <c r="BC77" i="624"/>
  <c r="BD77" i="624"/>
  <c r="BE77" i="624"/>
  <c r="BF77" i="624"/>
  <c r="BG77" i="624"/>
  <c r="N86" i="624"/>
  <c r="Q86" i="624"/>
  <c r="J88" i="624"/>
  <c r="K88" i="624"/>
  <c r="L88" i="624"/>
  <c r="M88" i="624"/>
  <c r="O88" i="624"/>
  <c r="P88" i="624"/>
  <c r="Q88" i="624"/>
  <c r="S88" i="624"/>
  <c r="T88" i="624"/>
  <c r="U88" i="624"/>
  <c r="V88" i="624"/>
  <c r="W88" i="624"/>
  <c r="X88" i="624"/>
  <c r="Y88" i="624"/>
  <c r="Z88" i="624"/>
  <c r="AA88" i="624"/>
  <c r="AB88" i="624"/>
  <c r="AC88" i="624"/>
  <c r="AD88" i="624"/>
  <c r="AE88" i="624"/>
  <c r="AF88" i="624"/>
  <c r="AG88" i="624"/>
  <c r="AH88" i="624"/>
  <c r="AI88" i="624"/>
  <c r="AJ88" i="624"/>
  <c r="AK88" i="624"/>
  <c r="AL88" i="624"/>
  <c r="AL107" i="624" s="1"/>
  <c r="AM88" i="624"/>
  <c r="AN88" i="624"/>
  <c r="AO88" i="624"/>
  <c r="AP88" i="624"/>
  <c r="AQ88" i="624"/>
  <c r="AR88" i="624"/>
  <c r="AS88" i="624"/>
  <c r="AT88" i="624"/>
  <c r="AT107" i="624" s="1"/>
  <c r="AU88" i="624"/>
  <c r="AV88" i="624"/>
  <c r="AW88" i="624"/>
  <c r="AX88" i="624"/>
  <c r="AY88" i="624"/>
  <c r="AZ88" i="624"/>
  <c r="BA88" i="624"/>
  <c r="BB88" i="624"/>
  <c r="BB107" i="624" s="1"/>
  <c r="BC88" i="624"/>
  <c r="BD88" i="624"/>
  <c r="BE88" i="624"/>
  <c r="BF88" i="624"/>
  <c r="BG88" i="624"/>
  <c r="N93" i="624"/>
  <c r="O93" i="624"/>
  <c r="Q93" i="624"/>
  <c r="Q97" i="624" s="1"/>
  <c r="O94" i="624"/>
  <c r="N95" i="624"/>
  <c r="O95" i="624"/>
  <c r="Q95" i="624"/>
  <c r="O96" i="624"/>
  <c r="J97" i="624"/>
  <c r="K97" i="624"/>
  <c r="L97" i="624"/>
  <c r="M97" i="624"/>
  <c r="P97" i="624"/>
  <c r="S97" i="624"/>
  <c r="T97" i="624"/>
  <c r="U97" i="624"/>
  <c r="V97" i="624"/>
  <c r="W97" i="624"/>
  <c r="X97" i="624"/>
  <c r="Y97" i="624"/>
  <c r="Z97" i="624"/>
  <c r="AA97" i="624"/>
  <c r="AB97" i="624"/>
  <c r="AC97" i="624"/>
  <c r="AD97" i="624"/>
  <c r="AE97" i="624"/>
  <c r="AF97" i="624"/>
  <c r="AG97" i="624"/>
  <c r="AH97" i="624"/>
  <c r="AI97" i="624"/>
  <c r="AJ97" i="624"/>
  <c r="AK97" i="624"/>
  <c r="AL97" i="624"/>
  <c r="AM97" i="624"/>
  <c r="AN97" i="624"/>
  <c r="AO97" i="624"/>
  <c r="AP97" i="624"/>
  <c r="AQ97" i="624"/>
  <c r="AR97" i="624"/>
  <c r="AS97" i="624"/>
  <c r="AT97" i="624"/>
  <c r="AU97" i="624"/>
  <c r="AV97" i="624"/>
  <c r="AW97" i="624"/>
  <c r="AX97" i="624"/>
  <c r="AY97" i="624"/>
  <c r="AZ97" i="624"/>
  <c r="BA97" i="624"/>
  <c r="BB97" i="624"/>
  <c r="BC97" i="624"/>
  <c r="BD97" i="624"/>
  <c r="BE97" i="624"/>
  <c r="BF97" i="624"/>
  <c r="BG97" i="624"/>
  <c r="O100" i="624"/>
  <c r="Q100" i="624"/>
  <c r="O101" i="624"/>
  <c r="N100" i="624" s="1"/>
  <c r="O102" i="624"/>
  <c r="Q102" i="624"/>
  <c r="Q106" i="624" s="1"/>
  <c r="O103" i="624"/>
  <c r="N102" i="624" s="1"/>
  <c r="O104" i="624"/>
  <c r="Q104" i="624"/>
  <c r="O105" i="624"/>
  <c r="N104" i="624" s="1"/>
  <c r="J106" i="624"/>
  <c r="K106" i="624"/>
  <c r="L106" i="624"/>
  <c r="M106" i="624"/>
  <c r="P106" i="624"/>
  <c r="S106" i="624"/>
  <c r="T106" i="624"/>
  <c r="U106" i="624"/>
  <c r="V106" i="624"/>
  <c r="W106" i="624"/>
  <c r="X106" i="624"/>
  <c r="Y106" i="624"/>
  <c r="Y107" i="624" s="1"/>
  <c r="Z106" i="624"/>
  <c r="Z107" i="624" s="1"/>
  <c r="AA106" i="624"/>
  <c r="AB106" i="624"/>
  <c r="AC106" i="624"/>
  <c r="AD106" i="624"/>
  <c r="AE106" i="624"/>
  <c r="AF106" i="624"/>
  <c r="AG106" i="624"/>
  <c r="AH106" i="624"/>
  <c r="AH107" i="624" s="1"/>
  <c r="AI106" i="624"/>
  <c r="AJ106" i="624"/>
  <c r="AK106" i="624"/>
  <c r="AL106" i="624"/>
  <c r="AM106" i="624"/>
  <c r="AN106" i="624"/>
  <c r="AO106" i="624"/>
  <c r="AO107" i="624" s="1"/>
  <c r="AP106" i="624"/>
  <c r="AP107" i="624" s="1"/>
  <c r="AQ106" i="624"/>
  <c r="AR106" i="624"/>
  <c r="AS106" i="624"/>
  <c r="AT106" i="624"/>
  <c r="AU106" i="624"/>
  <c r="AV106" i="624"/>
  <c r="AW106" i="624"/>
  <c r="AW107" i="624" s="1"/>
  <c r="AX106" i="624"/>
  <c r="AX107" i="624" s="1"/>
  <c r="AY106" i="624"/>
  <c r="AZ106" i="624"/>
  <c r="BA106" i="624"/>
  <c r="BB106" i="624"/>
  <c r="BC106" i="624"/>
  <c r="BD106" i="624"/>
  <c r="BE106" i="624"/>
  <c r="BF106" i="624"/>
  <c r="BF107" i="624" s="1"/>
  <c r="BG106" i="624"/>
  <c r="U107" i="624"/>
  <c r="AC107" i="624"/>
  <c r="AD107" i="624"/>
  <c r="AG107" i="624"/>
  <c r="AK107" i="624"/>
  <c r="AS107" i="624"/>
  <c r="BA107" i="624"/>
  <c r="BE107" i="624"/>
  <c r="BC107" i="624" l="1"/>
  <c r="AU107" i="624"/>
  <c r="AM107" i="624"/>
  <c r="AE107" i="624"/>
  <c r="W107" i="624"/>
  <c r="O97" i="624"/>
  <c r="N97" i="624" s="1"/>
  <c r="AL66" i="624"/>
  <c r="Q23" i="624"/>
  <c r="Q13" i="624"/>
  <c r="K107" i="624"/>
  <c r="BG66" i="624"/>
  <c r="AY66" i="624"/>
  <c r="AQ66" i="624"/>
  <c r="AI66" i="624"/>
  <c r="AA66" i="624"/>
  <c r="S66" i="624"/>
  <c r="K45" i="624"/>
  <c r="K66" i="624" s="1"/>
  <c r="N46" i="624"/>
  <c r="O36" i="624"/>
  <c r="N35" i="624" s="1"/>
  <c r="Q25" i="624"/>
  <c r="Q15" i="624"/>
  <c r="Q7" i="624"/>
  <c r="AR107" i="624"/>
  <c r="AB107" i="624"/>
  <c r="T107" i="624"/>
  <c r="M45" i="624"/>
  <c r="M66" i="624" s="1"/>
  <c r="M107" i="624"/>
  <c r="AZ107" i="624"/>
  <c r="AJ107" i="624"/>
  <c r="BG107" i="624"/>
  <c r="AY107" i="624"/>
  <c r="AQ107" i="624"/>
  <c r="AI107" i="624"/>
  <c r="AA107" i="624"/>
  <c r="S107" i="624"/>
  <c r="O74" i="624"/>
  <c r="N73" i="624" s="1"/>
  <c r="O42" i="624"/>
  <c r="N41" i="624" s="1"/>
  <c r="Q27" i="624"/>
  <c r="Q9" i="624"/>
  <c r="BD107" i="624"/>
  <c r="N88" i="624"/>
  <c r="BC66" i="624"/>
  <c r="AU66" i="624"/>
  <c r="AM66" i="624"/>
  <c r="AE66" i="624"/>
  <c r="W66" i="624"/>
  <c r="P45" i="624"/>
  <c r="P66" i="624" s="1"/>
  <c r="AV107" i="624"/>
  <c r="AN107" i="624"/>
  <c r="AF107" i="624"/>
  <c r="X107" i="624"/>
  <c r="P107" i="624"/>
  <c r="O24" i="624"/>
  <c r="N23" i="624" s="1"/>
  <c r="Q21" i="624"/>
  <c r="O14" i="624"/>
  <c r="N13" i="624" s="1"/>
  <c r="Q11" i="624"/>
  <c r="Q45" i="624" s="1"/>
  <c r="Q66" i="624" s="1"/>
  <c r="O6" i="624"/>
  <c r="N5" i="624" s="1"/>
  <c r="N33" i="624"/>
  <c r="O45" i="624"/>
  <c r="O106" i="624"/>
  <c r="N106" i="624" s="1"/>
  <c r="Q73" i="624"/>
  <c r="Q77" i="624" s="1"/>
  <c r="Q107" i="624" s="1"/>
  <c r="Q39" i="624"/>
  <c r="Q37" i="624"/>
  <c r="Q35" i="624"/>
  <c r="L45" i="624"/>
  <c r="L66" i="624" s="1"/>
  <c r="Q43" i="624"/>
  <c r="Q41" i="624"/>
  <c r="Q33" i="624"/>
  <c r="O73" i="624"/>
  <c r="O77" i="624" s="1"/>
  <c r="L77" i="624"/>
  <c r="L107" i="624" s="1"/>
  <c r="N77" i="624" l="1"/>
  <c r="O107" i="624"/>
  <c r="N107" i="624" s="1"/>
  <c r="O66" i="624"/>
  <c r="N66" i="624" s="1"/>
  <c r="N45" i="624"/>
  <c r="O5" i="623"/>
  <c r="K6" i="623"/>
  <c r="L6" i="623"/>
  <c r="M6" i="623"/>
  <c r="M47" i="623" s="1"/>
  <c r="P6" i="623"/>
  <c r="O7" i="623"/>
  <c r="K8" i="623"/>
  <c r="L8" i="623"/>
  <c r="O8" i="623" s="1"/>
  <c r="N7" i="623" s="1"/>
  <c r="M8" i="623"/>
  <c r="P8" i="623"/>
  <c r="Q7" i="623" s="1"/>
  <c r="O9" i="623"/>
  <c r="K10" i="623"/>
  <c r="L10" i="623"/>
  <c r="M10" i="623"/>
  <c r="O10" i="623"/>
  <c r="N9" i="623" s="1"/>
  <c r="P10" i="623"/>
  <c r="Q9" i="623" s="1"/>
  <c r="O11" i="623"/>
  <c r="K12" i="623"/>
  <c r="L12" i="623"/>
  <c r="M12" i="623"/>
  <c r="O12" i="623"/>
  <c r="N11" i="623" s="1"/>
  <c r="P12" i="623"/>
  <c r="Q11" i="623" s="1"/>
  <c r="O13" i="623"/>
  <c r="K14" i="623"/>
  <c r="L14" i="623"/>
  <c r="O14" i="623" s="1"/>
  <c r="N13" i="623" s="1"/>
  <c r="M14" i="623"/>
  <c r="P14" i="623"/>
  <c r="O15" i="623"/>
  <c r="K16" i="623"/>
  <c r="L16" i="623"/>
  <c r="O16" i="623" s="1"/>
  <c r="N15" i="623" s="1"/>
  <c r="M16" i="623"/>
  <c r="P16" i="623"/>
  <c r="Q15" i="623" s="1"/>
  <c r="O17" i="623"/>
  <c r="K18" i="623"/>
  <c r="L18" i="623"/>
  <c r="Q17" i="623" s="1"/>
  <c r="O18" i="623"/>
  <c r="N17" i="623" s="1"/>
  <c r="O19" i="623"/>
  <c r="K20" i="623"/>
  <c r="L20" i="623"/>
  <c r="Q19" i="623" s="1"/>
  <c r="M20" i="623"/>
  <c r="P20" i="623"/>
  <c r="O21" i="623"/>
  <c r="K22" i="623"/>
  <c r="L22" i="623"/>
  <c r="Q21" i="623" s="1"/>
  <c r="M22" i="623"/>
  <c r="P22" i="623"/>
  <c r="N23" i="623"/>
  <c r="O23" i="623"/>
  <c r="K24" i="623"/>
  <c r="L24" i="623"/>
  <c r="M24" i="623"/>
  <c r="O24" i="623"/>
  <c r="P24" i="623"/>
  <c r="O25" i="623"/>
  <c r="K26" i="623"/>
  <c r="L26" i="623"/>
  <c r="M26" i="623"/>
  <c r="O26" i="623"/>
  <c r="N25" i="623" s="1"/>
  <c r="P26" i="623"/>
  <c r="N27" i="623"/>
  <c r="O27" i="623"/>
  <c r="K28" i="623"/>
  <c r="L28" i="623"/>
  <c r="M28" i="623"/>
  <c r="O28" i="623"/>
  <c r="P28" i="623"/>
  <c r="O29" i="623"/>
  <c r="K30" i="623"/>
  <c r="L30" i="623"/>
  <c r="Q29" i="623" s="1"/>
  <c r="M30" i="623"/>
  <c r="P30" i="623"/>
  <c r="O31" i="623"/>
  <c r="K32" i="623"/>
  <c r="L32" i="623"/>
  <c r="O32" i="623" s="1"/>
  <c r="N31" i="623" s="1"/>
  <c r="M32" i="623"/>
  <c r="P32" i="623"/>
  <c r="O33" i="623"/>
  <c r="K34" i="623"/>
  <c r="L34" i="623"/>
  <c r="Q33" i="623" s="1"/>
  <c r="M34" i="623"/>
  <c r="O34" i="623"/>
  <c r="N33" i="623" s="1"/>
  <c r="P34" i="623"/>
  <c r="O35" i="623"/>
  <c r="K36" i="623"/>
  <c r="L36" i="623"/>
  <c r="Q35" i="623" s="1"/>
  <c r="M36" i="623"/>
  <c r="P36" i="623"/>
  <c r="O37" i="623"/>
  <c r="K38" i="623"/>
  <c r="L38" i="623"/>
  <c r="Q37" i="623" s="1"/>
  <c r="M38" i="623"/>
  <c r="O38" i="623" s="1"/>
  <c r="N37" i="623" s="1"/>
  <c r="P38" i="623"/>
  <c r="O39" i="623"/>
  <c r="K40" i="623"/>
  <c r="L40" i="623"/>
  <c r="Q39" i="623" s="1"/>
  <c r="M40" i="623"/>
  <c r="O40" i="623"/>
  <c r="N39" i="623" s="1"/>
  <c r="P40" i="623"/>
  <c r="O41" i="623"/>
  <c r="K42" i="623"/>
  <c r="L42" i="623"/>
  <c r="O42" i="623"/>
  <c r="N41" i="623" s="1"/>
  <c r="P42" i="623"/>
  <c r="Q41" i="623" s="1"/>
  <c r="O43" i="623"/>
  <c r="Q43" i="623"/>
  <c r="K44" i="623"/>
  <c r="L44" i="623"/>
  <c r="O44" i="623" s="1"/>
  <c r="N43" i="623" s="1"/>
  <c r="M44" i="623"/>
  <c r="P44" i="623"/>
  <c r="O45" i="623"/>
  <c r="K46" i="623"/>
  <c r="L46" i="623"/>
  <c r="Q45" i="623" s="1"/>
  <c r="M46" i="623"/>
  <c r="O46" i="623"/>
  <c r="N45" i="623" s="1"/>
  <c r="P46" i="623"/>
  <c r="J47" i="623"/>
  <c r="S47" i="623"/>
  <c r="T47" i="623"/>
  <c r="U47" i="623"/>
  <c r="V47" i="623"/>
  <c r="W47" i="623"/>
  <c r="X47" i="623"/>
  <c r="Y47" i="623"/>
  <c r="Z47" i="623"/>
  <c r="AA47" i="623"/>
  <c r="AB47" i="623"/>
  <c r="AC47" i="623"/>
  <c r="AD47" i="623"/>
  <c r="AE47" i="623"/>
  <c r="AF47" i="623"/>
  <c r="AG47" i="623"/>
  <c r="AH47" i="623"/>
  <c r="AI47" i="623"/>
  <c r="AJ47" i="623"/>
  <c r="AK47" i="623"/>
  <c r="AL47" i="623"/>
  <c r="AM47" i="623"/>
  <c r="AN47" i="623"/>
  <c r="AO47" i="623"/>
  <c r="AP47" i="623"/>
  <c r="AQ47" i="623"/>
  <c r="AR47" i="623"/>
  <c r="AS47" i="623"/>
  <c r="AT47" i="623"/>
  <c r="AU47" i="623"/>
  <c r="AV47" i="623"/>
  <c r="AW47" i="623"/>
  <c r="AX47" i="623"/>
  <c r="AY47" i="623"/>
  <c r="AZ47" i="623"/>
  <c r="BA47" i="623"/>
  <c r="BB47" i="623"/>
  <c r="BC47" i="623"/>
  <c r="BD47" i="623"/>
  <c r="BE47" i="623"/>
  <c r="BF47" i="623"/>
  <c r="BG47" i="623"/>
  <c r="O48" i="623"/>
  <c r="Q48" i="623"/>
  <c r="Q54" i="623" s="1"/>
  <c r="O49" i="623"/>
  <c r="N48" i="623" s="1"/>
  <c r="J54" i="623"/>
  <c r="K54" i="623"/>
  <c r="L54" i="623"/>
  <c r="M54" i="623"/>
  <c r="P54" i="623"/>
  <c r="S54" i="623"/>
  <c r="T54" i="623"/>
  <c r="T68" i="623" s="1"/>
  <c r="U54" i="623"/>
  <c r="V54" i="623"/>
  <c r="W54" i="623"/>
  <c r="X54" i="623"/>
  <c r="Y54" i="623"/>
  <c r="Y68" i="623" s="1"/>
  <c r="Z54" i="623"/>
  <c r="AA54" i="623"/>
  <c r="AB54" i="623"/>
  <c r="AB68" i="623" s="1"/>
  <c r="AC54" i="623"/>
  <c r="AD54" i="623"/>
  <c r="AE54" i="623"/>
  <c r="AF54" i="623"/>
  <c r="AG54" i="623"/>
  <c r="AG68" i="623" s="1"/>
  <c r="AH54" i="623"/>
  <c r="AI54" i="623"/>
  <c r="AJ54" i="623"/>
  <c r="AJ68" i="623" s="1"/>
  <c r="AK54" i="623"/>
  <c r="AL54" i="623"/>
  <c r="AM54" i="623"/>
  <c r="AN54" i="623"/>
  <c r="AO54" i="623"/>
  <c r="AO68" i="623" s="1"/>
  <c r="AP54" i="623"/>
  <c r="AQ54" i="623"/>
  <c r="AR54" i="623"/>
  <c r="AR68" i="623" s="1"/>
  <c r="AS54" i="623"/>
  <c r="AT54" i="623"/>
  <c r="AU54" i="623"/>
  <c r="AV54" i="623"/>
  <c r="AW54" i="623"/>
  <c r="AW68" i="623" s="1"/>
  <c r="AX54" i="623"/>
  <c r="AY54" i="623"/>
  <c r="AZ54" i="623"/>
  <c r="AZ68" i="623" s="1"/>
  <c r="BA54" i="623"/>
  <c r="BB54" i="623"/>
  <c r="BC54" i="623"/>
  <c r="BD54" i="623"/>
  <c r="BE54" i="623"/>
  <c r="BE68" i="623" s="1"/>
  <c r="BF54" i="623"/>
  <c r="BG54" i="623"/>
  <c r="N57" i="623"/>
  <c r="O57" i="623"/>
  <c r="Q57" i="623"/>
  <c r="O58" i="623"/>
  <c r="N59" i="623"/>
  <c r="O59" i="623"/>
  <c r="Q59" i="623"/>
  <c r="O60" i="623"/>
  <c r="N61" i="623"/>
  <c r="O61" i="623"/>
  <c r="Q61" i="623"/>
  <c r="O62" i="623"/>
  <c r="N63" i="623"/>
  <c r="O63" i="623"/>
  <c r="Q63" i="623"/>
  <c r="O64" i="623"/>
  <c r="N65" i="623"/>
  <c r="J67" i="623"/>
  <c r="J68" i="623" s="1"/>
  <c r="K67" i="623"/>
  <c r="L67" i="623"/>
  <c r="M67" i="623"/>
  <c r="P67" i="623"/>
  <c r="Q67" i="623"/>
  <c r="S67" i="623"/>
  <c r="S68" i="623" s="1"/>
  <c r="T67" i="623"/>
  <c r="U67" i="623"/>
  <c r="V67" i="623"/>
  <c r="V68" i="623" s="1"/>
  <c r="W67" i="623"/>
  <c r="X67" i="623"/>
  <c r="Y67" i="623"/>
  <c r="Z67" i="623"/>
  <c r="AA67" i="623"/>
  <c r="AA68" i="623" s="1"/>
  <c r="AB67" i="623"/>
  <c r="AC67" i="623"/>
  <c r="AD67" i="623"/>
  <c r="AD68" i="623" s="1"/>
  <c r="AE67" i="623"/>
  <c r="AF67" i="623"/>
  <c r="AG67" i="623"/>
  <c r="AH67" i="623"/>
  <c r="AI67" i="623"/>
  <c r="AI68" i="623" s="1"/>
  <c r="AJ67" i="623"/>
  <c r="AK67" i="623"/>
  <c r="AL67" i="623"/>
  <c r="AL68" i="623" s="1"/>
  <c r="AM67" i="623"/>
  <c r="AN67" i="623"/>
  <c r="AO67" i="623"/>
  <c r="AP67" i="623"/>
  <c r="AQ67" i="623"/>
  <c r="AQ68" i="623" s="1"/>
  <c r="AR67" i="623"/>
  <c r="AS67" i="623"/>
  <c r="AT67" i="623"/>
  <c r="AT68" i="623" s="1"/>
  <c r="AU67" i="623"/>
  <c r="AV67" i="623"/>
  <c r="AW67" i="623"/>
  <c r="AX67" i="623"/>
  <c r="AY67" i="623"/>
  <c r="AY68" i="623" s="1"/>
  <c r="AZ67" i="623"/>
  <c r="BA67" i="623"/>
  <c r="BB67" i="623"/>
  <c r="BB68" i="623" s="1"/>
  <c r="BC67" i="623"/>
  <c r="BD67" i="623"/>
  <c r="BE67" i="623"/>
  <c r="BF67" i="623"/>
  <c r="BG67" i="623"/>
  <c r="BG68" i="623" s="1"/>
  <c r="U68" i="623"/>
  <c r="Z68" i="623"/>
  <c r="AC68" i="623"/>
  <c r="AH68" i="623"/>
  <c r="AK68" i="623"/>
  <c r="AP68" i="623"/>
  <c r="AS68" i="623"/>
  <c r="AX68" i="623"/>
  <c r="BA68" i="623"/>
  <c r="BF68" i="623"/>
  <c r="O73" i="623"/>
  <c r="Q73" i="623"/>
  <c r="O74" i="623"/>
  <c r="N73" i="623" s="1"/>
  <c r="K75" i="623"/>
  <c r="K79" i="623" s="1"/>
  <c r="L75" i="623"/>
  <c r="O75" i="623" s="1"/>
  <c r="M75" i="623"/>
  <c r="M79" i="623" s="1"/>
  <c r="M109" i="623" s="1"/>
  <c r="P75" i="623"/>
  <c r="P79" i="623" s="1"/>
  <c r="U75" i="623"/>
  <c r="U79" i="623" s="1"/>
  <c r="AH75" i="623"/>
  <c r="K76" i="623"/>
  <c r="L76" i="623"/>
  <c r="Q75" i="623" s="1"/>
  <c r="Q79" i="623" s="1"/>
  <c r="M76" i="623"/>
  <c r="P76" i="623"/>
  <c r="O77" i="623"/>
  <c r="Q77" i="623"/>
  <c r="O78" i="623"/>
  <c r="N77" i="623" s="1"/>
  <c r="J79" i="623"/>
  <c r="S79" i="623"/>
  <c r="T79" i="623"/>
  <c r="V79" i="623"/>
  <c r="W79" i="623"/>
  <c r="X79" i="623"/>
  <c r="Y79" i="623"/>
  <c r="Z79" i="623"/>
  <c r="AA79" i="623"/>
  <c r="AB79" i="623"/>
  <c r="AC79" i="623"/>
  <c r="AD79" i="623"/>
  <c r="AE79" i="623"/>
  <c r="AF79" i="623"/>
  <c r="AG79" i="623"/>
  <c r="AH79" i="623"/>
  <c r="AI79" i="623"/>
  <c r="AJ79" i="623"/>
  <c r="AK79" i="623"/>
  <c r="AL79" i="623"/>
  <c r="AM79" i="623"/>
  <c r="AN79" i="623"/>
  <c r="AO79" i="623"/>
  <c r="AP79" i="623"/>
  <c r="AQ79" i="623"/>
  <c r="AR79" i="623"/>
  <c r="AS79" i="623"/>
  <c r="AT79" i="623"/>
  <c r="AU79" i="623"/>
  <c r="AV79" i="623"/>
  <c r="AW79" i="623"/>
  <c r="AX79" i="623"/>
  <c r="AY79" i="623"/>
  <c r="AZ79" i="623"/>
  <c r="BA79" i="623"/>
  <c r="BB79" i="623"/>
  <c r="BC79" i="623"/>
  <c r="BD79" i="623"/>
  <c r="BE79" i="623"/>
  <c r="BF79" i="623"/>
  <c r="BG79" i="623"/>
  <c r="N88" i="623"/>
  <c r="Q88" i="623"/>
  <c r="J90" i="623"/>
  <c r="K90" i="623"/>
  <c r="L90" i="623"/>
  <c r="M90" i="623"/>
  <c r="O90" i="623"/>
  <c r="P90" i="623"/>
  <c r="Q90" i="623"/>
  <c r="S90" i="623"/>
  <c r="T90" i="623"/>
  <c r="U90" i="623"/>
  <c r="V90" i="623"/>
  <c r="W90" i="623"/>
  <c r="X90" i="623"/>
  <c r="Y90" i="623"/>
  <c r="Z90" i="623"/>
  <c r="AA90" i="623"/>
  <c r="AB90" i="623"/>
  <c r="AC90" i="623"/>
  <c r="AD90" i="623"/>
  <c r="AE90" i="623"/>
  <c r="AF90" i="623"/>
  <c r="AG90" i="623"/>
  <c r="AH90" i="623"/>
  <c r="AI90" i="623"/>
  <c r="AJ90" i="623"/>
  <c r="AK90" i="623"/>
  <c r="AL90" i="623"/>
  <c r="AM90" i="623"/>
  <c r="AN90" i="623"/>
  <c r="AO90" i="623"/>
  <c r="AP90" i="623"/>
  <c r="AQ90" i="623"/>
  <c r="AR90" i="623"/>
  <c r="AS90" i="623"/>
  <c r="AT90" i="623"/>
  <c r="AU90" i="623"/>
  <c r="AV90" i="623"/>
  <c r="AW90" i="623"/>
  <c r="AX90" i="623"/>
  <c r="AY90" i="623"/>
  <c r="AZ90" i="623"/>
  <c r="BA90" i="623"/>
  <c r="BB90" i="623"/>
  <c r="BC90" i="623"/>
  <c r="BD90" i="623"/>
  <c r="BE90" i="623"/>
  <c r="BF90" i="623"/>
  <c r="BG90" i="623"/>
  <c r="O95" i="623"/>
  <c r="Q95" i="623"/>
  <c r="Q99" i="623" s="1"/>
  <c r="O96" i="623"/>
  <c r="N95" i="623" s="1"/>
  <c r="O97" i="623"/>
  <c r="Q97" i="623"/>
  <c r="O98" i="623"/>
  <c r="N97" i="623" s="1"/>
  <c r="J99" i="623"/>
  <c r="K99" i="623"/>
  <c r="L99" i="623"/>
  <c r="M99" i="623"/>
  <c r="P99" i="623"/>
  <c r="S99" i="623"/>
  <c r="T99" i="623"/>
  <c r="T109" i="623" s="1"/>
  <c r="U99" i="623"/>
  <c r="V99" i="623"/>
  <c r="W99" i="623"/>
  <c r="X99" i="623"/>
  <c r="X109" i="623" s="1"/>
  <c r="Y99" i="623"/>
  <c r="Z99" i="623"/>
  <c r="AA99" i="623"/>
  <c r="AB99" i="623"/>
  <c r="AB109" i="623" s="1"/>
  <c r="AC99" i="623"/>
  <c r="AD99" i="623"/>
  <c r="AE99" i="623"/>
  <c r="AF99" i="623"/>
  <c r="AG99" i="623"/>
  <c r="AH99" i="623"/>
  <c r="AI99" i="623"/>
  <c r="AJ99" i="623"/>
  <c r="AJ109" i="623" s="1"/>
  <c r="AK99" i="623"/>
  <c r="AL99" i="623"/>
  <c r="AM99" i="623"/>
  <c r="AN99" i="623"/>
  <c r="AN109" i="623" s="1"/>
  <c r="AO99" i="623"/>
  <c r="AP99" i="623"/>
  <c r="AQ99" i="623"/>
  <c r="AR99" i="623"/>
  <c r="AR109" i="623" s="1"/>
  <c r="AS99" i="623"/>
  <c r="AT99" i="623"/>
  <c r="AU99" i="623"/>
  <c r="AV99" i="623"/>
  <c r="AW99" i="623"/>
  <c r="AX99" i="623"/>
  <c r="AY99" i="623"/>
  <c r="AZ99" i="623"/>
  <c r="AZ109" i="623" s="1"/>
  <c r="BA99" i="623"/>
  <c r="BB99" i="623"/>
  <c r="BC99" i="623"/>
  <c r="BD99" i="623"/>
  <c r="BD109" i="623" s="1"/>
  <c r="BE99" i="623"/>
  <c r="BF99" i="623"/>
  <c r="BG99" i="623"/>
  <c r="O102" i="623"/>
  <c r="O108" i="623" s="1"/>
  <c r="N108" i="623" s="1"/>
  <c r="Q102" i="623"/>
  <c r="O103" i="623"/>
  <c r="N102" i="623" s="1"/>
  <c r="O104" i="623"/>
  <c r="Q104" i="623"/>
  <c r="O105" i="623"/>
  <c r="N104" i="623" s="1"/>
  <c r="O106" i="623"/>
  <c r="Q106" i="623"/>
  <c r="O107" i="623"/>
  <c r="N106" i="623" s="1"/>
  <c r="J108" i="623"/>
  <c r="K108" i="623"/>
  <c r="L108" i="623"/>
  <c r="M108" i="623"/>
  <c r="P108" i="623"/>
  <c r="S108" i="623"/>
  <c r="T108" i="623"/>
  <c r="U108" i="623"/>
  <c r="V108" i="623"/>
  <c r="W108" i="623"/>
  <c r="W109" i="623" s="1"/>
  <c r="X108" i="623"/>
  <c r="Y108" i="623"/>
  <c r="Z108" i="623"/>
  <c r="AA108" i="623"/>
  <c r="AB108" i="623"/>
  <c r="AC108" i="623"/>
  <c r="AD108" i="623"/>
  <c r="AE108" i="623"/>
  <c r="AF108" i="623"/>
  <c r="AF109" i="623" s="1"/>
  <c r="AG108" i="623"/>
  <c r="AH108" i="623"/>
  <c r="AI108" i="623"/>
  <c r="AJ108" i="623"/>
  <c r="AK108" i="623"/>
  <c r="AL108" i="623"/>
  <c r="AM108" i="623"/>
  <c r="AN108" i="623"/>
  <c r="AO108" i="623"/>
  <c r="AP108" i="623"/>
  <c r="AQ108" i="623"/>
  <c r="AR108" i="623"/>
  <c r="AS108" i="623"/>
  <c r="AT108" i="623"/>
  <c r="AU108" i="623"/>
  <c r="AU109" i="623" s="1"/>
  <c r="AV108" i="623"/>
  <c r="AV109" i="623" s="1"/>
  <c r="AW108" i="623"/>
  <c r="AX108" i="623"/>
  <c r="AY108" i="623"/>
  <c r="AZ108" i="623"/>
  <c r="BA108" i="623"/>
  <c r="BB108" i="623"/>
  <c r="BC108" i="623"/>
  <c r="BD108" i="623"/>
  <c r="BE108" i="623"/>
  <c r="BF108" i="623"/>
  <c r="BG108" i="623"/>
  <c r="AE109" i="623"/>
  <c r="AM109" i="623"/>
  <c r="BC109" i="623"/>
  <c r="N90" i="623" l="1"/>
  <c r="O36" i="623"/>
  <c r="N35" i="623" s="1"/>
  <c r="Q5" i="623"/>
  <c r="L47" i="623"/>
  <c r="L68" i="623" s="1"/>
  <c r="BE109" i="623"/>
  <c r="AW109" i="623"/>
  <c r="AO109" i="623"/>
  <c r="AG109" i="623"/>
  <c r="Y109" i="623"/>
  <c r="BF109" i="623"/>
  <c r="AX109" i="623"/>
  <c r="AP109" i="623"/>
  <c r="AH109" i="623"/>
  <c r="Z109" i="623"/>
  <c r="K47" i="623"/>
  <c r="K68" i="623" s="1"/>
  <c r="O54" i="623"/>
  <c r="N54" i="623" s="1"/>
  <c r="P109" i="623"/>
  <c r="M68" i="623"/>
  <c r="BD68" i="623"/>
  <c r="AV68" i="623"/>
  <c r="AN68" i="623"/>
  <c r="AF68" i="623"/>
  <c r="X68" i="623"/>
  <c r="Q108" i="623"/>
  <c r="Q109" i="623" s="1"/>
  <c r="J109" i="623"/>
  <c r="BB109" i="623"/>
  <c r="AT109" i="623"/>
  <c r="AL109" i="623"/>
  <c r="AD109" i="623"/>
  <c r="V109" i="623"/>
  <c r="BC68" i="623"/>
  <c r="AU68" i="623"/>
  <c r="AM68" i="623"/>
  <c r="AE68" i="623"/>
  <c r="W68" i="623"/>
  <c r="Q23" i="623"/>
  <c r="BG109" i="623"/>
  <c r="AY109" i="623"/>
  <c r="AQ109" i="623"/>
  <c r="AI109" i="623"/>
  <c r="AA109" i="623"/>
  <c r="S109" i="623"/>
  <c r="Q31" i="623"/>
  <c r="O30" i="623"/>
  <c r="N29" i="623" s="1"/>
  <c r="Q25" i="623"/>
  <c r="Q13" i="623"/>
  <c r="P47" i="623"/>
  <c r="P68" i="623" s="1"/>
  <c r="BA109" i="623"/>
  <c r="AS109" i="623"/>
  <c r="AK109" i="623"/>
  <c r="AC109" i="623"/>
  <c r="U109" i="623"/>
  <c r="K109" i="623"/>
  <c r="O67" i="623"/>
  <c r="N67" i="623" s="1"/>
  <c r="Q27" i="623"/>
  <c r="O6" i="623"/>
  <c r="N5" i="623" s="1"/>
  <c r="Q47" i="623"/>
  <c r="Q68" i="623" s="1"/>
  <c r="L79" i="623"/>
  <c r="L109" i="623" s="1"/>
  <c r="O76" i="623"/>
  <c r="N75" i="623" s="1"/>
  <c r="O99" i="623"/>
  <c r="N99" i="623" s="1"/>
  <c r="O22" i="623"/>
  <c r="N21" i="623" s="1"/>
  <c r="O20" i="623"/>
  <c r="N19" i="623" s="1"/>
  <c r="Q27" i="622"/>
  <c r="O47" i="623" l="1"/>
  <c r="N47" i="623" s="1"/>
  <c r="O79" i="623"/>
  <c r="O5" i="622"/>
  <c r="K6" i="622"/>
  <c r="L6" i="622"/>
  <c r="Q5" i="622" s="1"/>
  <c r="M6" i="622"/>
  <c r="O6" i="622" s="1"/>
  <c r="N5" i="622" s="1"/>
  <c r="P6" i="622"/>
  <c r="O7" i="622"/>
  <c r="K8" i="622"/>
  <c r="L8" i="622"/>
  <c r="M8" i="622"/>
  <c r="O8" i="622"/>
  <c r="N7" i="622" s="1"/>
  <c r="P8" i="622"/>
  <c r="P45" i="622" s="1"/>
  <c r="P66" i="622" s="1"/>
  <c r="O9" i="622"/>
  <c r="K10" i="622"/>
  <c r="L10" i="622"/>
  <c r="M10" i="622"/>
  <c r="O10" i="622" s="1"/>
  <c r="N9" i="622" s="1"/>
  <c r="P10" i="622"/>
  <c r="O11" i="622"/>
  <c r="K12" i="622"/>
  <c r="L12" i="622"/>
  <c r="Q11" i="622" s="1"/>
  <c r="M12" i="622"/>
  <c r="P12" i="622"/>
  <c r="O13" i="622"/>
  <c r="K14" i="622"/>
  <c r="L14" i="622"/>
  <c r="Q13" i="622" s="1"/>
  <c r="M14" i="622"/>
  <c r="O14" i="622" s="1"/>
  <c r="N13" i="622" s="1"/>
  <c r="P14" i="622"/>
  <c r="O15" i="622"/>
  <c r="K16" i="622"/>
  <c r="L16" i="622"/>
  <c r="M16" i="622"/>
  <c r="O16" i="622"/>
  <c r="N15" i="622" s="1"/>
  <c r="P16" i="622"/>
  <c r="O17" i="622"/>
  <c r="K18" i="622"/>
  <c r="L18" i="622"/>
  <c r="M18" i="622"/>
  <c r="O18" i="622" s="1"/>
  <c r="N17" i="622" s="1"/>
  <c r="P18" i="622"/>
  <c r="O19" i="622"/>
  <c r="K20" i="622"/>
  <c r="L20" i="622"/>
  <c r="Q19" i="622" s="1"/>
  <c r="M20" i="622"/>
  <c r="P20" i="622"/>
  <c r="O21" i="622"/>
  <c r="K22" i="622"/>
  <c r="L22" i="622"/>
  <c r="Q21" i="622" s="1"/>
  <c r="M22" i="622"/>
  <c r="O22" i="622" s="1"/>
  <c r="N21" i="622" s="1"/>
  <c r="P22" i="622"/>
  <c r="O23" i="622"/>
  <c r="K24" i="622"/>
  <c r="L24" i="622"/>
  <c r="M24" i="622"/>
  <c r="O24" i="622"/>
  <c r="N23" i="622" s="1"/>
  <c r="P24" i="622"/>
  <c r="O25" i="622"/>
  <c r="K26" i="622"/>
  <c r="L26" i="622"/>
  <c r="M26" i="622"/>
  <c r="O26" i="622" s="1"/>
  <c r="N25" i="622" s="1"/>
  <c r="P26" i="622"/>
  <c r="O27" i="622"/>
  <c r="K28" i="622"/>
  <c r="O28" i="622"/>
  <c r="N27" i="622" s="1"/>
  <c r="O29" i="622"/>
  <c r="K30" i="622"/>
  <c r="L30" i="622"/>
  <c r="M30" i="622"/>
  <c r="P30" i="622"/>
  <c r="O31" i="622"/>
  <c r="P31" i="622"/>
  <c r="K32" i="622"/>
  <c r="L32" i="622"/>
  <c r="M32" i="622"/>
  <c r="O32" i="622" s="1"/>
  <c r="N31" i="622" s="1"/>
  <c r="P32" i="622"/>
  <c r="K33" i="622"/>
  <c r="L33" i="622"/>
  <c r="O33" i="622" s="1"/>
  <c r="AE33" i="622"/>
  <c r="AL33" i="622"/>
  <c r="K34" i="622"/>
  <c r="L34" i="622"/>
  <c r="M34" i="622"/>
  <c r="P34" i="622"/>
  <c r="O35" i="622"/>
  <c r="K36" i="622"/>
  <c r="L36" i="622"/>
  <c r="M36" i="622"/>
  <c r="P36" i="622"/>
  <c r="O37" i="622"/>
  <c r="K38" i="622"/>
  <c r="L38" i="622"/>
  <c r="M38" i="622"/>
  <c r="P38" i="622"/>
  <c r="O39" i="622"/>
  <c r="K40" i="622"/>
  <c r="L40" i="622"/>
  <c r="O40" i="622"/>
  <c r="N39" i="622" s="1"/>
  <c r="P40" i="622"/>
  <c r="O41" i="622"/>
  <c r="K42" i="622"/>
  <c r="L42" i="622"/>
  <c r="Q41" i="622" s="1"/>
  <c r="M42" i="622"/>
  <c r="P42" i="622"/>
  <c r="O43" i="622"/>
  <c r="K44" i="622"/>
  <c r="L44" i="622"/>
  <c r="M44" i="622"/>
  <c r="O44" i="622"/>
  <c r="N43" i="622" s="1"/>
  <c r="P44" i="622"/>
  <c r="J45" i="622"/>
  <c r="S45" i="622"/>
  <c r="T45" i="622"/>
  <c r="U45" i="622"/>
  <c r="V45" i="622"/>
  <c r="W45" i="622"/>
  <c r="X45" i="622"/>
  <c r="Y45" i="622"/>
  <c r="Z45" i="622"/>
  <c r="AA45" i="622"/>
  <c r="AB45" i="622"/>
  <c r="AC45" i="622"/>
  <c r="AD45" i="622"/>
  <c r="AE45" i="622"/>
  <c r="AF45" i="622"/>
  <c r="AG45" i="622"/>
  <c r="AH45" i="622"/>
  <c r="AI45" i="622"/>
  <c r="AJ45" i="622"/>
  <c r="AK45" i="622"/>
  <c r="AL45" i="622"/>
  <c r="AM45" i="622"/>
  <c r="AN45" i="622"/>
  <c r="AO45" i="622"/>
  <c r="AP45" i="622"/>
  <c r="AQ45" i="622"/>
  <c r="AR45" i="622"/>
  <c r="AS45" i="622"/>
  <c r="AT45" i="622"/>
  <c r="AU45" i="622"/>
  <c r="AV45" i="622"/>
  <c r="AW45" i="622"/>
  <c r="AX45" i="622"/>
  <c r="AY45" i="622"/>
  <c r="AZ45" i="622"/>
  <c r="BA45" i="622"/>
  <c r="BB45" i="622"/>
  <c r="BC45" i="622"/>
  <c r="BD45" i="622"/>
  <c r="BE45" i="622"/>
  <c r="BF45" i="622"/>
  <c r="BG45" i="622"/>
  <c r="O46" i="622"/>
  <c r="Q46" i="622"/>
  <c r="Q52" i="622" s="1"/>
  <c r="O47" i="622"/>
  <c r="N46" i="622" s="1"/>
  <c r="J52" i="622"/>
  <c r="K52" i="622"/>
  <c r="L52" i="622"/>
  <c r="M52" i="622"/>
  <c r="P52" i="622"/>
  <c r="S52" i="622"/>
  <c r="T52" i="622"/>
  <c r="U52" i="622"/>
  <c r="U66" i="622" s="1"/>
  <c r="V52" i="622"/>
  <c r="V66" i="622" s="1"/>
  <c r="W52" i="622"/>
  <c r="X52" i="622"/>
  <c r="Y52" i="622"/>
  <c r="Z52" i="622"/>
  <c r="AA52" i="622"/>
  <c r="AB52" i="622"/>
  <c r="AC52" i="622"/>
  <c r="AD52" i="622"/>
  <c r="AD66" i="622" s="1"/>
  <c r="AE52" i="622"/>
  <c r="AF52" i="622"/>
  <c r="AG52" i="622"/>
  <c r="AH52" i="622"/>
  <c r="AI52" i="622"/>
  <c r="AJ52" i="622"/>
  <c r="AK52" i="622"/>
  <c r="AK66" i="622" s="1"/>
  <c r="AL52" i="622"/>
  <c r="AL66" i="622" s="1"/>
  <c r="AM52" i="622"/>
  <c r="AN52" i="622"/>
  <c r="AO52" i="622"/>
  <c r="AP52" i="622"/>
  <c r="AQ52" i="622"/>
  <c r="AR52" i="622"/>
  <c r="AS52" i="622"/>
  <c r="AT52" i="622"/>
  <c r="AT66" i="622" s="1"/>
  <c r="AU52" i="622"/>
  <c r="AV52" i="622"/>
  <c r="AW52" i="622"/>
  <c r="AX52" i="622"/>
  <c r="AY52" i="622"/>
  <c r="AZ52" i="622"/>
  <c r="BA52" i="622"/>
  <c r="BA66" i="622" s="1"/>
  <c r="BB52" i="622"/>
  <c r="BB66" i="622" s="1"/>
  <c r="BC52" i="622"/>
  <c r="BD52" i="622"/>
  <c r="BE52" i="622"/>
  <c r="BF52" i="622"/>
  <c r="BG52" i="622"/>
  <c r="O55" i="622"/>
  <c r="Q55" i="622"/>
  <c r="Q65" i="622" s="1"/>
  <c r="O56" i="622"/>
  <c r="N55" i="622" s="1"/>
  <c r="O57" i="622"/>
  <c r="Q57" i="622"/>
  <c r="O58" i="622"/>
  <c r="N57" i="622" s="1"/>
  <c r="O59" i="622"/>
  <c r="Q59" i="622"/>
  <c r="O60" i="622"/>
  <c r="N59" i="622" s="1"/>
  <c r="O61" i="622"/>
  <c r="Q61" i="622"/>
  <c r="O62" i="622"/>
  <c r="N61" i="622" s="1"/>
  <c r="N63" i="622"/>
  <c r="J65" i="622"/>
  <c r="K65" i="622"/>
  <c r="L65" i="622"/>
  <c r="M65" i="622"/>
  <c r="P65" i="622"/>
  <c r="S65" i="622"/>
  <c r="T65" i="622"/>
  <c r="U65" i="622"/>
  <c r="V65" i="622"/>
  <c r="W65" i="622"/>
  <c r="X65" i="622"/>
  <c r="X66" i="622" s="1"/>
  <c r="Y65" i="622"/>
  <c r="Z65" i="622"/>
  <c r="Z66" i="622" s="1"/>
  <c r="AA65" i="622"/>
  <c r="AB65" i="622"/>
  <c r="AC65" i="622"/>
  <c r="AD65" i="622"/>
  <c r="AE65" i="622"/>
  <c r="AF65" i="622"/>
  <c r="AF66" i="622" s="1"/>
  <c r="AG65" i="622"/>
  <c r="AH65" i="622"/>
  <c r="AH66" i="622" s="1"/>
  <c r="AI65" i="622"/>
  <c r="AJ65" i="622"/>
  <c r="AK65" i="622"/>
  <c r="AL65" i="622"/>
  <c r="AM65" i="622"/>
  <c r="AN65" i="622"/>
  <c r="AN66" i="622" s="1"/>
  <c r="AO65" i="622"/>
  <c r="AP65" i="622"/>
  <c r="AP66" i="622" s="1"/>
  <c r="AQ65" i="622"/>
  <c r="AR65" i="622"/>
  <c r="AS65" i="622"/>
  <c r="AT65" i="622"/>
  <c r="AU65" i="622"/>
  <c r="AV65" i="622"/>
  <c r="AV66" i="622" s="1"/>
  <c r="AW65" i="622"/>
  <c r="AX65" i="622"/>
  <c r="AX66" i="622" s="1"/>
  <c r="AY65" i="622"/>
  <c r="AZ65" i="622"/>
  <c r="BA65" i="622"/>
  <c r="BB65" i="622"/>
  <c r="BC65" i="622"/>
  <c r="BD65" i="622"/>
  <c r="BD66" i="622" s="1"/>
  <c r="BE65" i="622"/>
  <c r="BF65" i="622"/>
  <c r="BF66" i="622" s="1"/>
  <c r="BG65" i="622"/>
  <c r="Y66" i="622"/>
  <c r="AC66" i="622"/>
  <c r="AG66" i="622"/>
  <c r="AO66" i="622"/>
  <c r="AS66" i="622"/>
  <c r="AW66" i="622"/>
  <c r="BE66" i="622"/>
  <c r="O71" i="622"/>
  <c r="Q71" i="622"/>
  <c r="O72" i="622"/>
  <c r="N71" i="622" s="1"/>
  <c r="K73" i="622"/>
  <c r="K77" i="622" s="1"/>
  <c r="L73" i="622"/>
  <c r="O73" i="622" s="1"/>
  <c r="P73" i="622"/>
  <c r="U73" i="622"/>
  <c r="U77" i="622" s="1"/>
  <c r="AL73" i="622"/>
  <c r="AL77" i="622" s="1"/>
  <c r="K74" i="622"/>
  <c r="L74" i="622"/>
  <c r="M74" i="622"/>
  <c r="M77" i="622" s="1"/>
  <c r="P74" i="622"/>
  <c r="O75" i="622"/>
  <c r="Q75" i="622"/>
  <c r="O76" i="622"/>
  <c r="N75" i="622" s="1"/>
  <c r="J77" i="622"/>
  <c r="P77" i="622"/>
  <c r="P107" i="622" s="1"/>
  <c r="S77" i="622"/>
  <c r="T77" i="622"/>
  <c r="V77" i="622"/>
  <c r="W77" i="622"/>
  <c r="X77" i="622"/>
  <c r="Y77" i="622"/>
  <c r="Z77" i="622"/>
  <c r="AA77" i="622"/>
  <c r="AA107" i="622" s="1"/>
  <c r="AB77" i="622"/>
  <c r="AC77" i="622"/>
  <c r="AD77" i="622"/>
  <c r="AE77" i="622"/>
  <c r="AF77" i="622"/>
  <c r="AG77" i="622"/>
  <c r="AH77" i="622"/>
  <c r="AI77" i="622"/>
  <c r="AI107" i="622" s="1"/>
  <c r="AJ77" i="622"/>
  <c r="AK77" i="622"/>
  <c r="AM77" i="622"/>
  <c r="AN77" i="622"/>
  <c r="AO77" i="622"/>
  <c r="AP77" i="622"/>
  <c r="AQ77" i="622"/>
  <c r="AR77" i="622"/>
  <c r="AS77" i="622"/>
  <c r="AT77" i="622"/>
  <c r="AU77" i="622"/>
  <c r="AV77" i="622"/>
  <c r="AW77" i="622"/>
  <c r="AX77" i="622"/>
  <c r="AY77" i="622"/>
  <c r="AZ77" i="622"/>
  <c r="BA77" i="622"/>
  <c r="BB77" i="622"/>
  <c r="BC77" i="622"/>
  <c r="BD77" i="622"/>
  <c r="BE77" i="622"/>
  <c r="BF77" i="622"/>
  <c r="BG77" i="622"/>
  <c r="N86" i="622"/>
  <c r="Q86" i="622"/>
  <c r="J88" i="622"/>
  <c r="K88" i="622"/>
  <c r="L88" i="622"/>
  <c r="M88" i="622"/>
  <c r="O88" i="622"/>
  <c r="N88" i="622" s="1"/>
  <c r="P88" i="622"/>
  <c r="Q88" i="622"/>
  <c r="S88" i="622"/>
  <c r="T88" i="622"/>
  <c r="U88" i="622"/>
  <c r="V88" i="622"/>
  <c r="W88" i="622"/>
  <c r="X88" i="622"/>
  <c r="Y88" i="622"/>
  <c r="Y107" i="622" s="1"/>
  <c r="Z88" i="622"/>
  <c r="AA88" i="622"/>
  <c r="AB88" i="622"/>
  <c r="AC88" i="622"/>
  <c r="AD88" i="622"/>
  <c r="AE88" i="622"/>
  <c r="AF88" i="622"/>
  <c r="AG88" i="622"/>
  <c r="AH88" i="622"/>
  <c r="AI88" i="622"/>
  <c r="AJ88" i="622"/>
  <c r="AK88" i="622"/>
  <c r="AL88" i="622"/>
  <c r="AM88" i="622"/>
  <c r="AN88" i="622"/>
  <c r="AO88" i="622"/>
  <c r="AP88" i="622"/>
  <c r="AQ88" i="622"/>
  <c r="AR88" i="622"/>
  <c r="AS88" i="622"/>
  <c r="AT88" i="622"/>
  <c r="AU88" i="622"/>
  <c r="AV88" i="622"/>
  <c r="AW88" i="622"/>
  <c r="AX88" i="622"/>
  <c r="AY88" i="622"/>
  <c r="AZ88" i="622"/>
  <c r="BA88" i="622"/>
  <c r="BB88" i="622"/>
  <c r="BC88" i="622"/>
  <c r="BD88" i="622"/>
  <c r="BE88" i="622"/>
  <c r="BF88" i="622"/>
  <c r="BG88" i="622"/>
  <c r="O93" i="622"/>
  <c r="Q93" i="622"/>
  <c r="O94" i="622"/>
  <c r="N93" i="622" s="1"/>
  <c r="O95" i="622"/>
  <c r="Q95" i="622"/>
  <c r="O96" i="622"/>
  <c r="N95" i="622" s="1"/>
  <c r="J97" i="622"/>
  <c r="K97" i="622"/>
  <c r="L97" i="622"/>
  <c r="M97" i="622"/>
  <c r="P97" i="622"/>
  <c r="S97" i="622"/>
  <c r="T97" i="622"/>
  <c r="U97" i="622"/>
  <c r="V97" i="622"/>
  <c r="W97" i="622"/>
  <c r="X97" i="622"/>
  <c r="Y97" i="622"/>
  <c r="Z97" i="622"/>
  <c r="AA97" i="622"/>
  <c r="AB97" i="622"/>
  <c r="AC97" i="622"/>
  <c r="AD97" i="622"/>
  <c r="AE97" i="622"/>
  <c r="AF97" i="622"/>
  <c r="AG97" i="622"/>
  <c r="AH97" i="622"/>
  <c r="AI97" i="622"/>
  <c r="AJ97" i="622"/>
  <c r="AK97" i="622"/>
  <c r="AL97" i="622"/>
  <c r="AM97" i="622"/>
  <c r="AN97" i="622"/>
  <c r="AO97" i="622"/>
  <c r="AP97" i="622"/>
  <c r="AQ97" i="622"/>
  <c r="AR97" i="622"/>
  <c r="AS97" i="622"/>
  <c r="AT97" i="622"/>
  <c r="AU97" i="622"/>
  <c r="AV97" i="622"/>
  <c r="AW97" i="622"/>
  <c r="AX97" i="622"/>
  <c r="AY97" i="622"/>
  <c r="AZ97" i="622"/>
  <c r="BA97" i="622"/>
  <c r="BB97" i="622"/>
  <c r="BC97" i="622"/>
  <c r="BD97" i="622"/>
  <c r="BE97" i="622"/>
  <c r="BF97" i="622"/>
  <c r="BG97" i="622"/>
  <c r="O100" i="622"/>
  <c r="Q100" i="622"/>
  <c r="Q106" i="622" s="1"/>
  <c r="O101" i="622"/>
  <c r="N100" i="622" s="1"/>
  <c r="O102" i="622"/>
  <c r="Q102" i="622"/>
  <c r="O103" i="622"/>
  <c r="N102" i="622" s="1"/>
  <c r="O104" i="622"/>
  <c r="Q104" i="622"/>
  <c r="O105" i="622"/>
  <c r="N104" i="622" s="1"/>
  <c r="J106" i="622"/>
  <c r="K106" i="622"/>
  <c r="L106" i="622"/>
  <c r="M106" i="622"/>
  <c r="P106" i="622"/>
  <c r="S106" i="622"/>
  <c r="T106" i="622"/>
  <c r="U106" i="622"/>
  <c r="V106" i="622"/>
  <c r="W106" i="622"/>
  <c r="X106" i="622"/>
  <c r="Y106" i="622"/>
  <c r="Z106" i="622"/>
  <c r="AA106" i="622"/>
  <c r="AB106" i="622"/>
  <c r="AC106" i="622"/>
  <c r="AD106" i="622"/>
  <c r="AE106" i="622"/>
  <c r="AF106" i="622"/>
  <c r="AG106" i="622"/>
  <c r="AG107" i="622" s="1"/>
  <c r="AH106" i="622"/>
  <c r="AI106" i="622"/>
  <c r="AJ106" i="622"/>
  <c r="AK106" i="622"/>
  <c r="AL106" i="622"/>
  <c r="AM106" i="622"/>
  <c r="AN106" i="622"/>
  <c r="AO106" i="622"/>
  <c r="AP106" i="622"/>
  <c r="AQ106" i="622"/>
  <c r="AR106" i="622"/>
  <c r="AS106" i="622"/>
  <c r="AT106" i="622"/>
  <c r="AU106" i="622"/>
  <c r="AV106" i="622"/>
  <c r="AW106" i="622"/>
  <c r="AW107" i="622" s="1"/>
  <c r="AX106" i="622"/>
  <c r="AY106" i="622"/>
  <c r="AZ106" i="622"/>
  <c r="BA106" i="622"/>
  <c r="BB106" i="622"/>
  <c r="BC106" i="622"/>
  <c r="BD106" i="622"/>
  <c r="BE106" i="622"/>
  <c r="BF106" i="622"/>
  <c r="BG106" i="622"/>
  <c r="AO107" i="622"/>
  <c r="BE107" i="622"/>
  <c r="AZ107" i="622" l="1"/>
  <c r="AJ107" i="622"/>
  <c r="T107" i="622"/>
  <c r="BG107" i="622"/>
  <c r="AY107" i="622"/>
  <c r="AQ107" i="622"/>
  <c r="AH107" i="622"/>
  <c r="Z107" i="622"/>
  <c r="J107" i="622"/>
  <c r="AL107" i="622"/>
  <c r="BC66" i="622"/>
  <c r="AU66" i="622"/>
  <c r="AM66" i="622"/>
  <c r="AE66" i="622"/>
  <c r="W66" i="622"/>
  <c r="K45" i="622"/>
  <c r="K66" i="622" s="1"/>
  <c r="AR107" i="622"/>
  <c r="AB107" i="622"/>
  <c r="BD107" i="622"/>
  <c r="AV107" i="622"/>
  <c r="AN107" i="622"/>
  <c r="AF107" i="622"/>
  <c r="X107" i="622"/>
  <c r="BF107" i="622"/>
  <c r="AX107" i="622"/>
  <c r="AP107" i="622"/>
  <c r="U107" i="622"/>
  <c r="AZ66" i="622"/>
  <c r="AR66" i="622"/>
  <c r="AJ66" i="622"/>
  <c r="AB66" i="622"/>
  <c r="T66" i="622"/>
  <c r="Q43" i="622"/>
  <c r="O38" i="622"/>
  <c r="N37" i="622" s="1"/>
  <c r="Q37" i="622"/>
  <c r="BC107" i="622"/>
  <c r="AU107" i="622"/>
  <c r="AM107" i="622"/>
  <c r="AE107" i="622"/>
  <c r="W107" i="622"/>
  <c r="J66" i="622"/>
  <c r="BG66" i="622"/>
  <c r="AY66" i="622"/>
  <c r="AQ66" i="622"/>
  <c r="AI66" i="622"/>
  <c r="AA66" i="622"/>
  <c r="S66" i="622"/>
  <c r="M45" i="622"/>
  <c r="M66" i="622" s="1"/>
  <c r="Q23" i="622"/>
  <c r="Q15" i="622"/>
  <c r="Q7" i="622"/>
  <c r="O34" i="622"/>
  <c r="N33" i="622" s="1"/>
  <c r="Q33" i="622"/>
  <c r="O30" i="622"/>
  <c r="Q29" i="622"/>
  <c r="Q97" i="622"/>
  <c r="BA107" i="622"/>
  <c r="AS107" i="622"/>
  <c r="AK107" i="622"/>
  <c r="AC107" i="622"/>
  <c r="K107" i="622"/>
  <c r="Q39" i="622"/>
  <c r="Q31" i="622"/>
  <c r="Q25" i="622"/>
  <c r="Q45" i="622" s="1"/>
  <c r="Q66" i="622" s="1"/>
  <c r="O20" i="622"/>
  <c r="N19" i="622" s="1"/>
  <c r="Q17" i="622"/>
  <c r="O12" i="622"/>
  <c r="N11" i="622" s="1"/>
  <c r="Q9" i="622"/>
  <c r="O68" i="623"/>
  <c r="N68" i="623" s="1"/>
  <c r="O97" i="622"/>
  <c r="N97" i="622" s="1"/>
  <c r="M107" i="622"/>
  <c r="O65" i="622"/>
  <c r="N65" i="622" s="1"/>
  <c r="O42" i="622"/>
  <c r="N41" i="622" s="1"/>
  <c r="BB107" i="622"/>
  <c r="AT107" i="622"/>
  <c r="AD107" i="622"/>
  <c r="V107" i="622"/>
  <c r="S107" i="622"/>
  <c r="O74" i="622"/>
  <c r="N73" i="622" s="1"/>
  <c r="O36" i="622"/>
  <c r="N35" i="622" s="1"/>
  <c r="Q35" i="622"/>
  <c r="N79" i="623"/>
  <c r="O109" i="623"/>
  <c r="N109" i="623" s="1"/>
  <c r="O77" i="622"/>
  <c r="N29" i="622"/>
  <c r="O106" i="622"/>
  <c r="N106" i="622" s="1"/>
  <c r="Q73" i="622"/>
  <c r="Q77" i="622" s="1"/>
  <c r="Q107" i="622" s="1"/>
  <c r="O52" i="622"/>
  <c r="N52" i="622" s="1"/>
  <c r="L45" i="622"/>
  <c r="L66" i="622" s="1"/>
  <c r="L77" i="622"/>
  <c r="L107" i="622" s="1"/>
  <c r="O5" i="621"/>
  <c r="K6" i="621"/>
  <c r="L6" i="621"/>
  <c r="M6" i="621"/>
  <c r="M43" i="621" s="1"/>
  <c r="M64" i="621" s="1"/>
  <c r="P6" i="621"/>
  <c r="O7" i="621"/>
  <c r="K8" i="621"/>
  <c r="L8" i="621"/>
  <c r="O8" i="621" s="1"/>
  <c r="N7" i="621" s="1"/>
  <c r="M8" i="621"/>
  <c r="P8" i="621"/>
  <c r="O9" i="621"/>
  <c r="K10" i="621"/>
  <c r="L10" i="621"/>
  <c r="Q9" i="621" s="1"/>
  <c r="M10" i="621"/>
  <c r="O10" i="621"/>
  <c r="N9" i="621" s="1"/>
  <c r="P10" i="621"/>
  <c r="O11" i="621"/>
  <c r="K12" i="621"/>
  <c r="L12" i="621"/>
  <c r="M12" i="621"/>
  <c r="O12" i="621" s="1"/>
  <c r="N11" i="621" s="1"/>
  <c r="P12" i="621"/>
  <c r="O13" i="621"/>
  <c r="K14" i="621"/>
  <c r="L14" i="621"/>
  <c r="M14" i="621"/>
  <c r="P14" i="621"/>
  <c r="O15" i="621"/>
  <c r="Q15" i="621"/>
  <c r="K16" i="621"/>
  <c r="O16" i="621"/>
  <c r="N15" i="621" s="1"/>
  <c r="O17" i="621"/>
  <c r="K18" i="621"/>
  <c r="L18" i="621"/>
  <c r="Q17" i="621" s="1"/>
  <c r="M18" i="621"/>
  <c r="O18" i="621"/>
  <c r="N17" i="621" s="1"/>
  <c r="P18" i="621"/>
  <c r="O19" i="621"/>
  <c r="K20" i="621"/>
  <c r="L20" i="621"/>
  <c r="Q19" i="621" s="1"/>
  <c r="M20" i="621"/>
  <c r="O20" i="621"/>
  <c r="N19" i="621" s="1"/>
  <c r="P20" i="621"/>
  <c r="O21" i="621"/>
  <c r="K22" i="621"/>
  <c r="L22" i="621"/>
  <c r="Q21" i="621" s="1"/>
  <c r="M22" i="621"/>
  <c r="O22" i="621"/>
  <c r="N21" i="621" s="1"/>
  <c r="P22" i="621"/>
  <c r="O23" i="621"/>
  <c r="K24" i="621"/>
  <c r="L24" i="621"/>
  <c r="Q23" i="621" s="1"/>
  <c r="M24" i="621"/>
  <c r="O24" i="621"/>
  <c r="N23" i="621" s="1"/>
  <c r="P24" i="621"/>
  <c r="O25" i="621"/>
  <c r="Q25" i="621"/>
  <c r="K26" i="621"/>
  <c r="L26" i="621"/>
  <c r="O26" i="621" s="1"/>
  <c r="N25" i="621" s="1"/>
  <c r="M26" i="621"/>
  <c r="P26" i="621"/>
  <c r="O27" i="621"/>
  <c r="Q27" i="621"/>
  <c r="K28" i="621"/>
  <c r="L28" i="621"/>
  <c r="O28" i="621" s="1"/>
  <c r="N27" i="621" s="1"/>
  <c r="M28" i="621"/>
  <c r="P28" i="621"/>
  <c r="O29" i="621"/>
  <c r="Q29" i="621"/>
  <c r="K30" i="621"/>
  <c r="L30" i="621"/>
  <c r="O30" i="621" s="1"/>
  <c r="N29" i="621" s="1"/>
  <c r="M30" i="621"/>
  <c r="P30" i="621"/>
  <c r="O31" i="621"/>
  <c r="Q31" i="621"/>
  <c r="K32" i="621"/>
  <c r="L32" i="621"/>
  <c r="O32" i="621" s="1"/>
  <c r="N31" i="621" s="1"/>
  <c r="M32" i="621"/>
  <c r="P32" i="621"/>
  <c r="O33" i="621"/>
  <c r="Q33" i="621"/>
  <c r="K34" i="621"/>
  <c r="L34" i="621"/>
  <c r="O34" i="621" s="1"/>
  <c r="N33" i="621" s="1"/>
  <c r="M34" i="621"/>
  <c r="P34" i="621"/>
  <c r="O35" i="621"/>
  <c r="Q35" i="621"/>
  <c r="K36" i="621"/>
  <c r="L36" i="621"/>
  <c r="O36" i="621" s="1"/>
  <c r="N35" i="621" s="1"/>
  <c r="M36" i="621"/>
  <c r="P36" i="621"/>
  <c r="O37" i="621"/>
  <c r="K38" i="621"/>
  <c r="L38" i="621"/>
  <c r="O38" i="621"/>
  <c r="N37" i="621" s="1"/>
  <c r="P38" i="621"/>
  <c r="Q37" i="621" s="1"/>
  <c r="O39" i="621"/>
  <c r="K40" i="621"/>
  <c r="L40" i="621"/>
  <c r="O40" i="621" s="1"/>
  <c r="N39" i="621" s="1"/>
  <c r="M40" i="621"/>
  <c r="P40" i="621"/>
  <c r="O41" i="621"/>
  <c r="K42" i="621"/>
  <c r="L42" i="621"/>
  <c r="O42" i="621" s="1"/>
  <c r="N41" i="621" s="1"/>
  <c r="M42" i="621"/>
  <c r="P42" i="621"/>
  <c r="J43" i="621"/>
  <c r="S43" i="621"/>
  <c r="S64" i="621" s="1"/>
  <c r="T43" i="621"/>
  <c r="U43" i="621"/>
  <c r="V43" i="621"/>
  <c r="W43" i="621"/>
  <c r="X43" i="621"/>
  <c r="Y43" i="621"/>
  <c r="Z43" i="621"/>
  <c r="AA43" i="621"/>
  <c r="AB43" i="621"/>
  <c r="AC43" i="621"/>
  <c r="AD43" i="621"/>
  <c r="AD64" i="621" s="1"/>
  <c r="AE43" i="621"/>
  <c r="AF43" i="621"/>
  <c r="AG43" i="621"/>
  <c r="AH43" i="621"/>
  <c r="AI43" i="621"/>
  <c r="AI64" i="621" s="1"/>
  <c r="AJ43" i="621"/>
  <c r="AK43" i="621"/>
  <c r="AL43" i="621"/>
  <c r="AM43" i="621"/>
  <c r="AN43" i="621"/>
  <c r="AO43" i="621"/>
  <c r="AP43" i="621"/>
  <c r="AQ43" i="621"/>
  <c r="AR43" i="621"/>
  <c r="AS43" i="621"/>
  <c r="AT43" i="621"/>
  <c r="AT64" i="621" s="1"/>
  <c r="AU43" i="621"/>
  <c r="AV43" i="621"/>
  <c r="AW43" i="621"/>
  <c r="AX43" i="621"/>
  <c r="AY43" i="621"/>
  <c r="AY64" i="621" s="1"/>
  <c r="AZ43" i="621"/>
  <c r="BA43" i="621"/>
  <c r="BB43" i="621"/>
  <c r="BC43" i="621"/>
  <c r="BD43" i="621"/>
  <c r="BE43" i="621"/>
  <c r="BF43" i="621"/>
  <c r="BG43" i="621"/>
  <c r="N44" i="621"/>
  <c r="O44" i="621"/>
  <c r="Q44" i="621"/>
  <c r="Q50" i="621" s="1"/>
  <c r="O45" i="621"/>
  <c r="J50" i="621"/>
  <c r="K50" i="621"/>
  <c r="L50" i="621"/>
  <c r="M50" i="621"/>
  <c r="O50" i="621"/>
  <c r="N50" i="621" s="1"/>
  <c r="P50" i="621"/>
  <c r="S50" i="621"/>
  <c r="T50" i="621"/>
  <c r="U50" i="621"/>
  <c r="V50" i="621"/>
  <c r="W50" i="621"/>
  <c r="X50" i="621"/>
  <c r="Y50" i="621"/>
  <c r="Y64" i="621" s="1"/>
  <c r="Z50" i="621"/>
  <c r="AA50" i="621"/>
  <c r="AB50" i="621"/>
  <c r="AC50" i="621"/>
  <c r="AD50" i="621"/>
  <c r="AE50" i="621"/>
  <c r="AF50" i="621"/>
  <c r="AG50" i="621"/>
  <c r="AG64" i="621" s="1"/>
  <c r="AH50" i="621"/>
  <c r="AI50" i="621"/>
  <c r="AJ50" i="621"/>
  <c r="AK50" i="621"/>
  <c r="AL50" i="621"/>
  <c r="AM50" i="621"/>
  <c r="AN50" i="621"/>
  <c r="AO50" i="621"/>
  <c r="AO64" i="621" s="1"/>
  <c r="AP50" i="621"/>
  <c r="AQ50" i="621"/>
  <c r="AR50" i="621"/>
  <c r="AS50" i="621"/>
  <c r="AT50" i="621"/>
  <c r="AU50" i="621"/>
  <c r="AV50" i="621"/>
  <c r="AW50" i="621"/>
  <c r="AW64" i="621" s="1"/>
  <c r="AX50" i="621"/>
  <c r="AY50" i="621"/>
  <c r="AZ50" i="621"/>
  <c r="BA50" i="621"/>
  <c r="BB50" i="621"/>
  <c r="BC50" i="621"/>
  <c r="BD50" i="621"/>
  <c r="BE50" i="621"/>
  <c r="BE64" i="621" s="1"/>
  <c r="BF50" i="621"/>
  <c r="BG50" i="621"/>
  <c r="O53" i="621"/>
  <c r="Q53" i="621"/>
  <c r="O54" i="621"/>
  <c r="N53" i="621" s="1"/>
  <c r="O55" i="621"/>
  <c r="Q55" i="621"/>
  <c r="O56" i="621"/>
  <c r="N55" i="621" s="1"/>
  <c r="O57" i="621"/>
  <c r="Q57" i="621"/>
  <c r="O58" i="621"/>
  <c r="N57" i="621" s="1"/>
  <c r="O59" i="621"/>
  <c r="Q59" i="621"/>
  <c r="O60" i="621"/>
  <c r="N59" i="621" s="1"/>
  <c r="N61" i="621"/>
  <c r="J63" i="621"/>
  <c r="K63" i="621"/>
  <c r="L63" i="621"/>
  <c r="M63" i="621"/>
  <c r="P63" i="621"/>
  <c r="S63" i="621"/>
  <c r="T63" i="621"/>
  <c r="U63" i="621"/>
  <c r="V63" i="621"/>
  <c r="W63" i="621"/>
  <c r="X63" i="621"/>
  <c r="Y63" i="621"/>
  <c r="Z63" i="621"/>
  <c r="Z64" i="621" s="1"/>
  <c r="AA63" i="621"/>
  <c r="AB63" i="621"/>
  <c r="AC63" i="621"/>
  <c r="AD63" i="621"/>
  <c r="AE63" i="621"/>
  <c r="AF63" i="621"/>
  <c r="AG63" i="621"/>
  <c r="AH63" i="621"/>
  <c r="AH64" i="621" s="1"/>
  <c r="AI63" i="621"/>
  <c r="AJ63" i="621"/>
  <c r="AK63" i="621"/>
  <c r="AL63" i="621"/>
  <c r="AM63" i="621"/>
  <c r="AN63" i="621"/>
  <c r="AO63" i="621"/>
  <c r="AP63" i="621"/>
  <c r="AP64" i="621" s="1"/>
  <c r="AQ63" i="621"/>
  <c r="AR63" i="621"/>
  <c r="AS63" i="621"/>
  <c r="AT63" i="621"/>
  <c r="AU63" i="621"/>
  <c r="AV63" i="621"/>
  <c r="AW63" i="621"/>
  <c r="AX63" i="621"/>
  <c r="AX64" i="621" s="1"/>
  <c r="AY63" i="621"/>
  <c r="AZ63" i="621"/>
  <c r="BA63" i="621"/>
  <c r="BB63" i="621"/>
  <c r="BC63" i="621"/>
  <c r="BD63" i="621"/>
  <c r="BE63" i="621"/>
  <c r="BF63" i="621"/>
  <c r="BF64" i="621" s="1"/>
  <c r="BG63" i="621"/>
  <c r="J64" i="621"/>
  <c r="U64" i="621"/>
  <c r="V64" i="621"/>
  <c r="AA64" i="621"/>
  <c r="AC64" i="621"/>
  <c r="AK64" i="621"/>
  <c r="AL64" i="621"/>
  <c r="AQ64" i="621"/>
  <c r="AS64" i="621"/>
  <c r="BA64" i="621"/>
  <c r="BB64" i="621"/>
  <c r="BG64" i="621"/>
  <c r="N69" i="621"/>
  <c r="O69" i="621"/>
  <c r="Q69" i="621"/>
  <c r="O70" i="621"/>
  <c r="K71" i="621"/>
  <c r="K75" i="621" s="1"/>
  <c r="O71" i="621"/>
  <c r="P71" i="621"/>
  <c r="K72" i="621"/>
  <c r="L72" i="621"/>
  <c r="O72" i="621" s="1"/>
  <c r="N71" i="621" s="1"/>
  <c r="M72" i="621"/>
  <c r="P72" i="621"/>
  <c r="O73" i="621"/>
  <c r="Q73" i="621"/>
  <c r="O74" i="621"/>
  <c r="N73" i="621" s="1"/>
  <c r="J75" i="621"/>
  <c r="M75" i="621"/>
  <c r="S75" i="621"/>
  <c r="S105" i="621" s="1"/>
  <c r="T75" i="621"/>
  <c r="U75" i="621"/>
  <c r="V75" i="621"/>
  <c r="W75" i="621"/>
  <c r="X75" i="621"/>
  <c r="Y75" i="621"/>
  <c r="Z75" i="621"/>
  <c r="AA75" i="621"/>
  <c r="AA105" i="621" s="1"/>
  <c r="AB75" i="621"/>
  <c r="AC75" i="621"/>
  <c r="AD75" i="621"/>
  <c r="AE75" i="621"/>
  <c r="AF75" i="621"/>
  <c r="AG75" i="621"/>
  <c r="AG105" i="621" s="1"/>
  <c r="AH75" i="621"/>
  <c r="AI75" i="621"/>
  <c r="AI105" i="621" s="1"/>
  <c r="AJ75" i="621"/>
  <c r="AK75" i="621"/>
  <c r="AL75" i="621"/>
  <c r="AM75" i="621"/>
  <c r="AN75" i="621"/>
  <c r="AO75" i="621"/>
  <c r="AP75" i="621"/>
  <c r="AQ75" i="621"/>
  <c r="AQ105" i="621" s="1"/>
  <c r="AR75" i="621"/>
  <c r="AS75" i="621"/>
  <c r="AT75" i="621"/>
  <c r="AU75" i="621"/>
  <c r="AV75" i="621"/>
  <c r="AW75" i="621"/>
  <c r="AX75" i="621"/>
  <c r="AY75" i="621"/>
  <c r="AY105" i="621" s="1"/>
  <c r="AZ75" i="621"/>
  <c r="BA75" i="621"/>
  <c r="BB75" i="621"/>
  <c r="BC75" i="621"/>
  <c r="BD75" i="621"/>
  <c r="BE75" i="621"/>
  <c r="BF75" i="621"/>
  <c r="BG75" i="621"/>
  <c r="BG105" i="621" s="1"/>
  <c r="N84" i="621"/>
  <c r="Q84" i="621"/>
  <c r="Q86" i="621" s="1"/>
  <c r="J86" i="621"/>
  <c r="K86" i="621"/>
  <c r="L86" i="621"/>
  <c r="M86" i="621"/>
  <c r="O86" i="621"/>
  <c r="N86" i="621" s="1"/>
  <c r="P86" i="621"/>
  <c r="S86" i="621"/>
  <c r="T86" i="621"/>
  <c r="U86" i="621"/>
  <c r="U105" i="621" s="1"/>
  <c r="V86" i="621"/>
  <c r="W86" i="621"/>
  <c r="W105" i="621" s="1"/>
  <c r="X86" i="621"/>
  <c r="X105" i="621" s="1"/>
  <c r="Y86" i="621"/>
  <c r="Z86" i="621"/>
  <c r="AA86" i="621"/>
  <c r="AB86" i="621"/>
  <c r="AC86" i="621"/>
  <c r="AC105" i="621" s="1"/>
  <c r="AD86" i="621"/>
  <c r="AE86" i="621"/>
  <c r="AE105" i="621" s="1"/>
  <c r="AF86" i="621"/>
  <c r="AF105" i="621" s="1"/>
  <c r="AG86" i="621"/>
  <c r="AH86" i="621"/>
  <c r="AI86" i="621"/>
  <c r="AJ86" i="621"/>
  <c r="AK86" i="621"/>
  <c r="AK105" i="621" s="1"/>
  <c r="AL86" i="621"/>
  <c r="AM86" i="621"/>
  <c r="AM105" i="621" s="1"/>
  <c r="AN86" i="621"/>
  <c r="AN105" i="621" s="1"/>
  <c r="AO86" i="621"/>
  <c r="AO105" i="621" s="1"/>
  <c r="AP86" i="621"/>
  <c r="AQ86" i="621"/>
  <c r="AR86" i="621"/>
  <c r="AS86" i="621"/>
  <c r="AS105" i="621" s="1"/>
  <c r="AT86" i="621"/>
  <c r="AU86" i="621"/>
  <c r="AU105" i="621" s="1"/>
  <c r="AV86" i="621"/>
  <c r="AV105" i="621" s="1"/>
  <c r="AW86" i="621"/>
  <c r="AW105" i="621" s="1"/>
  <c r="AX86" i="621"/>
  <c r="AY86" i="621"/>
  <c r="AZ86" i="621"/>
  <c r="BA86" i="621"/>
  <c r="BA105" i="621" s="1"/>
  <c r="BB86" i="621"/>
  <c r="BC86" i="621"/>
  <c r="BC105" i="621" s="1"/>
  <c r="BD86" i="621"/>
  <c r="BD105" i="621" s="1"/>
  <c r="BE86" i="621"/>
  <c r="BE105" i="621" s="1"/>
  <c r="BF86" i="621"/>
  <c r="BG86" i="621"/>
  <c r="O91" i="621"/>
  <c r="Q91" i="621"/>
  <c r="O92" i="621"/>
  <c r="N91" i="621" s="1"/>
  <c r="N93" i="621"/>
  <c r="O93" i="621"/>
  <c r="Q93" i="621"/>
  <c r="O94" i="621"/>
  <c r="J95" i="621"/>
  <c r="K95" i="621"/>
  <c r="L95" i="621"/>
  <c r="M95" i="621"/>
  <c r="M105" i="621" s="1"/>
  <c r="P95" i="621"/>
  <c r="S95" i="621"/>
  <c r="T95" i="621"/>
  <c r="U95" i="621"/>
  <c r="V95" i="621"/>
  <c r="W95" i="621"/>
  <c r="X95" i="621"/>
  <c r="Y95" i="621"/>
  <c r="Z95" i="621"/>
  <c r="AA95" i="621"/>
  <c r="AB95" i="621"/>
  <c r="AC95" i="621"/>
  <c r="AD95" i="621"/>
  <c r="AE95" i="621"/>
  <c r="AF95" i="621"/>
  <c r="AG95" i="621"/>
  <c r="AH95" i="621"/>
  <c r="AI95" i="621"/>
  <c r="AJ95" i="621"/>
  <c r="AK95" i="621"/>
  <c r="AL95" i="621"/>
  <c r="AM95" i="621"/>
  <c r="AN95" i="621"/>
  <c r="AO95" i="621"/>
  <c r="AP95" i="621"/>
  <c r="AQ95" i="621"/>
  <c r="AR95" i="621"/>
  <c r="AS95" i="621"/>
  <c r="AT95" i="621"/>
  <c r="AU95" i="621"/>
  <c r="AV95" i="621"/>
  <c r="AW95" i="621"/>
  <c r="AX95" i="621"/>
  <c r="AY95" i="621"/>
  <c r="AZ95" i="621"/>
  <c r="BA95" i="621"/>
  <c r="BB95" i="621"/>
  <c r="BC95" i="621"/>
  <c r="BD95" i="621"/>
  <c r="BE95" i="621"/>
  <c r="BF95" i="621"/>
  <c r="BG95" i="621"/>
  <c r="O98" i="621"/>
  <c r="Q98" i="621"/>
  <c r="O99" i="621"/>
  <c r="N98" i="621" s="1"/>
  <c r="O100" i="621"/>
  <c r="Q100" i="621"/>
  <c r="O101" i="621"/>
  <c r="N100" i="621" s="1"/>
  <c r="O102" i="621"/>
  <c r="Q102" i="621"/>
  <c r="Q104" i="621" s="1"/>
  <c r="O103" i="621"/>
  <c r="N102" i="621" s="1"/>
  <c r="J104" i="621"/>
  <c r="K104" i="621"/>
  <c r="L104" i="621"/>
  <c r="M104" i="621"/>
  <c r="P104" i="621"/>
  <c r="S104" i="621"/>
  <c r="T104" i="621"/>
  <c r="U104" i="621"/>
  <c r="V104" i="621"/>
  <c r="W104" i="621"/>
  <c r="X104" i="621"/>
  <c r="Y104" i="621"/>
  <c r="Z104" i="621"/>
  <c r="AA104" i="621"/>
  <c r="AB104" i="621"/>
  <c r="AC104" i="621"/>
  <c r="AD104" i="621"/>
  <c r="AE104" i="621"/>
  <c r="AF104" i="621"/>
  <c r="AG104" i="621"/>
  <c r="AH104" i="621"/>
  <c r="AI104" i="621"/>
  <c r="AJ104" i="621"/>
  <c r="AK104" i="621"/>
  <c r="AL104" i="621"/>
  <c r="AM104" i="621"/>
  <c r="AN104" i="621"/>
  <c r="AO104" i="621"/>
  <c r="AP104" i="621"/>
  <c r="AQ104" i="621"/>
  <c r="AR104" i="621"/>
  <c r="AS104" i="621"/>
  <c r="AT104" i="621"/>
  <c r="AU104" i="621"/>
  <c r="AV104" i="621"/>
  <c r="AW104" i="621"/>
  <c r="AX104" i="621"/>
  <c r="AY104" i="621"/>
  <c r="AZ104" i="621"/>
  <c r="BA104" i="621"/>
  <c r="BB104" i="621"/>
  <c r="BC104" i="621"/>
  <c r="BD104" i="621"/>
  <c r="BE104" i="621"/>
  <c r="BF104" i="621"/>
  <c r="BG104" i="621"/>
  <c r="Y105" i="621"/>
  <c r="AB105" i="621" l="1"/>
  <c r="BF105" i="621"/>
  <c r="AX105" i="621"/>
  <c r="AP105" i="621"/>
  <c r="AH105" i="621"/>
  <c r="Z105" i="621"/>
  <c r="BD64" i="621"/>
  <c r="AV64" i="621"/>
  <c r="AN64" i="621"/>
  <c r="AF64" i="621"/>
  <c r="X64" i="621"/>
  <c r="K43" i="621"/>
  <c r="K64" i="621" s="1"/>
  <c r="Q13" i="621"/>
  <c r="Q5" i="621"/>
  <c r="J105" i="621"/>
  <c r="P75" i="621"/>
  <c r="P105" i="621" s="1"/>
  <c r="BC64" i="621"/>
  <c r="AU64" i="621"/>
  <c r="AM64" i="621"/>
  <c r="AE64" i="621"/>
  <c r="W64" i="621"/>
  <c r="Q41" i="621"/>
  <c r="Q39" i="621"/>
  <c r="AZ105" i="621"/>
  <c r="Q63" i="621"/>
  <c r="L43" i="621"/>
  <c r="L64" i="621" s="1"/>
  <c r="Q7" i="621"/>
  <c r="O45" i="622"/>
  <c r="O66" i="622" s="1"/>
  <c r="N66" i="622" s="1"/>
  <c r="AJ105" i="621"/>
  <c r="Q95" i="621"/>
  <c r="K105" i="621"/>
  <c r="O63" i="621"/>
  <c r="N63" i="621" s="1"/>
  <c r="T105" i="621"/>
  <c r="O95" i="621"/>
  <c r="N95" i="621" s="1"/>
  <c r="AR105" i="621"/>
  <c r="AT105" i="621"/>
  <c r="AD105" i="621"/>
  <c r="AZ64" i="621"/>
  <c r="AJ64" i="621"/>
  <c r="T64" i="621"/>
  <c r="P43" i="621"/>
  <c r="P64" i="621" s="1"/>
  <c r="BB105" i="621"/>
  <c r="AL105" i="621"/>
  <c r="V105" i="621"/>
  <c r="AR64" i="621"/>
  <c r="AB64" i="621"/>
  <c r="O75" i="621"/>
  <c r="O14" i="621"/>
  <c r="N13" i="621" s="1"/>
  <c r="Q11" i="621"/>
  <c r="O6" i="621"/>
  <c r="N5" i="621" s="1"/>
  <c r="N45" i="622"/>
  <c r="N77" i="622"/>
  <c r="O107" i="622"/>
  <c r="N107" i="622" s="1"/>
  <c r="Q43" i="621"/>
  <c r="Q64" i="621" s="1"/>
  <c r="O104" i="621"/>
  <c r="N104" i="621" s="1"/>
  <c r="Q71" i="621"/>
  <c r="Q75" i="621" s="1"/>
  <c r="Q105" i="621" s="1"/>
  <c r="L75" i="621"/>
  <c r="L105" i="621" s="1"/>
  <c r="O5" i="620"/>
  <c r="K6" i="620"/>
  <c r="L6" i="620"/>
  <c r="M6" i="620"/>
  <c r="O6" i="620"/>
  <c r="N5" i="620" s="1"/>
  <c r="P6" i="620"/>
  <c r="O7" i="620"/>
  <c r="K8" i="620"/>
  <c r="L8" i="620"/>
  <c r="Q7" i="620" s="1"/>
  <c r="M8" i="620"/>
  <c r="P8" i="620"/>
  <c r="O9" i="620"/>
  <c r="K10" i="620"/>
  <c r="L10" i="620"/>
  <c r="Q9" i="620" s="1"/>
  <c r="M10" i="620"/>
  <c r="O10" i="620"/>
  <c r="N9" i="620" s="1"/>
  <c r="P10" i="620"/>
  <c r="O11" i="620"/>
  <c r="K12" i="620"/>
  <c r="L12" i="620"/>
  <c r="Q11" i="620" s="1"/>
  <c r="M12" i="620"/>
  <c r="M45" i="620" s="1"/>
  <c r="M66" i="620" s="1"/>
  <c r="P12" i="620"/>
  <c r="O13" i="620"/>
  <c r="K14" i="620"/>
  <c r="L14" i="620"/>
  <c r="M14" i="620"/>
  <c r="O14" i="620"/>
  <c r="N13" i="620" s="1"/>
  <c r="P14" i="620"/>
  <c r="O15" i="620"/>
  <c r="K16" i="620"/>
  <c r="L16" i="620"/>
  <c r="Q15" i="620" s="1"/>
  <c r="M16" i="620"/>
  <c r="P16" i="620"/>
  <c r="O17" i="620"/>
  <c r="K18" i="620"/>
  <c r="L18" i="620"/>
  <c r="Q17" i="620" s="1"/>
  <c r="M18" i="620"/>
  <c r="O18" i="620"/>
  <c r="N17" i="620" s="1"/>
  <c r="P18" i="620"/>
  <c r="O19" i="620"/>
  <c r="K20" i="620"/>
  <c r="L20" i="620"/>
  <c r="Q19" i="620" s="1"/>
  <c r="M20" i="620"/>
  <c r="P20" i="620"/>
  <c r="O21" i="620"/>
  <c r="K22" i="620"/>
  <c r="L22" i="620"/>
  <c r="M22" i="620"/>
  <c r="O22" i="620"/>
  <c r="N21" i="620" s="1"/>
  <c r="P22" i="620"/>
  <c r="O23" i="620"/>
  <c r="K24" i="620"/>
  <c r="L24" i="620"/>
  <c r="Q23" i="620" s="1"/>
  <c r="M24" i="620"/>
  <c r="P24" i="620"/>
  <c r="O25" i="620"/>
  <c r="K26" i="620"/>
  <c r="L26" i="620"/>
  <c r="Q25" i="620" s="1"/>
  <c r="M26" i="620"/>
  <c r="O26" i="620"/>
  <c r="N25" i="620" s="1"/>
  <c r="P26" i="620"/>
  <c r="O27" i="620"/>
  <c r="K28" i="620"/>
  <c r="L28" i="620"/>
  <c r="Q27" i="620" s="1"/>
  <c r="M28" i="620"/>
  <c r="P28" i="620"/>
  <c r="O29" i="620"/>
  <c r="K30" i="620"/>
  <c r="L30" i="620"/>
  <c r="M30" i="620"/>
  <c r="O30" i="620"/>
  <c r="N29" i="620" s="1"/>
  <c r="P30" i="620"/>
  <c r="K31" i="620"/>
  <c r="L31" i="620"/>
  <c r="O31" i="620" s="1"/>
  <c r="M31" i="620"/>
  <c r="P31" i="620"/>
  <c r="K32" i="620"/>
  <c r="K45" i="620" s="1"/>
  <c r="K66" i="620" s="1"/>
  <c r="L32" i="620"/>
  <c r="Q31" i="620" s="1"/>
  <c r="M32" i="620"/>
  <c r="P32" i="620"/>
  <c r="O33" i="620"/>
  <c r="K34" i="620"/>
  <c r="L34" i="620"/>
  <c r="O34" i="620" s="1"/>
  <c r="N33" i="620" s="1"/>
  <c r="M34" i="620"/>
  <c r="P34" i="620"/>
  <c r="O35" i="620"/>
  <c r="K36" i="620"/>
  <c r="L36" i="620"/>
  <c r="O36" i="620" s="1"/>
  <c r="N35" i="620" s="1"/>
  <c r="M36" i="620"/>
  <c r="P36" i="620"/>
  <c r="O37" i="620"/>
  <c r="K38" i="620"/>
  <c r="L38" i="620"/>
  <c r="O38" i="620" s="1"/>
  <c r="N37" i="620" s="1"/>
  <c r="M38" i="620"/>
  <c r="P38" i="620"/>
  <c r="O39" i="620"/>
  <c r="K40" i="620"/>
  <c r="L40" i="620"/>
  <c r="O40" i="620" s="1"/>
  <c r="N39" i="620" s="1"/>
  <c r="P40" i="620"/>
  <c r="O41" i="620"/>
  <c r="K42" i="620"/>
  <c r="L42" i="620"/>
  <c r="M42" i="620"/>
  <c r="P42" i="620"/>
  <c r="O43" i="620"/>
  <c r="K44" i="620"/>
  <c r="L44" i="620"/>
  <c r="O44" i="620" s="1"/>
  <c r="N43" i="620" s="1"/>
  <c r="M44" i="620"/>
  <c r="P44" i="620"/>
  <c r="J45" i="620"/>
  <c r="S45" i="620"/>
  <c r="T45" i="620"/>
  <c r="T66" i="620" s="1"/>
  <c r="U45" i="620"/>
  <c r="U66" i="620" s="1"/>
  <c r="V45" i="620"/>
  <c r="W45" i="620"/>
  <c r="X45" i="620"/>
  <c r="Y45" i="620"/>
  <c r="Z45" i="620"/>
  <c r="AA45" i="620"/>
  <c r="AB45" i="620"/>
  <c r="AB66" i="620" s="1"/>
  <c r="AC45" i="620"/>
  <c r="AC66" i="620" s="1"/>
  <c r="AD45" i="620"/>
  <c r="AE45" i="620"/>
  <c r="AF45" i="620"/>
  <c r="AG45" i="620"/>
  <c r="AH45" i="620"/>
  <c r="AI45" i="620"/>
  <c r="AJ45" i="620"/>
  <c r="AJ66" i="620" s="1"/>
  <c r="AK45" i="620"/>
  <c r="AL45" i="620"/>
  <c r="AM45" i="620"/>
  <c r="AN45" i="620"/>
  <c r="AO45" i="620"/>
  <c r="AP45" i="620"/>
  <c r="AQ45" i="620"/>
  <c r="AR45" i="620"/>
  <c r="AR66" i="620" s="1"/>
  <c r="AS45" i="620"/>
  <c r="AT45" i="620"/>
  <c r="AU45" i="620"/>
  <c r="AV45" i="620"/>
  <c r="AW45" i="620"/>
  <c r="AX45" i="620"/>
  <c r="AY45" i="620"/>
  <c r="AZ45" i="620"/>
  <c r="BA45" i="620"/>
  <c r="BB45" i="620"/>
  <c r="BC45" i="620"/>
  <c r="BD45" i="620"/>
  <c r="BE45" i="620"/>
  <c r="BF45" i="620"/>
  <c r="BG45" i="620"/>
  <c r="O46" i="620"/>
  <c r="Q46" i="620"/>
  <c r="O47" i="620"/>
  <c r="N46" i="620" s="1"/>
  <c r="J52" i="620"/>
  <c r="K52" i="620"/>
  <c r="L52" i="620"/>
  <c r="M52" i="620"/>
  <c r="P52" i="620"/>
  <c r="Q52" i="620"/>
  <c r="S52" i="620"/>
  <c r="S66" i="620" s="1"/>
  <c r="T52" i="620"/>
  <c r="U52" i="620"/>
  <c r="V52" i="620"/>
  <c r="W52" i="620"/>
  <c r="X52" i="620"/>
  <c r="Y52" i="620"/>
  <c r="Z52" i="620"/>
  <c r="AA52" i="620"/>
  <c r="AB52" i="620"/>
  <c r="AC52" i="620"/>
  <c r="AD52" i="620"/>
  <c r="AD66" i="620" s="1"/>
  <c r="AE52" i="620"/>
  <c r="AF52" i="620"/>
  <c r="AG52" i="620"/>
  <c r="AH52" i="620"/>
  <c r="AI52" i="620"/>
  <c r="AI66" i="620" s="1"/>
  <c r="AJ52" i="620"/>
  <c r="AK52" i="620"/>
  <c r="AL52" i="620"/>
  <c r="AM52" i="620"/>
  <c r="AN52" i="620"/>
  <c r="AO52" i="620"/>
  <c r="AP52" i="620"/>
  <c r="AQ52" i="620"/>
  <c r="AQ66" i="620" s="1"/>
  <c r="AR52" i="620"/>
  <c r="AS52" i="620"/>
  <c r="AT52" i="620"/>
  <c r="AT66" i="620" s="1"/>
  <c r="AU52" i="620"/>
  <c r="AV52" i="620"/>
  <c r="AW52" i="620"/>
  <c r="AX52" i="620"/>
  <c r="AY52" i="620"/>
  <c r="AZ52" i="620"/>
  <c r="BA52" i="620"/>
  <c r="BB52" i="620"/>
  <c r="BB66" i="620" s="1"/>
  <c r="BC52" i="620"/>
  <c r="BD52" i="620"/>
  <c r="BE52" i="620"/>
  <c r="BF52" i="620"/>
  <c r="BG52" i="620"/>
  <c r="N55" i="620"/>
  <c r="O55" i="620"/>
  <c r="Q55" i="620"/>
  <c r="O56" i="620"/>
  <c r="O57" i="620"/>
  <c r="Q57" i="620"/>
  <c r="Q65" i="620" s="1"/>
  <c r="O58" i="620"/>
  <c r="N57" i="620" s="1"/>
  <c r="N59" i="620"/>
  <c r="O59" i="620"/>
  <c r="Q59" i="620"/>
  <c r="O60" i="620"/>
  <c r="O61" i="620"/>
  <c r="Q61" i="620"/>
  <c r="O62" i="620"/>
  <c r="N61" i="620" s="1"/>
  <c r="N63" i="620"/>
  <c r="J65" i="620"/>
  <c r="K65" i="620"/>
  <c r="L65" i="620"/>
  <c r="M65" i="620"/>
  <c r="O65" i="620"/>
  <c r="N65" i="620" s="1"/>
  <c r="P65" i="620"/>
  <c r="S65" i="620"/>
  <c r="T65" i="620"/>
  <c r="U65" i="620"/>
  <c r="V65" i="620"/>
  <c r="V66" i="620" s="1"/>
  <c r="W65" i="620"/>
  <c r="X65" i="620"/>
  <c r="X66" i="620" s="1"/>
  <c r="Y65" i="620"/>
  <c r="Z65" i="620"/>
  <c r="AA65" i="620"/>
  <c r="AB65" i="620"/>
  <c r="AC65" i="620"/>
  <c r="AD65" i="620"/>
  <c r="AE65" i="620"/>
  <c r="AF65" i="620"/>
  <c r="AF66" i="620" s="1"/>
  <c r="AG65" i="620"/>
  <c r="AH65" i="620"/>
  <c r="AI65" i="620"/>
  <c r="AJ65" i="620"/>
  <c r="AK65" i="620"/>
  <c r="AL65" i="620"/>
  <c r="AM65" i="620"/>
  <c r="AN65" i="620"/>
  <c r="AN66" i="620" s="1"/>
  <c r="AO65" i="620"/>
  <c r="AP65" i="620"/>
  <c r="AQ65" i="620"/>
  <c r="AR65" i="620"/>
  <c r="AS65" i="620"/>
  <c r="AT65" i="620"/>
  <c r="AU65" i="620"/>
  <c r="AV65" i="620"/>
  <c r="AV66" i="620" s="1"/>
  <c r="AW65" i="620"/>
  <c r="AX65" i="620"/>
  <c r="AY65" i="620"/>
  <c r="AZ65" i="620"/>
  <c r="BA65" i="620"/>
  <c r="BB65" i="620"/>
  <c r="BC65" i="620"/>
  <c r="BD65" i="620"/>
  <c r="BD66" i="620" s="1"/>
  <c r="BE65" i="620"/>
  <c r="BF65" i="620"/>
  <c r="BG65" i="620"/>
  <c r="J66" i="620"/>
  <c r="W66" i="620"/>
  <c r="AA66" i="620"/>
  <c r="AE66" i="620"/>
  <c r="AK66" i="620"/>
  <c r="AL66" i="620"/>
  <c r="AM66" i="620"/>
  <c r="AS66" i="620"/>
  <c r="AU66" i="620"/>
  <c r="AY66" i="620"/>
  <c r="AZ66" i="620"/>
  <c r="BA66" i="620"/>
  <c r="BC66" i="620"/>
  <c r="BG66" i="620"/>
  <c r="O71" i="620"/>
  <c r="Q71" i="620"/>
  <c r="O72" i="620"/>
  <c r="N71" i="620" s="1"/>
  <c r="K73" i="620"/>
  <c r="K77" i="620" s="1"/>
  <c r="L73" i="620"/>
  <c r="L77" i="620" s="1"/>
  <c r="M73" i="620"/>
  <c r="P73" i="620"/>
  <c r="AC73" i="620"/>
  <c r="AC77" i="620" s="1"/>
  <c r="AF73" i="620"/>
  <c r="AF77" i="620" s="1"/>
  <c r="AF107" i="620" s="1"/>
  <c r="K74" i="620"/>
  <c r="L74" i="620"/>
  <c r="Q73" i="620" s="1"/>
  <c r="M74" i="620"/>
  <c r="P74" i="620"/>
  <c r="N75" i="620"/>
  <c r="O75" i="620"/>
  <c r="Q75" i="620"/>
  <c r="O76" i="620"/>
  <c r="J77" i="620"/>
  <c r="M77" i="620"/>
  <c r="P77" i="620"/>
  <c r="P107" i="620" s="1"/>
  <c r="S77" i="620"/>
  <c r="T77" i="620"/>
  <c r="U77" i="620"/>
  <c r="V77" i="620"/>
  <c r="W77" i="620"/>
  <c r="X77" i="620"/>
  <c r="Y77" i="620"/>
  <c r="Z77" i="620"/>
  <c r="AA77" i="620"/>
  <c r="AB77" i="620"/>
  <c r="AD77" i="620"/>
  <c r="AE77" i="620"/>
  <c r="AG77" i="620"/>
  <c r="AH77" i="620"/>
  <c r="AI77" i="620"/>
  <c r="AJ77" i="620"/>
  <c r="AK77" i="620"/>
  <c r="AL77" i="620"/>
  <c r="AM77" i="620"/>
  <c r="AN77" i="620"/>
  <c r="AO77" i="620"/>
  <c r="AP77" i="620"/>
  <c r="AQ77" i="620"/>
  <c r="AR77" i="620"/>
  <c r="AS77" i="620"/>
  <c r="AT77" i="620"/>
  <c r="AU77" i="620"/>
  <c r="AV77" i="620"/>
  <c r="AW77" i="620"/>
  <c r="AX77" i="620"/>
  <c r="AY77" i="620"/>
  <c r="AZ77" i="620"/>
  <c r="BA77" i="620"/>
  <c r="BB77" i="620"/>
  <c r="BC77" i="620"/>
  <c r="BD77" i="620"/>
  <c r="BE77" i="620"/>
  <c r="BF77" i="620"/>
  <c r="BG77" i="620"/>
  <c r="N86" i="620"/>
  <c r="Q86" i="620"/>
  <c r="Q88" i="620" s="1"/>
  <c r="J88" i="620"/>
  <c r="K88" i="620"/>
  <c r="L88" i="620"/>
  <c r="M88" i="620"/>
  <c r="O88" i="620"/>
  <c r="P88" i="620"/>
  <c r="S88" i="620"/>
  <c r="T88" i="620"/>
  <c r="U88" i="620"/>
  <c r="U107" i="620" s="1"/>
  <c r="V88" i="620"/>
  <c r="W88" i="620"/>
  <c r="X88" i="620"/>
  <c r="Y88" i="620"/>
  <c r="Y107" i="620" s="1"/>
  <c r="Z88" i="620"/>
  <c r="AA88" i="620"/>
  <c r="AB88" i="620"/>
  <c r="AC88" i="620"/>
  <c r="AD88" i="620"/>
  <c r="AE88" i="620"/>
  <c r="AF88" i="620"/>
  <c r="AG88" i="620"/>
  <c r="AH88" i="620"/>
  <c r="AI88" i="620"/>
  <c r="AJ88" i="620"/>
  <c r="AK88" i="620"/>
  <c r="AK107" i="620" s="1"/>
  <c r="AL88" i="620"/>
  <c r="AM88" i="620"/>
  <c r="AN88" i="620"/>
  <c r="AO88" i="620"/>
  <c r="AO107" i="620" s="1"/>
  <c r="AP88" i="620"/>
  <c r="AQ88" i="620"/>
  <c r="AR88" i="620"/>
  <c r="AS88" i="620"/>
  <c r="AS107" i="620" s="1"/>
  <c r="AT88" i="620"/>
  <c r="AU88" i="620"/>
  <c r="AV88" i="620"/>
  <c r="AW88" i="620"/>
  <c r="AW107" i="620" s="1"/>
  <c r="AX88" i="620"/>
  <c r="AY88" i="620"/>
  <c r="AZ88" i="620"/>
  <c r="BA88" i="620"/>
  <c r="BA107" i="620" s="1"/>
  <c r="BB88" i="620"/>
  <c r="BC88" i="620"/>
  <c r="BD88" i="620"/>
  <c r="BE88" i="620"/>
  <c r="BE107" i="620" s="1"/>
  <c r="BF88" i="620"/>
  <c r="BG88" i="620"/>
  <c r="N93" i="620"/>
  <c r="O93" i="620"/>
  <c r="O97" i="620" s="1"/>
  <c r="N97" i="620" s="1"/>
  <c r="Q93" i="620"/>
  <c r="Q97" i="620" s="1"/>
  <c r="O94" i="620"/>
  <c r="O95" i="620"/>
  <c r="Q95" i="620"/>
  <c r="O96" i="620"/>
  <c r="N95" i="620" s="1"/>
  <c r="J97" i="620"/>
  <c r="K97" i="620"/>
  <c r="L97" i="620"/>
  <c r="M97" i="620"/>
  <c r="M107" i="620" s="1"/>
  <c r="P97" i="620"/>
  <c r="S97" i="620"/>
  <c r="S107" i="620" s="1"/>
  <c r="T97" i="620"/>
  <c r="U97" i="620"/>
  <c r="V97" i="620"/>
  <c r="W97" i="620"/>
  <c r="X97" i="620"/>
  <c r="Y97" i="620"/>
  <c r="Z97" i="620"/>
  <c r="AA97" i="620"/>
  <c r="AA107" i="620" s="1"/>
  <c r="AB97" i="620"/>
  <c r="AC97" i="620"/>
  <c r="AD97" i="620"/>
  <c r="AE97" i="620"/>
  <c r="AF97" i="620"/>
  <c r="AG97" i="620"/>
  <c r="AH97" i="620"/>
  <c r="AH107" i="620" s="1"/>
  <c r="AI97" i="620"/>
  <c r="AI107" i="620" s="1"/>
  <c r="AJ97" i="620"/>
  <c r="AK97" i="620"/>
  <c r="AL97" i="620"/>
  <c r="AM97" i="620"/>
  <c r="AN97" i="620"/>
  <c r="AO97" i="620"/>
  <c r="AP97" i="620"/>
  <c r="AQ97" i="620"/>
  <c r="AQ107" i="620" s="1"/>
  <c r="AR97" i="620"/>
  <c r="AS97" i="620"/>
  <c r="AT97" i="620"/>
  <c r="AU97" i="620"/>
  <c r="AV97" i="620"/>
  <c r="AW97" i="620"/>
  <c r="AX97" i="620"/>
  <c r="AY97" i="620"/>
  <c r="AY107" i="620" s="1"/>
  <c r="AZ97" i="620"/>
  <c r="BA97" i="620"/>
  <c r="BB97" i="620"/>
  <c r="BC97" i="620"/>
  <c r="BD97" i="620"/>
  <c r="BE97" i="620"/>
  <c r="BF97" i="620"/>
  <c r="BG97" i="620"/>
  <c r="BG107" i="620" s="1"/>
  <c r="O100" i="620"/>
  <c r="Q100" i="620"/>
  <c r="O101" i="620"/>
  <c r="N100" i="620" s="1"/>
  <c r="O102" i="620"/>
  <c r="Q102" i="620"/>
  <c r="O103" i="620"/>
  <c r="N104" i="620"/>
  <c r="O104" i="620"/>
  <c r="Q104" i="620"/>
  <c r="O105" i="620"/>
  <c r="J106" i="620"/>
  <c r="K106" i="620"/>
  <c r="L106" i="620"/>
  <c r="M106" i="620"/>
  <c r="P106" i="620"/>
  <c r="S106" i="620"/>
  <c r="T106" i="620"/>
  <c r="U106" i="620"/>
  <c r="V106" i="620"/>
  <c r="W106" i="620"/>
  <c r="X106" i="620"/>
  <c r="Y106" i="620"/>
  <c r="Z106" i="620"/>
  <c r="Z107" i="620" s="1"/>
  <c r="AA106" i="620"/>
  <c r="AB106" i="620"/>
  <c r="AC106" i="620"/>
  <c r="AD106" i="620"/>
  <c r="AD107" i="620" s="1"/>
  <c r="AE106" i="620"/>
  <c r="AF106" i="620"/>
  <c r="AG106" i="620"/>
  <c r="AH106" i="620"/>
  <c r="AI106" i="620"/>
  <c r="AJ106" i="620"/>
  <c r="AK106" i="620"/>
  <c r="AL106" i="620"/>
  <c r="AL107" i="620" s="1"/>
  <c r="AM106" i="620"/>
  <c r="AN106" i="620"/>
  <c r="AO106" i="620"/>
  <c r="AP106" i="620"/>
  <c r="AQ106" i="620"/>
  <c r="AR106" i="620"/>
  <c r="AS106" i="620"/>
  <c r="AT106" i="620"/>
  <c r="AT107" i="620" s="1"/>
  <c r="AU106" i="620"/>
  <c r="AV106" i="620"/>
  <c r="AW106" i="620"/>
  <c r="AX106" i="620"/>
  <c r="AX107" i="620" s="1"/>
  <c r="AY106" i="620"/>
  <c r="AZ106" i="620"/>
  <c r="BA106" i="620"/>
  <c r="BB106" i="620"/>
  <c r="BB107" i="620" s="1"/>
  <c r="BC106" i="620"/>
  <c r="BD106" i="620"/>
  <c r="BE106" i="620"/>
  <c r="BF106" i="620"/>
  <c r="BF107" i="620" s="1"/>
  <c r="BG106" i="620"/>
  <c r="V107" i="620"/>
  <c r="AG107" i="620"/>
  <c r="AP107" i="620"/>
  <c r="AZ107" i="620" l="1"/>
  <c r="AR107" i="620"/>
  <c r="AJ107" i="620"/>
  <c r="AB107" i="620"/>
  <c r="T107" i="620"/>
  <c r="BE66" i="620"/>
  <c r="AW66" i="620"/>
  <c r="AO66" i="620"/>
  <c r="AG66" i="620"/>
  <c r="Y66" i="620"/>
  <c r="AU107" i="620"/>
  <c r="AP66" i="620"/>
  <c r="J107" i="620"/>
  <c r="Q77" i="620"/>
  <c r="Q107" i="620" s="1"/>
  <c r="Q39" i="620"/>
  <c r="Q37" i="620"/>
  <c r="Q35" i="620"/>
  <c r="Q33" i="620"/>
  <c r="Q29" i="620"/>
  <c r="O24" i="620"/>
  <c r="N23" i="620" s="1"/>
  <c r="Q21" i="620"/>
  <c r="O16" i="620"/>
  <c r="N15" i="620" s="1"/>
  <c r="Q13" i="620"/>
  <c r="O8" i="620"/>
  <c r="N7" i="620" s="1"/>
  <c r="Q5" i="620"/>
  <c r="AH66" i="620"/>
  <c r="AC107" i="620"/>
  <c r="O42" i="620"/>
  <c r="N41" i="620" s="1"/>
  <c r="K107" i="620"/>
  <c r="AE107" i="620"/>
  <c r="AX66" i="620"/>
  <c r="BC107" i="620"/>
  <c r="O106" i="620"/>
  <c r="N106" i="620" s="1"/>
  <c r="N88" i="620"/>
  <c r="O73" i="620"/>
  <c r="O43" i="621"/>
  <c r="N43" i="621" s="1"/>
  <c r="BF66" i="620"/>
  <c r="Z66" i="620"/>
  <c r="Q106" i="620"/>
  <c r="X107" i="620"/>
  <c r="O74" i="620"/>
  <c r="N73" i="620" s="1"/>
  <c r="O32" i="620"/>
  <c r="N31" i="620" s="1"/>
  <c r="O28" i="620"/>
  <c r="N27" i="620" s="1"/>
  <c r="O20" i="620"/>
  <c r="N19" i="620" s="1"/>
  <c r="O12" i="620"/>
  <c r="N11" i="620" s="1"/>
  <c r="AM107" i="620"/>
  <c r="L107" i="620"/>
  <c r="BD107" i="620"/>
  <c r="AV107" i="620"/>
  <c r="AN107" i="620"/>
  <c r="W107" i="620"/>
  <c r="P45" i="620"/>
  <c r="P66" i="620" s="1"/>
  <c r="N75" i="621"/>
  <c r="O105" i="621"/>
  <c r="N105" i="621" s="1"/>
  <c r="O64" i="621"/>
  <c r="N64" i="621" s="1"/>
  <c r="O77" i="620"/>
  <c r="O52" i="620"/>
  <c r="N52" i="620" s="1"/>
  <c r="L45" i="620"/>
  <c r="L66" i="620" s="1"/>
  <c r="Q43" i="620"/>
  <c r="Q41" i="620"/>
  <c r="N102" i="620"/>
  <c r="O5" i="619"/>
  <c r="K6" i="619"/>
  <c r="L6" i="619"/>
  <c r="M6" i="619"/>
  <c r="P6" i="619"/>
  <c r="O7" i="619"/>
  <c r="K8" i="619"/>
  <c r="L8" i="619"/>
  <c r="Q7" i="619" s="1"/>
  <c r="M8" i="619"/>
  <c r="P8" i="619"/>
  <c r="O9" i="619"/>
  <c r="K10" i="619"/>
  <c r="L10" i="619"/>
  <c r="M10" i="619"/>
  <c r="P10" i="619"/>
  <c r="P47" i="619" s="1"/>
  <c r="P68" i="619" s="1"/>
  <c r="O11" i="619"/>
  <c r="K12" i="619"/>
  <c r="L12" i="619"/>
  <c r="M12" i="619"/>
  <c r="P12" i="619"/>
  <c r="O13" i="619"/>
  <c r="K14" i="619"/>
  <c r="L14" i="619"/>
  <c r="Q13" i="619" s="1"/>
  <c r="M14" i="619"/>
  <c r="P14" i="619"/>
  <c r="O15" i="619"/>
  <c r="K16" i="619"/>
  <c r="L16" i="619"/>
  <c r="M16" i="619"/>
  <c r="P16" i="619"/>
  <c r="O17" i="619"/>
  <c r="K18" i="619"/>
  <c r="L18" i="619"/>
  <c r="M18" i="619"/>
  <c r="P18" i="619"/>
  <c r="O19" i="619"/>
  <c r="K20" i="619"/>
  <c r="L20" i="619"/>
  <c r="M20" i="619"/>
  <c r="P20" i="619"/>
  <c r="O21" i="619"/>
  <c r="K22" i="619"/>
  <c r="L22" i="619"/>
  <c r="Q21" i="619" s="1"/>
  <c r="M22" i="619"/>
  <c r="P22" i="619"/>
  <c r="O23" i="619"/>
  <c r="K24" i="619"/>
  <c r="L24" i="619"/>
  <c r="Q23" i="619" s="1"/>
  <c r="M24" i="619"/>
  <c r="P24" i="619"/>
  <c r="O25" i="619"/>
  <c r="K26" i="619"/>
  <c r="L26" i="619"/>
  <c r="M26" i="619"/>
  <c r="P26" i="619"/>
  <c r="O27" i="619"/>
  <c r="K28" i="619"/>
  <c r="L28" i="619"/>
  <c r="M28" i="619"/>
  <c r="P28" i="619"/>
  <c r="O29" i="619"/>
  <c r="K30" i="619"/>
  <c r="L30" i="619"/>
  <c r="Q29" i="619" s="1"/>
  <c r="M30" i="619"/>
  <c r="P30" i="619"/>
  <c r="O31" i="619"/>
  <c r="K32" i="619"/>
  <c r="L32" i="619"/>
  <c r="M32" i="619"/>
  <c r="P32" i="619"/>
  <c r="K33" i="619"/>
  <c r="L33" i="619"/>
  <c r="O33" i="619" s="1"/>
  <c r="M33" i="619"/>
  <c r="P33" i="619"/>
  <c r="AL33" i="619"/>
  <c r="AL47" i="619" s="1"/>
  <c r="K34" i="619"/>
  <c r="L34" i="619"/>
  <c r="Q33" i="619" s="1"/>
  <c r="M34" i="619"/>
  <c r="O34" i="619" s="1"/>
  <c r="N33" i="619" s="1"/>
  <c r="P34" i="619"/>
  <c r="O35" i="619"/>
  <c r="Q35" i="619"/>
  <c r="K36" i="619"/>
  <c r="O36" i="619"/>
  <c r="N35" i="619" s="1"/>
  <c r="O37" i="619"/>
  <c r="Q37" i="619"/>
  <c r="K38" i="619"/>
  <c r="L38" i="619"/>
  <c r="M38" i="619"/>
  <c r="O38" i="619" s="1"/>
  <c r="N37" i="619" s="1"/>
  <c r="P38" i="619"/>
  <c r="O39" i="619"/>
  <c r="K40" i="619"/>
  <c r="L40" i="619"/>
  <c r="Q39" i="619" s="1"/>
  <c r="M40" i="619"/>
  <c r="P40" i="619"/>
  <c r="O41" i="619"/>
  <c r="K42" i="619"/>
  <c r="L42" i="619"/>
  <c r="O42" i="619"/>
  <c r="N41" i="619" s="1"/>
  <c r="P42" i="619"/>
  <c r="Q41" i="619" s="1"/>
  <c r="O43" i="619"/>
  <c r="K44" i="619"/>
  <c r="L44" i="619"/>
  <c r="Q43" i="619" s="1"/>
  <c r="M44" i="619"/>
  <c r="P44" i="619"/>
  <c r="O45" i="619"/>
  <c r="Q45" i="619"/>
  <c r="K46" i="619"/>
  <c r="O46" i="619"/>
  <c r="N45" i="619" s="1"/>
  <c r="J47" i="619"/>
  <c r="S47" i="619"/>
  <c r="T47" i="619"/>
  <c r="U47" i="619"/>
  <c r="V47" i="619"/>
  <c r="W47" i="619"/>
  <c r="X47" i="619"/>
  <c r="Y47" i="619"/>
  <c r="Y68" i="619" s="1"/>
  <c r="Z47" i="619"/>
  <c r="AA47" i="619"/>
  <c r="AB47" i="619"/>
  <c r="AC47" i="619"/>
  <c r="AD47" i="619"/>
  <c r="AE47" i="619"/>
  <c r="AF47" i="619"/>
  <c r="AG47" i="619"/>
  <c r="AH47" i="619"/>
  <c r="AI47" i="619"/>
  <c r="AJ47" i="619"/>
  <c r="AK47" i="619"/>
  <c r="AM47" i="619"/>
  <c r="AN47" i="619"/>
  <c r="AO47" i="619"/>
  <c r="AP47" i="619"/>
  <c r="AQ47" i="619"/>
  <c r="AR47" i="619"/>
  <c r="AS47" i="619"/>
  <c r="AT47" i="619"/>
  <c r="AU47" i="619"/>
  <c r="AV47" i="619"/>
  <c r="AW47" i="619"/>
  <c r="AX47" i="619"/>
  <c r="AY47" i="619"/>
  <c r="AZ47" i="619"/>
  <c r="BA47" i="619"/>
  <c r="BB47" i="619"/>
  <c r="BC47" i="619"/>
  <c r="BD47" i="619"/>
  <c r="BE47" i="619"/>
  <c r="BF47" i="619"/>
  <c r="BG47" i="619"/>
  <c r="O48" i="619"/>
  <c r="Q48" i="619"/>
  <c r="Q54" i="619" s="1"/>
  <c r="O49" i="619"/>
  <c r="N48" i="619" s="1"/>
  <c r="J54" i="619"/>
  <c r="K54" i="619"/>
  <c r="L54" i="619"/>
  <c r="M54" i="619"/>
  <c r="O54" i="619"/>
  <c r="N54" i="619" s="1"/>
  <c r="P54" i="619"/>
  <c r="S54" i="619"/>
  <c r="T54" i="619"/>
  <c r="U54" i="619"/>
  <c r="V54" i="619"/>
  <c r="W54" i="619"/>
  <c r="X54" i="619"/>
  <c r="Y54" i="619"/>
  <c r="Z54" i="619"/>
  <c r="AA54" i="619"/>
  <c r="AB54" i="619"/>
  <c r="AC54" i="619"/>
  <c r="AD54" i="619"/>
  <c r="AE54" i="619"/>
  <c r="AF54" i="619"/>
  <c r="AG54" i="619"/>
  <c r="AH54" i="619"/>
  <c r="AI54" i="619"/>
  <c r="AJ54" i="619"/>
  <c r="AK54" i="619"/>
  <c r="AL54" i="619"/>
  <c r="AM54" i="619"/>
  <c r="AN54" i="619"/>
  <c r="AO54" i="619"/>
  <c r="AP54" i="619"/>
  <c r="AQ54" i="619"/>
  <c r="AR54" i="619"/>
  <c r="AS54" i="619"/>
  <c r="AT54" i="619"/>
  <c r="AU54" i="619"/>
  <c r="AV54" i="619"/>
  <c r="AW54" i="619"/>
  <c r="AX54" i="619"/>
  <c r="AY54" i="619"/>
  <c r="AZ54" i="619"/>
  <c r="BA54" i="619"/>
  <c r="BB54" i="619"/>
  <c r="BC54" i="619"/>
  <c r="BD54" i="619"/>
  <c r="BE54" i="619"/>
  <c r="BF54" i="619"/>
  <c r="BG54" i="619"/>
  <c r="O57" i="619"/>
  <c r="Q57" i="619"/>
  <c r="Q67" i="619" s="1"/>
  <c r="O58" i="619"/>
  <c r="N57" i="619" s="1"/>
  <c r="O59" i="619"/>
  <c r="Q59" i="619"/>
  <c r="O60" i="619"/>
  <c r="N59" i="619" s="1"/>
  <c r="O61" i="619"/>
  <c r="Q61" i="619"/>
  <c r="O62" i="619"/>
  <c r="N61" i="619" s="1"/>
  <c r="O63" i="619"/>
  <c r="Q63" i="619"/>
  <c r="O64" i="619"/>
  <c r="N63" i="619" s="1"/>
  <c r="N65" i="619"/>
  <c r="J67" i="619"/>
  <c r="K67" i="619"/>
  <c r="L67" i="619"/>
  <c r="M67" i="619"/>
  <c r="P67" i="619"/>
  <c r="S67" i="619"/>
  <c r="T67" i="619"/>
  <c r="U67" i="619"/>
  <c r="V67" i="619"/>
  <c r="W67" i="619"/>
  <c r="X67" i="619"/>
  <c r="Y67" i="619"/>
  <c r="Z67" i="619"/>
  <c r="AA67" i="619"/>
  <c r="AB67" i="619"/>
  <c r="AC67" i="619"/>
  <c r="AD67" i="619"/>
  <c r="AE67" i="619"/>
  <c r="AF67" i="619"/>
  <c r="AF68" i="619" s="1"/>
  <c r="AG67" i="619"/>
  <c r="AG68" i="619" s="1"/>
  <c r="AH67" i="619"/>
  <c r="AI67" i="619"/>
  <c r="AJ67" i="619"/>
  <c r="AK67" i="619"/>
  <c r="AL67" i="619"/>
  <c r="AM67" i="619"/>
  <c r="AN67" i="619"/>
  <c r="AO67" i="619"/>
  <c r="AP67" i="619"/>
  <c r="AQ67" i="619"/>
  <c r="AR67" i="619"/>
  <c r="AS67" i="619"/>
  <c r="AT67" i="619"/>
  <c r="AU67" i="619"/>
  <c r="AV67" i="619"/>
  <c r="AV68" i="619" s="1"/>
  <c r="AW67" i="619"/>
  <c r="AW68" i="619" s="1"/>
  <c r="AX67" i="619"/>
  <c r="AY67" i="619"/>
  <c r="AZ67" i="619"/>
  <c r="BA67" i="619"/>
  <c r="BA68" i="619" s="1"/>
  <c r="BB67" i="619"/>
  <c r="BC67" i="619"/>
  <c r="BD67" i="619"/>
  <c r="BE67" i="619"/>
  <c r="BE68" i="619" s="1"/>
  <c r="BF67" i="619"/>
  <c r="BG67" i="619"/>
  <c r="X68" i="619"/>
  <c r="AN68" i="619"/>
  <c r="AO68" i="619"/>
  <c r="BD68" i="619"/>
  <c r="O73" i="619"/>
  <c r="Q73" i="619"/>
  <c r="O74" i="619"/>
  <c r="N73" i="619" s="1"/>
  <c r="K75" i="619"/>
  <c r="L75" i="619"/>
  <c r="O75" i="619" s="1"/>
  <c r="Q75" i="619"/>
  <c r="Q79" i="619" s="1"/>
  <c r="AC75" i="619"/>
  <c r="K76" i="619"/>
  <c r="L76" i="619"/>
  <c r="M76" i="619"/>
  <c r="M79" i="619" s="1"/>
  <c r="P76" i="619"/>
  <c r="O77" i="619"/>
  <c r="Q77" i="619"/>
  <c r="O78" i="619"/>
  <c r="N77" i="619" s="1"/>
  <c r="J79" i="619"/>
  <c r="K79" i="619"/>
  <c r="L79" i="619"/>
  <c r="L109" i="619" s="1"/>
  <c r="P79" i="619"/>
  <c r="S79" i="619"/>
  <c r="T79" i="619"/>
  <c r="U79" i="619"/>
  <c r="V79" i="619"/>
  <c r="W79" i="619"/>
  <c r="X79" i="619"/>
  <c r="Y79" i="619"/>
  <c r="Z79" i="619"/>
  <c r="AA79" i="619"/>
  <c r="AB79" i="619"/>
  <c r="AC79" i="619"/>
  <c r="AD79" i="619"/>
  <c r="AE79" i="619"/>
  <c r="AF79" i="619"/>
  <c r="AG79" i="619"/>
  <c r="AH79" i="619"/>
  <c r="AI79" i="619"/>
  <c r="AJ79" i="619"/>
  <c r="AK79" i="619"/>
  <c r="AL79" i="619"/>
  <c r="AM79" i="619"/>
  <c r="AN79" i="619"/>
  <c r="AO79" i="619"/>
  <c r="AP79" i="619"/>
  <c r="AQ79" i="619"/>
  <c r="AR79" i="619"/>
  <c r="AS79" i="619"/>
  <c r="AT79" i="619"/>
  <c r="AU79" i="619"/>
  <c r="AV79" i="619"/>
  <c r="AW79" i="619"/>
  <c r="AX79" i="619"/>
  <c r="AY79" i="619"/>
  <c r="AZ79" i="619"/>
  <c r="BA79" i="619"/>
  <c r="BB79" i="619"/>
  <c r="BC79" i="619"/>
  <c r="BD79" i="619"/>
  <c r="BE79" i="619"/>
  <c r="BF79" i="619"/>
  <c r="BG79" i="619"/>
  <c r="N88" i="619"/>
  <c r="Q88" i="619"/>
  <c r="Q90" i="619" s="1"/>
  <c r="J90" i="619"/>
  <c r="K90" i="619"/>
  <c r="L90" i="619"/>
  <c r="M90" i="619"/>
  <c r="O90" i="619"/>
  <c r="P90" i="619"/>
  <c r="S90" i="619"/>
  <c r="T90" i="619"/>
  <c r="U90" i="619"/>
  <c r="V90" i="619"/>
  <c r="V109" i="619" s="1"/>
  <c r="W90" i="619"/>
  <c r="X90" i="619"/>
  <c r="Y90" i="619"/>
  <c r="Z90" i="619"/>
  <c r="AA90" i="619"/>
  <c r="AA109" i="619" s="1"/>
  <c r="AB90" i="619"/>
  <c r="AC90" i="619"/>
  <c r="AD90" i="619"/>
  <c r="AE90" i="619"/>
  <c r="AF90" i="619"/>
  <c r="AG90" i="619"/>
  <c r="AH90" i="619"/>
  <c r="AI90" i="619"/>
  <c r="AJ90" i="619"/>
  <c r="AK90" i="619"/>
  <c r="AL90" i="619"/>
  <c r="AM90" i="619"/>
  <c r="AN90" i="619"/>
  <c r="AO90" i="619"/>
  <c r="AP90" i="619"/>
  <c r="AQ90" i="619"/>
  <c r="AQ109" i="619" s="1"/>
  <c r="AR90" i="619"/>
  <c r="AS90" i="619"/>
  <c r="AT90" i="619"/>
  <c r="AT109" i="619" s="1"/>
  <c r="AU90" i="619"/>
  <c r="AV90" i="619"/>
  <c r="AW90" i="619"/>
  <c r="AX90" i="619"/>
  <c r="AY90" i="619"/>
  <c r="AZ90" i="619"/>
  <c r="BA90" i="619"/>
  <c r="BB90" i="619"/>
  <c r="BB109" i="619" s="1"/>
  <c r="BC90" i="619"/>
  <c r="BD90" i="619"/>
  <c r="BE90" i="619"/>
  <c r="BF90" i="619"/>
  <c r="BG90" i="619"/>
  <c r="BG109" i="619" s="1"/>
  <c r="O95" i="619"/>
  <c r="Q95" i="619"/>
  <c r="O96" i="619"/>
  <c r="N95" i="619" s="1"/>
  <c r="O97" i="619"/>
  <c r="Q97" i="619"/>
  <c r="O98" i="619"/>
  <c r="N97" i="619" s="1"/>
  <c r="J99" i="619"/>
  <c r="K99" i="619"/>
  <c r="L99" i="619"/>
  <c r="M99" i="619"/>
  <c r="P99" i="619"/>
  <c r="S99" i="619"/>
  <c r="T99" i="619"/>
  <c r="U99" i="619"/>
  <c r="V99" i="619"/>
  <c r="W99" i="619"/>
  <c r="X99" i="619"/>
  <c r="Y99" i="619"/>
  <c r="Z99" i="619"/>
  <c r="AA99" i="619"/>
  <c r="AB99" i="619"/>
  <c r="AC99" i="619"/>
  <c r="AD99" i="619"/>
  <c r="AE99" i="619"/>
  <c r="AF99" i="619"/>
  <c r="AG99" i="619"/>
  <c r="AH99" i="619"/>
  <c r="AI99" i="619"/>
  <c r="AJ99" i="619"/>
  <c r="AK99" i="619"/>
  <c r="AL99" i="619"/>
  <c r="AM99" i="619"/>
  <c r="AN99" i="619"/>
  <c r="AO99" i="619"/>
  <c r="AP99" i="619"/>
  <c r="AQ99" i="619"/>
  <c r="AR99" i="619"/>
  <c r="AS99" i="619"/>
  <c r="AT99" i="619"/>
  <c r="AU99" i="619"/>
  <c r="AV99" i="619"/>
  <c r="AW99" i="619"/>
  <c r="AX99" i="619"/>
  <c r="AY99" i="619"/>
  <c r="AZ99" i="619"/>
  <c r="BA99" i="619"/>
  <c r="BB99" i="619"/>
  <c r="BC99" i="619"/>
  <c r="BD99" i="619"/>
  <c r="BE99" i="619"/>
  <c r="BF99" i="619"/>
  <c r="BG99" i="619"/>
  <c r="O102" i="619"/>
  <c r="Q102" i="619"/>
  <c r="O103" i="619"/>
  <c r="N102" i="619" s="1"/>
  <c r="O104" i="619"/>
  <c r="Q104" i="619"/>
  <c r="O105" i="619"/>
  <c r="N104" i="619" s="1"/>
  <c r="O106" i="619"/>
  <c r="Q106" i="619"/>
  <c r="O107" i="619"/>
  <c r="N106" i="619" s="1"/>
  <c r="J108" i="619"/>
  <c r="J109" i="619" s="1"/>
  <c r="K108" i="619"/>
  <c r="L108" i="619"/>
  <c r="M108" i="619"/>
  <c r="P108" i="619"/>
  <c r="S108" i="619"/>
  <c r="T108" i="619"/>
  <c r="U108" i="619"/>
  <c r="V108" i="619"/>
  <c r="W108" i="619"/>
  <c r="X108" i="619"/>
  <c r="Y108" i="619"/>
  <c r="Z108" i="619"/>
  <c r="AA108" i="619"/>
  <c r="AB108" i="619"/>
  <c r="AC108" i="619"/>
  <c r="AD108" i="619"/>
  <c r="AE108" i="619"/>
  <c r="AF108" i="619"/>
  <c r="AG108" i="619"/>
  <c r="AH108" i="619"/>
  <c r="AI108" i="619"/>
  <c r="AJ108" i="619"/>
  <c r="AK108" i="619"/>
  <c r="AL108" i="619"/>
  <c r="AM108" i="619"/>
  <c r="AN108" i="619"/>
  <c r="AO108" i="619"/>
  <c r="AP108" i="619"/>
  <c r="AQ108" i="619"/>
  <c r="AR108" i="619"/>
  <c r="AS108" i="619"/>
  <c r="AT108" i="619"/>
  <c r="AU108" i="619"/>
  <c r="AV108" i="619"/>
  <c r="AW108" i="619"/>
  <c r="AX108" i="619"/>
  <c r="AY108" i="619"/>
  <c r="AZ108" i="619"/>
  <c r="BA108" i="619"/>
  <c r="BB108" i="619"/>
  <c r="BC108" i="619"/>
  <c r="BD108" i="619"/>
  <c r="BE108" i="619"/>
  <c r="BF108" i="619"/>
  <c r="BG108" i="619"/>
  <c r="S109" i="619"/>
  <c r="AD109" i="619"/>
  <c r="AI109" i="619"/>
  <c r="AL109" i="619"/>
  <c r="AY109" i="619"/>
  <c r="BA109" i="619" l="1"/>
  <c r="AS109" i="619"/>
  <c r="AK109" i="619"/>
  <c r="AC109" i="619"/>
  <c r="U109" i="619"/>
  <c r="AX109" i="619"/>
  <c r="AH109" i="619"/>
  <c r="AR109" i="619"/>
  <c r="AJ109" i="619"/>
  <c r="AB109" i="619"/>
  <c r="T109" i="619"/>
  <c r="Q19" i="619"/>
  <c r="Q45" i="620"/>
  <c r="Q66" i="620" s="1"/>
  <c r="Q108" i="619"/>
  <c r="Q109" i="619" s="1"/>
  <c r="BF109" i="619"/>
  <c r="AP109" i="619"/>
  <c r="Z109" i="619"/>
  <c r="AZ109" i="619"/>
  <c r="BF68" i="619"/>
  <c r="AX68" i="619"/>
  <c r="AP68" i="619"/>
  <c r="AH68" i="619"/>
  <c r="Z68" i="619"/>
  <c r="O44" i="619"/>
  <c r="N43" i="619" s="1"/>
  <c r="Q25" i="619"/>
  <c r="Q9" i="619"/>
  <c r="P109" i="619"/>
  <c r="O76" i="619"/>
  <c r="N75" i="619" s="1"/>
  <c r="BC68" i="619"/>
  <c r="AU68" i="619"/>
  <c r="AM68" i="619"/>
  <c r="AE68" i="619"/>
  <c r="W68" i="619"/>
  <c r="AL68" i="619"/>
  <c r="Q31" i="619"/>
  <c r="Q15" i="619"/>
  <c r="M109" i="619"/>
  <c r="L47" i="619"/>
  <c r="L68" i="619" s="1"/>
  <c r="AV109" i="619"/>
  <c r="AN109" i="619"/>
  <c r="AF109" i="619"/>
  <c r="X109" i="619"/>
  <c r="K109" i="619"/>
  <c r="O67" i="619"/>
  <c r="N67" i="619" s="1"/>
  <c r="K47" i="619"/>
  <c r="K68" i="619" s="1"/>
  <c r="Q27" i="619"/>
  <c r="Q11" i="619"/>
  <c r="BE109" i="619"/>
  <c r="AO109" i="619"/>
  <c r="Y109" i="619"/>
  <c r="N90" i="619"/>
  <c r="AU109" i="619"/>
  <c r="AE109" i="619"/>
  <c r="W109" i="619"/>
  <c r="O108" i="619"/>
  <c r="N108" i="619" s="1"/>
  <c r="Q99" i="619"/>
  <c r="BB68" i="619"/>
  <c r="AT68" i="619"/>
  <c r="AD68" i="619"/>
  <c r="V68" i="619"/>
  <c r="AZ68" i="619"/>
  <c r="AR68" i="619"/>
  <c r="AJ68" i="619"/>
  <c r="AB68" i="619"/>
  <c r="T68" i="619"/>
  <c r="Q17" i="619"/>
  <c r="AW109" i="619"/>
  <c r="AG109" i="619"/>
  <c r="BD109" i="619"/>
  <c r="BC109" i="619"/>
  <c r="AM109" i="619"/>
  <c r="O99" i="619"/>
  <c r="N99" i="619" s="1"/>
  <c r="AS68" i="619"/>
  <c r="AK68" i="619"/>
  <c r="AC68" i="619"/>
  <c r="U68" i="619"/>
  <c r="J68" i="619"/>
  <c r="BG68" i="619"/>
  <c r="AY68" i="619"/>
  <c r="AQ68" i="619"/>
  <c r="AI68" i="619"/>
  <c r="AA68" i="619"/>
  <c r="S68" i="619"/>
  <c r="O40" i="619"/>
  <c r="N39" i="619" s="1"/>
  <c r="O45" i="620"/>
  <c r="N45" i="620" s="1"/>
  <c r="O107" i="620"/>
  <c r="N107" i="620" s="1"/>
  <c r="N77" i="620"/>
  <c r="O32" i="619"/>
  <c r="N31" i="619" s="1"/>
  <c r="O30" i="619"/>
  <c r="N29" i="619" s="1"/>
  <c r="O28" i="619"/>
  <c r="N27" i="619" s="1"/>
  <c r="O26" i="619"/>
  <c r="N25" i="619" s="1"/>
  <c r="O24" i="619"/>
  <c r="N23" i="619" s="1"/>
  <c r="O22" i="619"/>
  <c r="N21" i="619" s="1"/>
  <c r="O20" i="619"/>
  <c r="N19" i="619" s="1"/>
  <c r="O18" i="619"/>
  <c r="N17" i="619" s="1"/>
  <c r="O16" i="619"/>
  <c r="N15" i="619" s="1"/>
  <c r="O14" i="619"/>
  <c r="N13" i="619" s="1"/>
  <c r="O12" i="619"/>
  <c r="N11" i="619" s="1"/>
  <c r="O10" i="619"/>
  <c r="N9" i="619" s="1"/>
  <c r="O8" i="619"/>
  <c r="N7" i="619" s="1"/>
  <c r="O6" i="619"/>
  <c r="Q5" i="619"/>
  <c r="Q47" i="619" s="1"/>
  <c r="Q68" i="619" s="1"/>
  <c r="M47" i="619"/>
  <c r="M68" i="619" s="1"/>
  <c r="O66" i="620" l="1"/>
  <c r="N66" i="620" s="1"/>
  <c r="O79" i="619"/>
  <c r="N5" i="619"/>
  <c r="O47" i="619"/>
  <c r="O109" i="619" l="1"/>
  <c r="N109" i="619" s="1"/>
  <c r="N79" i="619"/>
  <c r="O68" i="619"/>
  <c r="N47" i="619"/>
  <c r="N68" i="619" s="1"/>
  <c r="O5" i="618" l="1"/>
  <c r="K6" i="618"/>
  <c r="L6" i="618"/>
  <c r="M6" i="618"/>
  <c r="P6" i="618"/>
  <c r="O7" i="618"/>
  <c r="K8" i="618"/>
  <c r="K43" i="618" s="1"/>
  <c r="K64" i="618" s="1"/>
  <c r="L8" i="618"/>
  <c r="M8" i="618"/>
  <c r="P8" i="618"/>
  <c r="O9" i="618"/>
  <c r="K10" i="618"/>
  <c r="L10" i="618"/>
  <c r="M10" i="618"/>
  <c r="P10" i="618"/>
  <c r="P43" i="618" s="1"/>
  <c r="P64" i="618" s="1"/>
  <c r="O11" i="618"/>
  <c r="K12" i="618"/>
  <c r="L12" i="618"/>
  <c r="M12" i="618"/>
  <c r="P12" i="618"/>
  <c r="O13" i="618"/>
  <c r="K14" i="618"/>
  <c r="L14" i="618"/>
  <c r="Q13" i="618" s="1"/>
  <c r="M14" i="618"/>
  <c r="P14" i="618"/>
  <c r="O15" i="618"/>
  <c r="K16" i="618"/>
  <c r="L16" i="618"/>
  <c r="M16" i="618"/>
  <c r="P16" i="618"/>
  <c r="O17" i="618"/>
  <c r="K18" i="618"/>
  <c r="L18" i="618"/>
  <c r="M18" i="618"/>
  <c r="P18" i="618"/>
  <c r="O19" i="618"/>
  <c r="K20" i="618"/>
  <c r="L20" i="618"/>
  <c r="Q19" i="618" s="1"/>
  <c r="M20" i="618"/>
  <c r="P20" i="618"/>
  <c r="O21" i="618"/>
  <c r="K22" i="618"/>
  <c r="L22" i="618"/>
  <c r="Q21" i="618" s="1"/>
  <c r="M22" i="618"/>
  <c r="P22" i="618"/>
  <c r="O23" i="618"/>
  <c r="S23" i="618"/>
  <c r="S43" i="618" s="1"/>
  <c r="AC23" i="618"/>
  <c r="AC43" i="618" s="1"/>
  <c r="AH23" i="618"/>
  <c r="K24" i="618"/>
  <c r="L24" i="618"/>
  <c r="O24" i="618" s="1"/>
  <c r="N23" i="618" s="1"/>
  <c r="M24" i="618"/>
  <c r="P24" i="618"/>
  <c r="O25" i="618"/>
  <c r="K26" i="618"/>
  <c r="L26" i="618"/>
  <c r="O26" i="618" s="1"/>
  <c r="N25" i="618" s="1"/>
  <c r="M26" i="618"/>
  <c r="P26" i="618"/>
  <c r="O27" i="618"/>
  <c r="K28" i="618"/>
  <c r="L28" i="618"/>
  <c r="O28" i="618" s="1"/>
  <c r="N27" i="618" s="1"/>
  <c r="M28" i="618"/>
  <c r="P28" i="618"/>
  <c r="O29" i="618"/>
  <c r="K30" i="618"/>
  <c r="L30" i="618"/>
  <c r="M30" i="618"/>
  <c r="P30" i="618"/>
  <c r="O31" i="618"/>
  <c r="K32" i="618"/>
  <c r="L32" i="618"/>
  <c r="O32" i="618" s="1"/>
  <c r="N31" i="618" s="1"/>
  <c r="M32" i="618"/>
  <c r="P32" i="618"/>
  <c r="K33" i="618"/>
  <c r="L33" i="618"/>
  <c r="O33" i="618" s="1"/>
  <c r="M33" i="618"/>
  <c r="P33" i="618"/>
  <c r="K34" i="618"/>
  <c r="L34" i="618"/>
  <c r="M34" i="618"/>
  <c r="P34" i="618"/>
  <c r="O35" i="618"/>
  <c r="K36" i="618"/>
  <c r="L36" i="618"/>
  <c r="M36" i="618"/>
  <c r="P36" i="618"/>
  <c r="Q35" i="618" s="1"/>
  <c r="O37" i="618"/>
  <c r="K38" i="618"/>
  <c r="L38" i="618"/>
  <c r="M38" i="618"/>
  <c r="O38" i="618" s="1"/>
  <c r="N37" i="618" s="1"/>
  <c r="P38" i="618"/>
  <c r="Q37" i="618" s="1"/>
  <c r="O39" i="618"/>
  <c r="Q39" i="618"/>
  <c r="K40" i="618"/>
  <c r="L40" i="618"/>
  <c r="O40" i="618" s="1"/>
  <c r="N39" i="618" s="1"/>
  <c r="P40" i="618"/>
  <c r="O41" i="618"/>
  <c r="K42" i="618"/>
  <c r="L42" i="618"/>
  <c r="M42" i="618"/>
  <c r="O42" i="618" s="1"/>
  <c r="N41" i="618" s="1"/>
  <c r="P42" i="618"/>
  <c r="Q41" i="618" s="1"/>
  <c r="J43" i="618"/>
  <c r="T43" i="618"/>
  <c r="U43" i="618"/>
  <c r="V43" i="618"/>
  <c r="W43" i="618"/>
  <c r="X43" i="618"/>
  <c r="Y43" i="618"/>
  <c r="Z43" i="618"/>
  <c r="AA43" i="618"/>
  <c r="AB43" i="618"/>
  <c r="AD43" i="618"/>
  <c r="AE43" i="618"/>
  <c r="AF43" i="618"/>
  <c r="AG43" i="618"/>
  <c r="AH43" i="618"/>
  <c r="AI43" i="618"/>
  <c r="AJ43" i="618"/>
  <c r="AK43" i="618"/>
  <c r="AL43" i="618"/>
  <c r="AM43" i="618"/>
  <c r="AN43" i="618"/>
  <c r="AN64" i="618" s="1"/>
  <c r="AO43" i="618"/>
  <c r="AP43" i="618"/>
  <c r="AQ43" i="618"/>
  <c r="AR43" i="618"/>
  <c r="AS43" i="618"/>
  <c r="AT43" i="618"/>
  <c r="AU43" i="618"/>
  <c r="AV43" i="618"/>
  <c r="AW43" i="618"/>
  <c r="AX43" i="618"/>
  <c r="AY43" i="618"/>
  <c r="AZ43" i="618"/>
  <c r="BA43" i="618"/>
  <c r="BB43" i="618"/>
  <c r="BC43" i="618"/>
  <c r="BD43" i="618"/>
  <c r="BE43" i="618"/>
  <c r="BF43" i="618"/>
  <c r="BG43" i="618"/>
  <c r="O44" i="618"/>
  <c r="Q44" i="618"/>
  <c r="Q50" i="618" s="1"/>
  <c r="O45" i="618"/>
  <c r="N44" i="618" s="1"/>
  <c r="J50" i="618"/>
  <c r="K50" i="618"/>
  <c r="L50" i="618"/>
  <c r="M50" i="618"/>
  <c r="O50" i="618"/>
  <c r="N50" i="618" s="1"/>
  <c r="P50" i="618"/>
  <c r="S50" i="618"/>
  <c r="T50" i="618"/>
  <c r="U50" i="618"/>
  <c r="V50" i="618"/>
  <c r="W50" i="618"/>
  <c r="X50" i="618"/>
  <c r="Y50" i="618"/>
  <c r="Z50" i="618"/>
  <c r="AA50" i="618"/>
  <c r="AB50" i="618"/>
  <c r="AC50" i="618"/>
  <c r="AD50" i="618"/>
  <c r="AE50" i="618"/>
  <c r="AE64" i="618" s="1"/>
  <c r="AF50" i="618"/>
  <c r="AG50" i="618"/>
  <c r="AH50" i="618"/>
  <c r="AI50" i="618"/>
  <c r="AJ50" i="618"/>
  <c r="AJ64" i="618" s="1"/>
  <c r="AK50" i="618"/>
  <c r="AL50" i="618"/>
  <c r="AM50" i="618"/>
  <c r="AM64" i="618" s="1"/>
  <c r="AN50" i="618"/>
  <c r="AO50" i="618"/>
  <c r="AP50" i="618"/>
  <c r="AQ50" i="618"/>
  <c r="AR50" i="618"/>
  <c r="AR64" i="618" s="1"/>
  <c r="AS50" i="618"/>
  <c r="AT50" i="618"/>
  <c r="AU50" i="618"/>
  <c r="AU64" i="618" s="1"/>
  <c r="AV50" i="618"/>
  <c r="AW50" i="618"/>
  <c r="AX50" i="618"/>
  <c r="AY50" i="618"/>
  <c r="AZ50" i="618"/>
  <c r="BA50" i="618"/>
  <c r="BB50" i="618"/>
  <c r="BC50" i="618"/>
  <c r="BC64" i="618" s="1"/>
  <c r="BD50" i="618"/>
  <c r="BE50" i="618"/>
  <c r="BF50" i="618"/>
  <c r="BG50" i="618"/>
  <c r="O53" i="618"/>
  <c r="Q53" i="618"/>
  <c r="Q63" i="618" s="1"/>
  <c r="O54" i="618"/>
  <c r="N53" i="618" s="1"/>
  <c r="O55" i="618"/>
  <c r="Q55" i="618"/>
  <c r="O56" i="618"/>
  <c r="N55" i="618" s="1"/>
  <c r="O57" i="618"/>
  <c r="Q57" i="618"/>
  <c r="O58" i="618"/>
  <c r="N57" i="618" s="1"/>
  <c r="N59" i="618"/>
  <c r="O59" i="618"/>
  <c r="Q59" i="618"/>
  <c r="O60" i="618"/>
  <c r="N61" i="618"/>
  <c r="J63" i="618"/>
  <c r="K63" i="618"/>
  <c r="L63" i="618"/>
  <c r="M63" i="618"/>
  <c r="P63" i="618"/>
  <c r="S63" i="618"/>
  <c r="T63" i="618"/>
  <c r="T64" i="618" s="1"/>
  <c r="U63" i="618"/>
  <c r="V63" i="618"/>
  <c r="W63" i="618"/>
  <c r="X63" i="618"/>
  <c r="X64" i="618" s="1"/>
  <c r="Y63" i="618"/>
  <c r="Z63" i="618"/>
  <c r="AA63" i="618"/>
  <c r="AA64" i="618" s="1"/>
  <c r="AB63" i="618"/>
  <c r="AB64" i="618" s="1"/>
  <c r="AC63" i="618"/>
  <c r="AD63" i="618"/>
  <c r="AE63" i="618"/>
  <c r="AF63" i="618"/>
  <c r="AG63" i="618"/>
  <c r="AH63" i="618"/>
  <c r="AI63" i="618"/>
  <c r="AJ63" i="618"/>
  <c r="AK63" i="618"/>
  <c r="AK64" i="618" s="1"/>
  <c r="AL63" i="618"/>
  <c r="AM63" i="618"/>
  <c r="AN63" i="618"/>
  <c r="AO63" i="618"/>
  <c r="AP63" i="618"/>
  <c r="AQ63" i="618"/>
  <c r="AR63" i="618"/>
  <c r="AS63" i="618"/>
  <c r="AS64" i="618" s="1"/>
  <c r="AT63" i="618"/>
  <c r="AU63" i="618"/>
  <c r="AV63" i="618"/>
  <c r="AV64" i="618" s="1"/>
  <c r="AW63" i="618"/>
  <c r="AW64" i="618" s="1"/>
  <c r="AX63" i="618"/>
  <c r="AY63" i="618"/>
  <c r="AZ63" i="618"/>
  <c r="AZ64" i="618" s="1"/>
  <c r="BA63" i="618"/>
  <c r="BA64" i="618" s="1"/>
  <c r="BB63" i="618"/>
  <c r="BC63" i="618"/>
  <c r="BD63" i="618"/>
  <c r="BD64" i="618" s="1"/>
  <c r="BE63" i="618"/>
  <c r="BE64" i="618" s="1"/>
  <c r="BF63" i="618"/>
  <c r="BG63" i="618"/>
  <c r="Y64" i="618"/>
  <c r="AF64" i="618"/>
  <c r="AG64" i="618"/>
  <c r="AO64" i="618"/>
  <c r="O69" i="618"/>
  <c r="Q69" i="618"/>
  <c r="O70" i="618"/>
  <c r="N69" i="618" s="1"/>
  <c r="L71" i="618"/>
  <c r="L75" i="618" s="1"/>
  <c r="M71" i="618"/>
  <c r="M75" i="618" s="1"/>
  <c r="P71" i="618"/>
  <c r="P75" i="618" s="1"/>
  <c r="U71" i="618"/>
  <c r="K72" i="618"/>
  <c r="L72" i="618"/>
  <c r="Q71" i="618" s="1"/>
  <c r="Q75" i="618" s="1"/>
  <c r="Q105" i="618" s="1"/>
  <c r="M72" i="618"/>
  <c r="P72" i="618"/>
  <c r="N73" i="618"/>
  <c r="O73" i="618"/>
  <c r="Q73" i="618"/>
  <c r="O74" i="618"/>
  <c r="J75" i="618"/>
  <c r="K75" i="618"/>
  <c r="S75" i="618"/>
  <c r="T75" i="618"/>
  <c r="U75" i="618"/>
  <c r="U105" i="618" s="1"/>
  <c r="V75" i="618"/>
  <c r="W75" i="618"/>
  <c r="X75" i="618"/>
  <c r="Y75" i="618"/>
  <c r="Z75" i="618"/>
  <c r="AA75" i="618"/>
  <c r="AB75" i="618"/>
  <c r="AC75" i="618"/>
  <c r="AC105" i="618" s="1"/>
  <c r="AD75" i="618"/>
  <c r="AE75" i="618"/>
  <c r="AF75" i="618"/>
  <c r="AG75" i="618"/>
  <c r="AH75" i="618"/>
  <c r="AI75" i="618"/>
  <c r="AJ75" i="618"/>
  <c r="AK75" i="618"/>
  <c r="AK105" i="618" s="1"/>
  <c r="AL75" i="618"/>
  <c r="AM75" i="618"/>
  <c r="AN75" i="618"/>
  <c r="AO75" i="618"/>
  <c r="AP75" i="618"/>
  <c r="AQ75" i="618"/>
  <c r="AR75" i="618"/>
  <c r="AS75" i="618"/>
  <c r="AS105" i="618" s="1"/>
  <c r="AT75" i="618"/>
  <c r="AU75" i="618"/>
  <c r="AV75" i="618"/>
  <c r="AW75" i="618"/>
  <c r="AX75" i="618"/>
  <c r="AY75" i="618"/>
  <c r="AZ75" i="618"/>
  <c r="BA75" i="618"/>
  <c r="BA105" i="618" s="1"/>
  <c r="BB75" i="618"/>
  <c r="BC75" i="618"/>
  <c r="BD75" i="618"/>
  <c r="BE75" i="618"/>
  <c r="BF75" i="618"/>
  <c r="BG75" i="618"/>
  <c r="N84" i="618"/>
  <c r="Q84" i="618"/>
  <c r="Q86" i="618" s="1"/>
  <c r="J86" i="618"/>
  <c r="K86" i="618"/>
  <c r="L86" i="618"/>
  <c r="M86" i="618"/>
  <c r="O86" i="618"/>
  <c r="N86" i="618" s="1"/>
  <c r="P86" i="618"/>
  <c r="S86" i="618"/>
  <c r="T86" i="618"/>
  <c r="U86" i="618"/>
  <c r="V86" i="618"/>
  <c r="W86" i="618"/>
  <c r="X86" i="618"/>
  <c r="Y86" i="618"/>
  <c r="Z86" i="618"/>
  <c r="AA86" i="618"/>
  <c r="AB86" i="618"/>
  <c r="AC86" i="618"/>
  <c r="AD86" i="618"/>
  <c r="AE86" i="618"/>
  <c r="AF86" i="618"/>
  <c r="AG86" i="618"/>
  <c r="AH86" i="618"/>
  <c r="AI86" i="618"/>
  <c r="AJ86" i="618"/>
  <c r="AK86" i="618"/>
  <c r="AL86" i="618"/>
  <c r="AM86" i="618"/>
  <c r="AN86" i="618"/>
  <c r="AO86" i="618"/>
  <c r="AP86" i="618"/>
  <c r="AQ86" i="618"/>
  <c r="AR86" i="618"/>
  <c r="AS86" i="618"/>
  <c r="AT86" i="618"/>
  <c r="AU86" i="618"/>
  <c r="AV86" i="618"/>
  <c r="AW86" i="618"/>
  <c r="AX86" i="618"/>
  <c r="AY86" i="618"/>
  <c r="AZ86" i="618"/>
  <c r="BA86" i="618"/>
  <c r="BB86" i="618"/>
  <c r="BC86" i="618"/>
  <c r="BD86" i="618"/>
  <c r="BE86" i="618"/>
  <c r="BF86" i="618"/>
  <c r="BG86" i="618"/>
  <c r="O91" i="618"/>
  <c r="Q91" i="618"/>
  <c r="O92" i="618"/>
  <c r="O95" i="618" s="1"/>
  <c r="N95" i="618" s="1"/>
  <c r="O93" i="618"/>
  <c r="Q93" i="618"/>
  <c r="O94" i="618"/>
  <c r="N93" i="618" s="1"/>
  <c r="J95" i="618"/>
  <c r="K95" i="618"/>
  <c r="L95" i="618"/>
  <c r="M95" i="618"/>
  <c r="P95" i="618"/>
  <c r="Q95" i="618"/>
  <c r="S95" i="618"/>
  <c r="T95" i="618"/>
  <c r="U95" i="618"/>
  <c r="V95" i="618"/>
  <c r="W95" i="618"/>
  <c r="X95" i="618"/>
  <c r="Y95" i="618"/>
  <c r="Z95" i="618"/>
  <c r="AA95" i="618"/>
  <c r="AB95" i="618"/>
  <c r="AC95" i="618"/>
  <c r="AD95" i="618"/>
  <c r="AE95" i="618"/>
  <c r="AF95" i="618"/>
  <c r="AG95" i="618"/>
  <c r="AH95" i="618"/>
  <c r="AI95" i="618"/>
  <c r="AJ95" i="618"/>
  <c r="AK95" i="618"/>
  <c r="AL95" i="618"/>
  <c r="AM95" i="618"/>
  <c r="AN95" i="618"/>
  <c r="AO95" i="618"/>
  <c r="AP95" i="618"/>
  <c r="AQ95" i="618"/>
  <c r="AR95" i="618"/>
  <c r="AS95" i="618"/>
  <c r="AT95" i="618"/>
  <c r="AU95" i="618"/>
  <c r="AV95" i="618"/>
  <c r="AW95" i="618"/>
  <c r="AX95" i="618"/>
  <c r="AY95" i="618"/>
  <c r="AZ95" i="618"/>
  <c r="BA95" i="618"/>
  <c r="BB95" i="618"/>
  <c r="BC95" i="618"/>
  <c r="BD95" i="618"/>
  <c r="BE95" i="618"/>
  <c r="BF95" i="618"/>
  <c r="BG95" i="618"/>
  <c r="O98" i="618"/>
  <c r="Q98" i="618"/>
  <c r="O99" i="618"/>
  <c r="N98" i="618" s="1"/>
  <c r="O100" i="618"/>
  <c r="Q100" i="618"/>
  <c r="Q104" i="618" s="1"/>
  <c r="O101" i="618"/>
  <c r="N100" i="618" s="1"/>
  <c r="O102" i="618"/>
  <c r="Q102" i="618"/>
  <c r="O103" i="618"/>
  <c r="N102" i="618" s="1"/>
  <c r="J104" i="618"/>
  <c r="K104" i="618"/>
  <c r="L104" i="618"/>
  <c r="M104" i="618"/>
  <c r="P104" i="618"/>
  <c r="S104" i="618"/>
  <c r="T104" i="618"/>
  <c r="U104" i="618"/>
  <c r="V104" i="618"/>
  <c r="V105" i="618" s="1"/>
  <c r="W104" i="618"/>
  <c r="X104" i="618"/>
  <c r="Y104" i="618"/>
  <c r="Z104" i="618"/>
  <c r="AA104" i="618"/>
  <c r="AB104" i="618"/>
  <c r="AC104" i="618"/>
  <c r="AD104" i="618"/>
  <c r="AD105" i="618" s="1"/>
  <c r="AE104" i="618"/>
  <c r="AF104" i="618"/>
  <c r="AG104" i="618"/>
  <c r="AH104" i="618"/>
  <c r="AI104" i="618"/>
  <c r="AJ104" i="618"/>
  <c r="AK104" i="618"/>
  <c r="AL104" i="618"/>
  <c r="AL105" i="618" s="1"/>
  <c r="AM104" i="618"/>
  <c r="AN104" i="618"/>
  <c r="AO104" i="618"/>
  <c r="AP104" i="618"/>
  <c r="AQ104" i="618"/>
  <c r="AR104" i="618"/>
  <c r="AS104" i="618"/>
  <c r="AT104" i="618"/>
  <c r="AT105" i="618" s="1"/>
  <c r="AU104" i="618"/>
  <c r="AV104" i="618"/>
  <c r="AW104" i="618"/>
  <c r="AX104" i="618"/>
  <c r="AY104" i="618"/>
  <c r="AZ104" i="618"/>
  <c r="BA104" i="618"/>
  <c r="BB104" i="618"/>
  <c r="BB105" i="618" s="1"/>
  <c r="BC104" i="618"/>
  <c r="BD104" i="618"/>
  <c r="BE104" i="618"/>
  <c r="BF104" i="618"/>
  <c r="BG104" i="618"/>
  <c r="Z105" i="618"/>
  <c r="AH105" i="618"/>
  <c r="AP105" i="618"/>
  <c r="AX105" i="618"/>
  <c r="BF105" i="618"/>
  <c r="BG64" i="618" l="1"/>
  <c r="AY64" i="618"/>
  <c r="AQ64" i="618"/>
  <c r="AI64" i="618"/>
  <c r="S64" i="618"/>
  <c r="O36" i="618"/>
  <c r="N35" i="618" s="1"/>
  <c r="BC105" i="618"/>
  <c r="AU105" i="618"/>
  <c r="AM105" i="618"/>
  <c r="AE105" i="618"/>
  <c r="W105" i="618"/>
  <c r="BF64" i="618"/>
  <c r="AX64" i="618"/>
  <c r="AP64" i="618"/>
  <c r="AH64" i="618"/>
  <c r="Z64" i="618"/>
  <c r="Q9" i="618"/>
  <c r="J105" i="618"/>
  <c r="N91" i="618"/>
  <c r="P105" i="618"/>
  <c r="W64" i="618"/>
  <c r="Q15" i="618"/>
  <c r="AY105" i="618"/>
  <c r="AI105" i="618"/>
  <c r="S105" i="618"/>
  <c r="L43" i="618"/>
  <c r="L64" i="618" s="1"/>
  <c r="BG105" i="618"/>
  <c r="AQ105" i="618"/>
  <c r="AA105" i="618"/>
  <c r="M105" i="618"/>
  <c r="AZ105" i="618"/>
  <c r="AR105" i="618"/>
  <c r="AJ105" i="618"/>
  <c r="AB105" i="618"/>
  <c r="T105" i="618"/>
  <c r="L105" i="618"/>
  <c r="Q33" i="618"/>
  <c r="O30" i="618"/>
  <c r="N29" i="618" s="1"/>
  <c r="Q11" i="618"/>
  <c r="BE105" i="618"/>
  <c r="AW105" i="618"/>
  <c r="AG105" i="618"/>
  <c r="Y105" i="618"/>
  <c r="BB64" i="618"/>
  <c r="AT64" i="618"/>
  <c r="AL64" i="618"/>
  <c r="AD64" i="618"/>
  <c r="V64" i="618"/>
  <c r="O63" i="618"/>
  <c r="N63" i="618" s="1"/>
  <c r="M43" i="618"/>
  <c r="M64" i="618" s="1"/>
  <c r="Q17" i="618"/>
  <c r="AO105" i="618"/>
  <c r="BD105" i="618"/>
  <c r="AV105" i="618"/>
  <c r="AN105" i="618"/>
  <c r="AF105" i="618"/>
  <c r="X105" i="618"/>
  <c r="K105" i="618"/>
  <c r="O72" i="618"/>
  <c r="N71" i="618" s="1"/>
  <c r="U64" i="618"/>
  <c r="J64" i="618"/>
  <c r="AC64" i="618"/>
  <c r="Q7" i="618"/>
  <c r="O71" i="618"/>
  <c r="O75" i="618" s="1"/>
  <c r="O22" i="618"/>
  <c r="N21" i="618" s="1"/>
  <c r="O20" i="618"/>
  <c r="N19" i="618" s="1"/>
  <c r="O18" i="618"/>
  <c r="N17" i="618" s="1"/>
  <c r="O16" i="618"/>
  <c r="N15" i="618" s="1"/>
  <c r="O14" i="618"/>
  <c r="N13" i="618" s="1"/>
  <c r="O12" i="618"/>
  <c r="N11" i="618" s="1"/>
  <c r="O10" i="618"/>
  <c r="N9" i="618" s="1"/>
  <c r="O8" i="618"/>
  <c r="N7" i="618" s="1"/>
  <c r="O6" i="618"/>
  <c r="O34" i="618"/>
  <c r="N33" i="618" s="1"/>
  <c r="Q31" i="618"/>
  <c r="Q29" i="618"/>
  <c r="Q27" i="618"/>
  <c r="Q25" i="618"/>
  <c r="Q23" i="618"/>
  <c r="Q5" i="618"/>
  <c r="O104" i="618"/>
  <c r="N104" i="618" s="1"/>
  <c r="O5" i="617"/>
  <c r="K6" i="617"/>
  <c r="L6" i="617"/>
  <c r="Q5" i="617" s="1"/>
  <c r="M6" i="617"/>
  <c r="P6" i="617"/>
  <c r="O7" i="617"/>
  <c r="K8" i="617"/>
  <c r="L8" i="617"/>
  <c r="Q7" i="617" s="1"/>
  <c r="M8" i="617"/>
  <c r="P8" i="617"/>
  <c r="O9" i="617"/>
  <c r="K10" i="617"/>
  <c r="L10" i="617"/>
  <c r="M10" i="617"/>
  <c r="P10" i="617"/>
  <c r="O11" i="617"/>
  <c r="K12" i="617"/>
  <c r="L12" i="617"/>
  <c r="M12" i="617"/>
  <c r="P12" i="617"/>
  <c r="O13" i="617"/>
  <c r="K14" i="617"/>
  <c r="L14" i="617"/>
  <c r="Q13" i="617" s="1"/>
  <c r="M14" i="617"/>
  <c r="P14" i="617"/>
  <c r="O15" i="617"/>
  <c r="K16" i="617"/>
  <c r="L16" i="617"/>
  <c r="M16" i="617"/>
  <c r="P16" i="617"/>
  <c r="O17" i="617"/>
  <c r="K18" i="617"/>
  <c r="L18" i="617"/>
  <c r="Q17" i="617" s="1"/>
  <c r="M18" i="617"/>
  <c r="P18" i="617"/>
  <c r="O19" i="617"/>
  <c r="K20" i="617"/>
  <c r="L20" i="617"/>
  <c r="M20" i="617"/>
  <c r="M43" i="617" s="1"/>
  <c r="M64" i="617" s="1"/>
  <c r="P20" i="617"/>
  <c r="O21" i="617"/>
  <c r="K22" i="617"/>
  <c r="L22" i="617"/>
  <c r="M22" i="617"/>
  <c r="P22" i="617"/>
  <c r="O23" i="617"/>
  <c r="K24" i="617"/>
  <c r="L24" i="617"/>
  <c r="Q23" i="617" s="1"/>
  <c r="M24" i="617"/>
  <c r="P24" i="617"/>
  <c r="O25" i="617"/>
  <c r="Q25" i="617"/>
  <c r="K26" i="617"/>
  <c r="O26" i="617"/>
  <c r="N25" i="617" s="1"/>
  <c r="O27" i="617"/>
  <c r="Q27" i="617"/>
  <c r="K28" i="617"/>
  <c r="L28" i="617"/>
  <c r="M28" i="617"/>
  <c r="O28" i="617" s="1"/>
  <c r="N27" i="617" s="1"/>
  <c r="P28" i="617"/>
  <c r="O29" i="617"/>
  <c r="K30" i="617"/>
  <c r="L30" i="617"/>
  <c r="Q29" i="617" s="1"/>
  <c r="M30" i="617"/>
  <c r="O30" i="617" s="1"/>
  <c r="N29" i="617" s="1"/>
  <c r="P30" i="617"/>
  <c r="L31" i="617"/>
  <c r="O31" i="617"/>
  <c r="K32" i="617"/>
  <c r="L32" i="617"/>
  <c r="M32" i="617"/>
  <c r="O32" i="617" s="1"/>
  <c r="N31" i="617" s="1"/>
  <c r="P32" i="617"/>
  <c r="O33" i="617"/>
  <c r="K34" i="617"/>
  <c r="L34" i="617"/>
  <c r="M34" i="617"/>
  <c r="O34" i="617" s="1"/>
  <c r="N33" i="617" s="1"/>
  <c r="P34" i="617"/>
  <c r="O35" i="617"/>
  <c r="K36" i="617"/>
  <c r="L36" i="617"/>
  <c r="M36" i="617"/>
  <c r="O36" i="617"/>
  <c r="N35" i="617" s="1"/>
  <c r="P36" i="617"/>
  <c r="O37" i="617"/>
  <c r="K38" i="617"/>
  <c r="L38" i="617"/>
  <c r="Q37" i="617" s="1"/>
  <c r="M38" i="617"/>
  <c r="P38" i="617"/>
  <c r="O39" i="617"/>
  <c r="K40" i="617"/>
  <c r="L40" i="617"/>
  <c r="P40" i="617"/>
  <c r="O41" i="617"/>
  <c r="Q41" i="617"/>
  <c r="K42" i="617"/>
  <c r="L42" i="617"/>
  <c r="O42" i="617"/>
  <c r="N41" i="617" s="1"/>
  <c r="P42" i="617"/>
  <c r="J43" i="617"/>
  <c r="K43" i="617"/>
  <c r="S43" i="617"/>
  <c r="T43" i="617"/>
  <c r="U43" i="617"/>
  <c r="V43" i="617"/>
  <c r="W43" i="617"/>
  <c r="X43" i="617"/>
  <c r="Y43" i="617"/>
  <c r="Z43" i="617"/>
  <c r="Z64" i="617" s="1"/>
  <c r="AA43" i="617"/>
  <c r="AB43" i="617"/>
  <c r="AC43" i="617"/>
  <c r="AD43" i="617"/>
  <c r="AE43" i="617"/>
  <c r="AF43" i="617"/>
  <c r="AG43" i="617"/>
  <c r="AH43" i="617"/>
  <c r="AH64" i="617" s="1"/>
  <c r="AI43" i="617"/>
  <c r="AJ43" i="617"/>
  <c r="AK43" i="617"/>
  <c r="AL43" i="617"/>
  <c r="AM43" i="617"/>
  <c r="AN43" i="617"/>
  <c r="AO43" i="617"/>
  <c r="AP43" i="617"/>
  <c r="AP64" i="617" s="1"/>
  <c r="AQ43" i="617"/>
  <c r="AR43" i="617"/>
  <c r="AS43" i="617"/>
  <c r="AT43" i="617"/>
  <c r="AU43" i="617"/>
  <c r="AV43" i="617"/>
  <c r="AW43" i="617"/>
  <c r="AX43" i="617"/>
  <c r="AX64" i="617" s="1"/>
  <c r="AY43" i="617"/>
  <c r="AZ43" i="617"/>
  <c r="BA43" i="617"/>
  <c r="BB43" i="617"/>
  <c r="BC43" i="617"/>
  <c r="BD43" i="617"/>
  <c r="BE43" i="617"/>
  <c r="BF43" i="617"/>
  <c r="BF64" i="617" s="1"/>
  <c r="BG43" i="617"/>
  <c r="O44" i="617"/>
  <c r="Q44" i="617"/>
  <c r="Q50" i="617" s="1"/>
  <c r="O45" i="617"/>
  <c r="N44" i="617" s="1"/>
  <c r="J50" i="617"/>
  <c r="K50" i="617"/>
  <c r="L50" i="617"/>
  <c r="M50" i="617"/>
  <c r="O50" i="617"/>
  <c r="P50" i="617"/>
  <c r="S50" i="617"/>
  <c r="T50" i="617"/>
  <c r="U50" i="617"/>
  <c r="U64" i="617" s="1"/>
  <c r="V50" i="617"/>
  <c r="W50" i="617"/>
  <c r="X50" i="617"/>
  <c r="Y50" i="617"/>
  <c r="Z50" i="617"/>
  <c r="AA50" i="617"/>
  <c r="AB50" i="617"/>
  <c r="AC50" i="617"/>
  <c r="AC64" i="617" s="1"/>
  <c r="AD50" i="617"/>
  <c r="AD64" i="617" s="1"/>
  <c r="AE50" i="617"/>
  <c r="AF50" i="617"/>
  <c r="AG50" i="617"/>
  <c r="AH50" i="617"/>
  <c r="AI50" i="617"/>
  <c r="AJ50" i="617"/>
  <c r="AK50" i="617"/>
  <c r="AK64" i="617" s="1"/>
  <c r="AL50" i="617"/>
  <c r="AM50" i="617"/>
  <c r="AN50" i="617"/>
  <c r="AO50" i="617"/>
  <c r="AP50" i="617"/>
  <c r="AQ50" i="617"/>
  <c r="AR50" i="617"/>
  <c r="AS50" i="617"/>
  <c r="AS64" i="617" s="1"/>
  <c r="AT50" i="617"/>
  <c r="AT64" i="617" s="1"/>
  <c r="AU50" i="617"/>
  <c r="AV50" i="617"/>
  <c r="AW50" i="617"/>
  <c r="AX50" i="617"/>
  <c r="AY50" i="617"/>
  <c r="AZ50" i="617"/>
  <c r="BA50" i="617"/>
  <c r="BA64" i="617" s="1"/>
  <c r="BB50" i="617"/>
  <c r="BC50" i="617"/>
  <c r="BD50" i="617"/>
  <c r="BE50" i="617"/>
  <c r="BF50" i="617"/>
  <c r="BG50" i="617"/>
  <c r="O53" i="617"/>
  <c r="Q53" i="617"/>
  <c r="O54" i="617"/>
  <c r="N53" i="617" s="1"/>
  <c r="O55" i="617"/>
  <c r="Q55" i="617"/>
  <c r="O56" i="617"/>
  <c r="N55" i="617" s="1"/>
  <c r="O57" i="617"/>
  <c r="Q57" i="617"/>
  <c r="O58" i="617"/>
  <c r="N57" i="617" s="1"/>
  <c r="O59" i="617"/>
  <c r="Q59" i="617"/>
  <c r="O60" i="617"/>
  <c r="N59" i="617" s="1"/>
  <c r="N61" i="617"/>
  <c r="J63" i="617"/>
  <c r="J64" i="617" s="1"/>
  <c r="K63" i="617"/>
  <c r="L63" i="617"/>
  <c r="M63" i="617"/>
  <c r="P63" i="617"/>
  <c r="S63" i="617"/>
  <c r="T63" i="617"/>
  <c r="T64" i="617" s="1"/>
  <c r="U63" i="617"/>
  <c r="V63" i="617"/>
  <c r="V64" i="617" s="1"/>
  <c r="W63" i="617"/>
  <c r="W64" i="617" s="1"/>
  <c r="X63" i="617"/>
  <c r="Y63" i="617"/>
  <c r="Z63" i="617"/>
  <c r="AA63" i="617"/>
  <c r="AB63" i="617"/>
  <c r="AB64" i="617" s="1"/>
  <c r="AC63" i="617"/>
  <c r="AD63" i="617"/>
  <c r="AE63" i="617"/>
  <c r="AE64" i="617" s="1"/>
  <c r="AF63" i="617"/>
  <c r="AG63" i="617"/>
  <c r="AH63" i="617"/>
  <c r="AI63" i="617"/>
  <c r="AJ63" i="617"/>
  <c r="AJ64" i="617" s="1"/>
  <c r="AK63" i="617"/>
  <c r="AL63" i="617"/>
  <c r="AL64" i="617" s="1"/>
  <c r="AM63" i="617"/>
  <c r="AM64" i="617" s="1"/>
  <c r="AN63" i="617"/>
  <c r="AO63" i="617"/>
  <c r="AP63" i="617"/>
  <c r="AQ63" i="617"/>
  <c r="AR63" i="617"/>
  <c r="AR64" i="617" s="1"/>
  <c r="AS63" i="617"/>
  <c r="AT63" i="617"/>
  <c r="AU63" i="617"/>
  <c r="AU64" i="617" s="1"/>
  <c r="AV63" i="617"/>
  <c r="AW63" i="617"/>
  <c r="AX63" i="617"/>
  <c r="AY63" i="617"/>
  <c r="AZ63" i="617"/>
  <c r="AZ64" i="617" s="1"/>
  <c r="BA63" i="617"/>
  <c r="BB63" i="617"/>
  <c r="BB64" i="617" s="1"/>
  <c r="BC63" i="617"/>
  <c r="BC64" i="617" s="1"/>
  <c r="BD63" i="617"/>
  <c r="BE63" i="617"/>
  <c r="BF63" i="617"/>
  <c r="BG63" i="617"/>
  <c r="S64" i="617"/>
  <c r="AA64" i="617"/>
  <c r="AI64" i="617"/>
  <c r="AQ64" i="617"/>
  <c r="AY64" i="617"/>
  <c r="BG64" i="617"/>
  <c r="O69" i="617"/>
  <c r="Q69" i="617"/>
  <c r="O70" i="617"/>
  <c r="N69" i="617" s="1"/>
  <c r="O71" i="617"/>
  <c r="K72" i="617"/>
  <c r="L72" i="617"/>
  <c r="L75" i="617" s="1"/>
  <c r="L105" i="617" s="1"/>
  <c r="M72" i="617"/>
  <c r="M75" i="617" s="1"/>
  <c r="P72" i="617"/>
  <c r="O73" i="617"/>
  <c r="Q73" i="617"/>
  <c r="O74" i="617"/>
  <c r="N73" i="617" s="1"/>
  <c r="J75" i="617"/>
  <c r="K75" i="617"/>
  <c r="P75" i="617"/>
  <c r="S75" i="617"/>
  <c r="T75" i="617"/>
  <c r="U75" i="617"/>
  <c r="V75" i="617"/>
  <c r="W75" i="617"/>
  <c r="X75" i="617"/>
  <c r="Y75" i="617"/>
  <c r="Z75" i="617"/>
  <c r="AA75" i="617"/>
  <c r="AB75" i="617"/>
  <c r="AC75" i="617"/>
  <c r="AD75" i="617"/>
  <c r="AE75" i="617"/>
  <c r="AF75" i="617"/>
  <c r="AG75" i="617"/>
  <c r="AH75" i="617"/>
  <c r="AI75" i="617"/>
  <c r="AJ75" i="617"/>
  <c r="AK75" i="617"/>
  <c r="AL75" i="617"/>
  <c r="AM75" i="617"/>
  <c r="AN75" i="617"/>
  <c r="AO75" i="617"/>
  <c r="AP75" i="617"/>
  <c r="AQ75" i="617"/>
  <c r="AR75" i="617"/>
  <c r="AS75" i="617"/>
  <c r="AT75" i="617"/>
  <c r="AU75" i="617"/>
  <c r="AV75" i="617"/>
  <c r="AW75" i="617"/>
  <c r="AX75" i="617"/>
  <c r="AY75" i="617"/>
  <c r="AZ75" i="617"/>
  <c r="BA75" i="617"/>
  <c r="BB75" i="617"/>
  <c r="BC75" i="617"/>
  <c r="BD75" i="617"/>
  <c r="BE75" i="617"/>
  <c r="BF75" i="617"/>
  <c r="BG75" i="617"/>
  <c r="N84" i="617"/>
  <c r="Q84" i="617"/>
  <c r="J86" i="617"/>
  <c r="K86" i="617"/>
  <c r="L86" i="617"/>
  <c r="N86" i="617" s="1"/>
  <c r="M86" i="617"/>
  <c r="O86" i="617"/>
  <c r="P86" i="617"/>
  <c r="Q86" i="617"/>
  <c r="S86" i="617"/>
  <c r="S105" i="617" s="1"/>
  <c r="T86" i="617"/>
  <c r="U86" i="617"/>
  <c r="V86" i="617"/>
  <c r="W86" i="617"/>
  <c r="X86" i="617"/>
  <c r="Y86" i="617"/>
  <c r="Z86" i="617"/>
  <c r="AA86" i="617"/>
  <c r="AB86" i="617"/>
  <c r="AC86" i="617"/>
  <c r="AD86" i="617"/>
  <c r="AE86" i="617"/>
  <c r="AF86" i="617"/>
  <c r="AG86" i="617"/>
  <c r="AH86" i="617"/>
  <c r="AI86" i="617"/>
  <c r="AI105" i="617" s="1"/>
  <c r="AJ86" i="617"/>
  <c r="AK86" i="617"/>
  <c r="AL86" i="617"/>
  <c r="AM86" i="617"/>
  <c r="AN86" i="617"/>
  <c r="AO86" i="617"/>
  <c r="AP86" i="617"/>
  <c r="AQ86" i="617"/>
  <c r="AQ105" i="617" s="1"/>
  <c r="AR86" i="617"/>
  <c r="AS86" i="617"/>
  <c r="AT86" i="617"/>
  <c r="AU86" i="617"/>
  <c r="AV86" i="617"/>
  <c r="AW86" i="617"/>
  <c r="AX86" i="617"/>
  <c r="AY86" i="617"/>
  <c r="AY105" i="617" s="1"/>
  <c r="AZ86" i="617"/>
  <c r="BA86" i="617"/>
  <c r="BB86" i="617"/>
  <c r="BC86" i="617"/>
  <c r="BD86" i="617"/>
  <c r="BE86" i="617"/>
  <c r="BF86" i="617"/>
  <c r="BG86" i="617"/>
  <c r="BG105" i="617" s="1"/>
  <c r="O91" i="617"/>
  <c r="O95" i="617" s="1"/>
  <c r="N95" i="617" s="1"/>
  <c r="Q91" i="617"/>
  <c r="Q95" i="617" s="1"/>
  <c r="O92" i="617"/>
  <c r="N91" i="617" s="1"/>
  <c r="O93" i="617"/>
  <c r="Q93" i="617"/>
  <c r="O94" i="617"/>
  <c r="N93" i="617" s="1"/>
  <c r="J95" i="617"/>
  <c r="K95" i="617"/>
  <c r="L95" i="617"/>
  <c r="M95" i="617"/>
  <c r="P95" i="617"/>
  <c r="S95" i="617"/>
  <c r="T95" i="617"/>
  <c r="U95" i="617"/>
  <c r="V95" i="617"/>
  <c r="W95" i="617"/>
  <c r="X95" i="617"/>
  <c r="X105" i="617" s="1"/>
  <c r="Y95" i="617"/>
  <c r="Z95" i="617"/>
  <c r="AA95" i="617"/>
  <c r="AB95" i="617"/>
  <c r="AC95" i="617"/>
  <c r="AD95" i="617"/>
  <c r="AE95" i="617"/>
  <c r="AF95" i="617"/>
  <c r="AF105" i="617" s="1"/>
  <c r="AG95" i="617"/>
  <c r="AH95" i="617"/>
  <c r="AI95" i="617"/>
  <c r="AJ95" i="617"/>
  <c r="AK95" i="617"/>
  <c r="AL95" i="617"/>
  <c r="AM95" i="617"/>
  <c r="AN95" i="617"/>
  <c r="AN105" i="617" s="1"/>
  <c r="AO95" i="617"/>
  <c r="AP95" i="617"/>
  <c r="AQ95" i="617"/>
  <c r="AR95" i="617"/>
  <c r="AS95" i="617"/>
  <c r="AT95" i="617"/>
  <c r="AU95" i="617"/>
  <c r="AV95" i="617"/>
  <c r="AV105" i="617" s="1"/>
  <c r="AW95" i="617"/>
  <c r="AX95" i="617"/>
  <c r="AY95" i="617"/>
  <c r="AZ95" i="617"/>
  <c r="BA95" i="617"/>
  <c r="BB95" i="617"/>
  <c r="BC95" i="617"/>
  <c r="BD95" i="617"/>
  <c r="BD105" i="617" s="1"/>
  <c r="BE95" i="617"/>
  <c r="BF95" i="617"/>
  <c r="BG95" i="617"/>
  <c r="O98" i="617"/>
  <c r="Q98" i="617"/>
  <c r="O99" i="617"/>
  <c r="N98" i="617" s="1"/>
  <c r="N100" i="617"/>
  <c r="O100" i="617"/>
  <c r="Q100" i="617"/>
  <c r="O101" i="617"/>
  <c r="O102" i="617"/>
  <c r="Q102" i="617"/>
  <c r="O103" i="617"/>
  <c r="N102" i="617" s="1"/>
  <c r="J104" i="617"/>
  <c r="K104" i="617"/>
  <c r="L104" i="617"/>
  <c r="M104" i="617"/>
  <c r="P104" i="617"/>
  <c r="S104" i="617"/>
  <c r="T104" i="617"/>
  <c r="U104" i="617"/>
  <c r="V104" i="617"/>
  <c r="W104" i="617"/>
  <c r="X104" i="617"/>
  <c r="Y104" i="617"/>
  <c r="Z104" i="617"/>
  <c r="AA104" i="617"/>
  <c r="AB104" i="617"/>
  <c r="AC104" i="617"/>
  <c r="AD104" i="617"/>
  <c r="AE104" i="617"/>
  <c r="AF104" i="617"/>
  <c r="AG104" i="617"/>
  <c r="AH104" i="617"/>
  <c r="AI104" i="617"/>
  <c r="AJ104" i="617"/>
  <c r="AK104" i="617"/>
  <c r="AL104" i="617"/>
  <c r="AM104" i="617"/>
  <c r="AN104" i="617"/>
  <c r="AO104" i="617"/>
  <c r="AP104" i="617"/>
  <c r="AQ104" i="617"/>
  <c r="AR104" i="617"/>
  <c r="AS104" i="617"/>
  <c r="AT104" i="617"/>
  <c r="AU104" i="617"/>
  <c r="AV104" i="617"/>
  <c r="AW104" i="617"/>
  <c r="AX104" i="617"/>
  <c r="AY104" i="617"/>
  <c r="AZ104" i="617"/>
  <c r="BA104" i="617"/>
  <c r="BB104" i="617"/>
  <c r="BC104" i="617"/>
  <c r="BD104" i="617"/>
  <c r="BE104" i="617"/>
  <c r="BF104" i="617"/>
  <c r="BG104" i="617"/>
  <c r="J105" i="617"/>
  <c r="AA105" i="617"/>
  <c r="BF105" i="617" l="1"/>
  <c r="AX105" i="617"/>
  <c r="AP105" i="617"/>
  <c r="AH105" i="617"/>
  <c r="Z105" i="617"/>
  <c r="BA105" i="617"/>
  <c r="AS105" i="617"/>
  <c r="AK105" i="617"/>
  <c r="AC105" i="617"/>
  <c r="U105" i="617"/>
  <c r="Q39" i="617"/>
  <c r="Q31" i="617"/>
  <c r="Q19" i="617"/>
  <c r="BE105" i="617"/>
  <c r="AW105" i="617"/>
  <c r="AO105" i="617"/>
  <c r="AG105" i="617"/>
  <c r="Y105" i="617"/>
  <c r="P105" i="617"/>
  <c r="AZ105" i="617"/>
  <c r="AR105" i="617"/>
  <c r="AJ105" i="617"/>
  <c r="AB105" i="617"/>
  <c r="T105" i="617"/>
  <c r="Q9" i="617"/>
  <c r="P43" i="617"/>
  <c r="P64" i="617" s="1"/>
  <c r="BB105" i="617"/>
  <c r="AL105" i="617"/>
  <c r="V105" i="617"/>
  <c r="Q71" i="617"/>
  <c r="Q75" i="617" s="1"/>
  <c r="Q105" i="617" s="1"/>
  <c r="O75" i="617"/>
  <c r="O105" i="617" s="1"/>
  <c r="N105" i="617" s="1"/>
  <c r="Q33" i="617"/>
  <c r="Q15" i="617"/>
  <c r="BC105" i="617"/>
  <c r="AU105" i="617"/>
  <c r="AM105" i="617"/>
  <c r="AE105" i="617"/>
  <c r="W105" i="617"/>
  <c r="O72" i="617"/>
  <c r="N71" i="617" s="1"/>
  <c r="O63" i="617"/>
  <c r="N63" i="617" s="1"/>
  <c r="BE64" i="617"/>
  <c r="AW64" i="617"/>
  <c r="AO64" i="617"/>
  <c r="AG64" i="617"/>
  <c r="Y64" i="617"/>
  <c r="N50" i="617"/>
  <c r="Q21" i="617"/>
  <c r="Q43" i="617" s="1"/>
  <c r="Q64" i="617" s="1"/>
  <c r="Q104" i="617"/>
  <c r="AT105" i="617"/>
  <c r="AD105" i="617"/>
  <c r="O104" i="617"/>
  <c r="N104" i="617" s="1"/>
  <c r="M105" i="617"/>
  <c r="BD64" i="617"/>
  <c r="AV64" i="617"/>
  <c r="AN64" i="617"/>
  <c r="AF64" i="617"/>
  <c r="X64" i="617"/>
  <c r="O38" i="617"/>
  <c r="N37" i="617" s="1"/>
  <c r="Q35" i="617"/>
  <c r="Q11" i="617"/>
  <c r="K105" i="617"/>
  <c r="K64" i="617"/>
  <c r="Q63" i="617"/>
  <c r="L43" i="617"/>
  <c r="L64" i="617" s="1"/>
  <c r="N5" i="618"/>
  <c r="O43" i="618"/>
  <c r="Q43" i="618"/>
  <c r="Q64" i="618" s="1"/>
  <c r="O105" i="618"/>
  <c r="N105" i="618" s="1"/>
  <c r="N75" i="618"/>
  <c r="O24" i="617"/>
  <c r="N23" i="617" s="1"/>
  <c r="O22" i="617"/>
  <c r="N21" i="617" s="1"/>
  <c r="O20" i="617"/>
  <c r="N19" i="617" s="1"/>
  <c r="O18" i="617"/>
  <c r="N17" i="617" s="1"/>
  <c r="O16" i="617"/>
  <c r="N15" i="617" s="1"/>
  <c r="O14" i="617"/>
  <c r="N13" i="617" s="1"/>
  <c r="O12" i="617"/>
  <c r="N11" i="617" s="1"/>
  <c r="O10" i="617"/>
  <c r="N9" i="617" s="1"/>
  <c r="O8" i="617"/>
  <c r="N7" i="617" s="1"/>
  <c r="O6" i="617"/>
  <c r="O40" i="617"/>
  <c r="N39" i="617" s="1"/>
  <c r="O5" i="616"/>
  <c r="K6" i="616"/>
  <c r="L6" i="616"/>
  <c r="Q5" i="616" s="1"/>
  <c r="M6" i="616"/>
  <c r="P6" i="616"/>
  <c r="O7" i="616"/>
  <c r="K8" i="616"/>
  <c r="L8" i="616"/>
  <c r="M8" i="616"/>
  <c r="O8" i="616"/>
  <c r="N7" i="616" s="1"/>
  <c r="P8" i="616"/>
  <c r="O9" i="616"/>
  <c r="K10" i="616"/>
  <c r="K41" i="616" s="1"/>
  <c r="K49" i="616" s="1"/>
  <c r="L10" i="616"/>
  <c r="Q9" i="616" s="1"/>
  <c r="M10" i="616"/>
  <c r="P10" i="616"/>
  <c r="O11" i="616"/>
  <c r="K12" i="616"/>
  <c r="L12" i="616"/>
  <c r="M12" i="616"/>
  <c r="O12" i="616" s="1"/>
  <c r="N11" i="616" s="1"/>
  <c r="P12" i="616"/>
  <c r="O13" i="616"/>
  <c r="K14" i="616"/>
  <c r="L14" i="616"/>
  <c r="O14" i="616" s="1"/>
  <c r="N13" i="616" s="1"/>
  <c r="M14" i="616"/>
  <c r="P14" i="616"/>
  <c r="O15" i="616"/>
  <c r="Q15" i="616"/>
  <c r="K16" i="616"/>
  <c r="O16" i="616"/>
  <c r="N15" i="616" s="1"/>
  <c r="O17" i="616"/>
  <c r="K18" i="616"/>
  <c r="L18" i="616"/>
  <c r="O18" i="616" s="1"/>
  <c r="M18" i="616"/>
  <c r="P18" i="616"/>
  <c r="O19" i="616"/>
  <c r="K20" i="616"/>
  <c r="L20" i="616"/>
  <c r="Q19" i="616" s="1"/>
  <c r="M20" i="616"/>
  <c r="P20" i="616"/>
  <c r="P41" i="616" s="1"/>
  <c r="P49" i="616" s="1"/>
  <c r="O21" i="616"/>
  <c r="K22" i="616"/>
  <c r="L22" i="616"/>
  <c r="M22" i="616"/>
  <c r="O22" i="616" s="1"/>
  <c r="N21" i="616" s="1"/>
  <c r="P22" i="616"/>
  <c r="Q21" i="616" s="1"/>
  <c r="O23" i="616"/>
  <c r="K24" i="616"/>
  <c r="L24" i="616"/>
  <c r="M24" i="616"/>
  <c r="O24" i="616"/>
  <c r="N23" i="616" s="1"/>
  <c r="P24" i="616"/>
  <c r="Q23" i="616" s="1"/>
  <c r="O25" i="616"/>
  <c r="K26" i="616"/>
  <c r="L26" i="616"/>
  <c r="O26" i="616" s="1"/>
  <c r="N25" i="616" s="1"/>
  <c r="M26" i="616"/>
  <c r="P26" i="616"/>
  <c r="Q25" i="616" s="1"/>
  <c r="O27" i="616"/>
  <c r="K28" i="616"/>
  <c r="L28" i="616"/>
  <c r="Q27" i="616" s="1"/>
  <c r="M28" i="616"/>
  <c r="P28" i="616"/>
  <c r="K29" i="616"/>
  <c r="M29" i="616"/>
  <c r="O29" i="616" s="1"/>
  <c r="P29" i="616"/>
  <c r="AH29" i="616"/>
  <c r="K30" i="616"/>
  <c r="L30" i="616"/>
  <c r="Q29" i="616" s="1"/>
  <c r="M30" i="616"/>
  <c r="P30" i="616"/>
  <c r="O31" i="616"/>
  <c r="K32" i="616"/>
  <c r="L32" i="616"/>
  <c r="Q31" i="616" s="1"/>
  <c r="M32" i="616"/>
  <c r="P32" i="616"/>
  <c r="O33" i="616"/>
  <c r="K34" i="616"/>
  <c r="L34" i="616"/>
  <c r="Q33" i="616" s="1"/>
  <c r="M34" i="616"/>
  <c r="P34" i="616"/>
  <c r="O35" i="616"/>
  <c r="K36" i="616"/>
  <c r="L36" i="616"/>
  <c r="M36" i="616"/>
  <c r="O36" i="616" s="1"/>
  <c r="N35" i="616" s="1"/>
  <c r="P36" i="616"/>
  <c r="Q35" i="616" s="1"/>
  <c r="O37" i="616"/>
  <c r="Q37" i="616"/>
  <c r="K38" i="616"/>
  <c r="L38" i="616"/>
  <c r="O38" i="616" s="1"/>
  <c r="N37" i="616" s="1"/>
  <c r="O39" i="616"/>
  <c r="AC39" i="616"/>
  <c r="AC41" i="616" s="1"/>
  <c r="AC49" i="616" s="1"/>
  <c r="K40" i="616"/>
  <c r="L40" i="616"/>
  <c r="M40" i="616"/>
  <c r="O40" i="616" s="1"/>
  <c r="N39" i="616" s="1"/>
  <c r="P40" i="616"/>
  <c r="J41" i="616"/>
  <c r="L41" i="616"/>
  <c r="L49" i="616" s="1"/>
  <c r="S41" i="616"/>
  <c r="T41" i="616"/>
  <c r="U41" i="616"/>
  <c r="U49" i="616" s="1"/>
  <c r="V41" i="616"/>
  <c r="V49" i="616" s="1"/>
  <c r="W41" i="616"/>
  <c r="X41" i="616"/>
  <c r="X49" i="616" s="1"/>
  <c r="Y41" i="616"/>
  <c r="Y49" i="616" s="1"/>
  <c r="Z41" i="616"/>
  <c r="Z49" i="616" s="1"/>
  <c r="AA41" i="616"/>
  <c r="AA49" i="616" s="1"/>
  <c r="AB41" i="616"/>
  <c r="AB49" i="616" s="1"/>
  <c r="AD41" i="616"/>
  <c r="AD49" i="616" s="1"/>
  <c r="AE41" i="616"/>
  <c r="AF41" i="616"/>
  <c r="AG41" i="616"/>
  <c r="AG49" i="616" s="1"/>
  <c r="AH41" i="616"/>
  <c r="AH49" i="616" s="1"/>
  <c r="AI41" i="616"/>
  <c r="AJ41" i="616"/>
  <c r="AK41" i="616"/>
  <c r="AK49" i="616" s="1"/>
  <c r="AL41" i="616"/>
  <c r="AL49" i="616" s="1"/>
  <c r="AM41" i="616"/>
  <c r="AN41" i="616"/>
  <c r="AN49" i="616" s="1"/>
  <c r="AO41" i="616"/>
  <c r="AO49" i="616" s="1"/>
  <c r="AP41" i="616"/>
  <c r="AP49" i="616" s="1"/>
  <c r="AQ41" i="616"/>
  <c r="AQ49" i="616" s="1"/>
  <c r="AR41" i="616"/>
  <c r="AR49" i="616" s="1"/>
  <c r="AS41" i="616"/>
  <c r="AS49" i="616" s="1"/>
  <c r="AT41" i="616"/>
  <c r="AT49" i="616" s="1"/>
  <c r="AU41" i="616"/>
  <c r="AV41" i="616"/>
  <c r="AV49" i="616" s="1"/>
  <c r="AW41" i="616"/>
  <c r="AW49" i="616" s="1"/>
  <c r="AX41" i="616"/>
  <c r="AX49" i="616" s="1"/>
  <c r="AY41" i="616"/>
  <c r="AZ41" i="616"/>
  <c r="BA41" i="616"/>
  <c r="BA49" i="616" s="1"/>
  <c r="BB41" i="616"/>
  <c r="BB49" i="616" s="1"/>
  <c r="BC41" i="616"/>
  <c r="BD41" i="616"/>
  <c r="BD49" i="616" s="1"/>
  <c r="BE41" i="616"/>
  <c r="BE49" i="616" s="1"/>
  <c r="BF41" i="616"/>
  <c r="BF49" i="616" s="1"/>
  <c r="BG41" i="616"/>
  <c r="BG49" i="616" s="1"/>
  <c r="N42" i="616"/>
  <c r="O42" i="616"/>
  <c r="Q42" i="616"/>
  <c r="Q48" i="616" s="1"/>
  <c r="O43" i="616"/>
  <c r="J48" i="616"/>
  <c r="K48" i="616"/>
  <c r="L48" i="616"/>
  <c r="M48" i="616"/>
  <c r="O48" i="616"/>
  <c r="P48" i="616"/>
  <c r="S48" i="616"/>
  <c r="T48" i="616"/>
  <c r="U48" i="616"/>
  <c r="V48" i="616"/>
  <c r="W48" i="616"/>
  <c r="X48" i="616"/>
  <c r="Y48" i="616"/>
  <c r="Z48" i="616"/>
  <c r="AA48" i="616"/>
  <c r="AB48" i="616"/>
  <c r="AC48" i="616"/>
  <c r="AD48" i="616"/>
  <c r="AE48" i="616"/>
  <c r="AF48" i="616"/>
  <c r="AG48" i="616"/>
  <c r="AH48" i="616"/>
  <c r="AI48" i="616"/>
  <c r="AJ48" i="616"/>
  <c r="AK48" i="616"/>
  <c r="AL48" i="616"/>
  <c r="AM48" i="616"/>
  <c r="AN48" i="616"/>
  <c r="AO48" i="616"/>
  <c r="AP48" i="616"/>
  <c r="AQ48" i="616"/>
  <c r="AR48" i="616"/>
  <c r="AS48" i="616"/>
  <c r="AT48" i="616"/>
  <c r="AU48" i="616"/>
  <c r="AV48" i="616"/>
  <c r="AW48" i="616"/>
  <c r="AX48" i="616"/>
  <c r="AY48" i="616"/>
  <c r="AZ48" i="616"/>
  <c r="BA48" i="616"/>
  <c r="BB48" i="616"/>
  <c r="BC48" i="616"/>
  <c r="BD48" i="616"/>
  <c r="BE48" i="616"/>
  <c r="BF48" i="616"/>
  <c r="BG48" i="616"/>
  <c r="J49" i="616"/>
  <c r="S49" i="616"/>
  <c r="T49" i="616"/>
  <c r="W49" i="616"/>
  <c r="AE49" i="616"/>
  <c r="AF49" i="616"/>
  <c r="AI49" i="616"/>
  <c r="AJ49" i="616"/>
  <c r="AM49" i="616"/>
  <c r="AU49" i="616"/>
  <c r="AY49" i="616"/>
  <c r="AZ49" i="616"/>
  <c r="BC49" i="616"/>
  <c r="O54" i="616"/>
  <c r="K55" i="616"/>
  <c r="L55" i="616"/>
  <c r="Q54" i="616" s="1"/>
  <c r="M55" i="616"/>
  <c r="P55" i="616"/>
  <c r="O56" i="616"/>
  <c r="K57" i="616"/>
  <c r="L57" i="616"/>
  <c r="M57" i="616"/>
  <c r="P57" i="616"/>
  <c r="O58" i="616"/>
  <c r="K59" i="616"/>
  <c r="L59" i="616"/>
  <c r="Q58" i="616" s="1"/>
  <c r="M59" i="616"/>
  <c r="P59" i="616"/>
  <c r="J60" i="616"/>
  <c r="K60" i="616"/>
  <c r="L60" i="616"/>
  <c r="M60" i="616"/>
  <c r="P60" i="616"/>
  <c r="S60" i="616"/>
  <c r="T60" i="616"/>
  <c r="U60" i="616"/>
  <c r="V60" i="616"/>
  <c r="W60" i="616"/>
  <c r="X60" i="616"/>
  <c r="Y60" i="616"/>
  <c r="Y90" i="616" s="1"/>
  <c r="Z60" i="616"/>
  <c r="AA60" i="616"/>
  <c r="AB60" i="616"/>
  <c r="AC60" i="616"/>
  <c r="AD60" i="616"/>
  <c r="AE60" i="616"/>
  <c r="AF60" i="616"/>
  <c r="AG60" i="616"/>
  <c r="AG90" i="616" s="1"/>
  <c r="AH60" i="616"/>
  <c r="AI60" i="616"/>
  <c r="AJ60" i="616"/>
  <c r="AK60" i="616"/>
  <c r="AL60" i="616"/>
  <c r="AM60" i="616"/>
  <c r="AN60" i="616"/>
  <c r="AO60" i="616"/>
  <c r="AP60" i="616"/>
  <c r="AQ60" i="616"/>
  <c r="AR60" i="616"/>
  <c r="AS60" i="616"/>
  <c r="AT60" i="616"/>
  <c r="AU60" i="616"/>
  <c r="AV60" i="616"/>
  <c r="AW60" i="616"/>
  <c r="AW90" i="616" s="1"/>
  <c r="AX60" i="616"/>
  <c r="AY60" i="616"/>
  <c r="AZ60" i="616"/>
  <c r="BA60" i="616"/>
  <c r="BB60" i="616"/>
  <c r="BC60" i="616"/>
  <c r="BD60" i="616"/>
  <c r="BE60" i="616"/>
  <c r="BE90" i="616" s="1"/>
  <c r="BF60" i="616"/>
  <c r="BG60" i="616"/>
  <c r="N69" i="616"/>
  <c r="Q69" i="616"/>
  <c r="J71" i="616"/>
  <c r="K71" i="616"/>
  <c r="L71" i="616"/>
  <c r="M71" i="616"/>
  <c r="O71" i="616"/>
  <c r="N71" i="616" s="1"/>
  <c r="P71" i="616"/>
  <c r="P90" i="616" s="1"/>
  <c r="Q71" i="616"/>
  <c r="S71" i="616"/>
  <c r="T71" i="616"/>
  <c r="U71" i="616"/>
  <c r="V71" i="616"/>
  <c r="W71" i="616"/>
  <c r="W90" i="616" s="1"/>
  <c r="X71" i="616"/>
  <c r="X90" i="616" s="1"/>
  <c r="Y71" i="616"/>
  <c r="Z71" i="616"/>
  <c r="AA71" i="616"/>
  <c r="AB71" i="616"/>
  <c r="AC71" i="616"/>
  <c r="AD71" i="616"/>
  <c r="AE71" i="616"/>
  <c r="AE90" i="616" s="1"/>
  <c r="AF71" i="616"/>
  <c r="AF90" i="616" s="1"/>
  <c r="AG71" i="616"/>
  <c r="AH71" i="616"/>
  <c r="AI71" i="616"/>
  <c r="AJ71" i="616"/>
  <c r="AK71" i="616"/>
  <c r="AL71" i="616"/>
  <c r="AM71" i="616"/>
  <c r="AM90" i="616" s="1"/>
  <c r="AN71" i="616"/>
  <c r="AN90" i="616" s="1"/>
  <c r="AO71" i="616"/>
  <c r="AP71" i="616"/>
  <c r="AQ71" i="616"/>
  <c r="AR71" i="616"/>
  <c r="AS71" i="616"/>
  <c r="AT71" i="616"/>
  <c r="AU71" i="616"/>
  <c r="AU90" i="616" s="1"/>
  <c r="AV71" i="616"/>
  <c r="AV90" i="616" s="1"/>
  <c r="AW71" i="616"/>
  <c r="AX71" i="616"/>
  <c r="AY71" i="616"/>
  <c r="AZ71" i="616"/>
  <c r="BA71" i="616"/>
  <c r="BB71" i="616"/>
  <c r="BC71" i="616"/>
  <c r="BC90" i="616" s="1"/>
  <c r="BD71" i="616"/>
  <c r="BD90" i="616" s="1"/>
  <c r="BE71" i="616"/>
  <c r="BF71" i="616"/>
  <c r="BG71" i="616"/>
  <c r="O76" i="616"/>
  <c r="Q76" i="616"/>
  <c r="O77" i="616"/>
  <c r="N78" i="616"/>
  <c r="O78" i="616"/>
  <c r="Q78" i="616"/>
  <c r="O79" i="616"/>
  <c r="J80" i="616"/>
  <c r="K80" i="616"/>
  <c r="L80" i="616"/>
  <c r="M80" i="616"/>
  <c r="P80" i="616"/>
  <c r="S80" i="616"/>
  <c r="T80" i="616"/>
  <c r="U80" i="616"/>
  <c r="U90" i="616" s="1"/>
  <c r="V80" i="616"/>
  <c r="W80" i="616"/>
  <c r="X80" i="616"/>
  <c r="Y80" i="616"/>
  <c r="Z80" i="616"/>
  <c r="AA80" i="616"/>
  <c r="AB80" i="616"/>
  <c r="AC80" i="616"/>
  <c r="AC90" i="616" s="1"/>
  <c r="AD80" i="616"/>
  <c r="AE80" i="616"/>
  <c r="AF80" i="616"/>
  <c r="AG80" i="616"/>
  <c r="AH80" i="616"/>
  <c r="AI80" i="616"/>
  <c r="AJ80" i="616"/>
  <c r="AK80" i="616"/>
  <c r="AL80" i="616"/>
  <c r="AM80" i="616"/>
  <c r="AN80" i="616"/>
  <c r="AO80" i="616"/>
  <c r="AP80" i="616"/>
  <c r="AQ80" i="616"/>
  <c r="AR80" i="616"/>
  <c r="AS80" i="616"/>
  <c r="AT80" i="616"/>
  <c r="AU80" i="616"/>
  <c r="AV80" i="616"/>
  <c r="AW80" i="616"/>
  <c r="AX80" i="616"/>
  <c r="AY80" i="616"/>
  <c r="AZ80" i="616"/>
  <c r="BA80" i="616"/>
  <c r="BA90" i="616" s="1"/>
  <c r="BB80" i="616"/>
  <c r="BC80" i="616"/>
  <c r="BD80" i="616"/>
  <c r="BE80" i="616"/>
  <c r="BF80" i="616"/>
  <c r="BG80" i="616"/>
  <c r="O83" i="616"/>
  <c r="Q83" i="616"/>
  <c r="O84" i="616"/>
  <c r="N83" i="616" s="1"/>
  <c r="O85" i="616"/>
  <c r="Q85" i="616"/>
  <c r="O86" i="616"/>
  <c r="N85" i="616" s="1"/>
  <c r="O87" i="616"/>
  <c r="Q87" i="616"/>
  <c r="Q89" i="616" s="1"/>
  <c r="O88" i="616"/>
  <c r="N87" i="616" s="1"/>
  <c r="J89" i="616"/>
  <c r="K89" i="616"/>
  <c r="L89" i="616"/>
  <c r="M89" i="616"/>
  <c r="P89" i="616"/>
  <c r="S89" i="616"/>
  <c r="T89" i="616"/>
  <c r="U89" i="616"/>
  <c r="V89" i="616"/>
  <c r="W89" i="616"/>
  <c r="X89" i="616"/>
  <c r="Y89" i="616"/>
  <c r="Z89" i="616"/>
  <c r="AA89" i="616"/>
  <c r="AB89" i="616"/>
  <c r="AC89" i="616"/>
  <c r="AD89" i="616"/>
  <c r="AE89" i="616"/>
  <c r="AF89" i="616"/>
  <c r="AG89" i="616"/>
  <c r="AH89" i="616"/>
  <c r="AI89" i="616"/>
  <c r="AJ89" i="616"/>
  <c r="AK89" i="616"/>
  <c r="AL89" i="616"/>
  <c r="AM89" i="616"/>
  <c r="AN89" i="616"/>
  <c r="AO89" i="616"/>
  <c r="AP89" i="616"/>
  <c r="AQ89" i="616"/>
  <c r="AR89" i="616"/>
  <c r="AS89" i="616"/>
  <c r="AT89" i="616"/>
  <c r="AU89" i="616"/>
  <c r="AV89" i="616"/>
  <c r="AW89" i="616"/>
  <c r="AX89" i="616"/>
  <c r="AY89" i="616"/>
  <c r="AZ89" i="616"/>
  <c r="BA89" i="616"/>
  <c r="BB89" i="616"/>
  <c r="BC89" i="616"/>
  <c r="BD89" i="616"/>
  <c r="BE89" i="616"/>
  <c r="BF89" i="616"/>
  <c r="BG89" i="616"/>
  <c r="L90" i="616"/>
  <c r="AK90" i="616"/>
  <c r="AO90" i="616"/>
  <c r="AS90" i="616"/>
  <c r="O80" i="616" l="1"/>
  <c r="N80" i="616" s="1"/>
  <c r="Q80" i="616"/>
  <c r="K90" i="616"/>
  <c r="O60" i="616"/>
  <c r="O30" i="616"/>
  <c r="N29" i="616" s="1"/>
  <c r="O28" i="616"/>
  <c r="N27" i="616" s="1"/>
  <c r="O10" i="616"/>
  <c r="N9" i="616" s="1"/>
  <c r="Q7" i="616"/>
  <c r="N75" i="617"/>
  <c r="AZ90" i="616"/>
  <c r="AR90" i="616"/>
  <c r="AJ90" i="616"/>
  <c r="AB90" i="616"/>
  <c r="T90" i="616"/>
  <c r="BB90" i="616"/>
  <c r="AT90" i="616"/>
  <c r="AL90" i="616"/>
  <c r="AD90" i="616"/>
  <c r="V90" i="616"/>
  <c r="J90" i="616"/>
  <c r="Q56" i="616"/>
  <c r="Q39" i="616"/>
  <c r="Q11" i="616"/>
  <c r="Q41" i="616"/>
  <c r="Q49" i="616" s="1"/>
  <c r="N48" i="616"/>
  <c r="O32" i="616"/>
  <c r="N31" i="616" s="1"/>
  <c r="M90" i="616"/>
  <c r="Q13" i="616"/>
  <c r="BG90" i="616"/>
  <c r="AY90" i="616"/>
  <c r="AQ90" i="616"/>
  <c r="AI90" i="616"/>
  <c r="AA90" i="616"/>
  <c r="S90" i="616"/>
  <c r="O34" i="616"/>
  <c r="N33" i="616" s="1"/>
  <c r="O20" i="616"/>
  <c r="N19" i="616" s="1"/>
  <c r="O6" i="616"/>
  <c r="N5" i="616" s="1"/>
  <c r="BF90" i="616"/>
  <c r="AX90" i="616"/>
  <c r="AP90" i="616"/>
  <c r="AH90" i="616"/>
  <c r="Z90" i="616"/>
  <c r="M41" i="616"/>
  <c r="M49" i="616" s="1"/>
  <c r="Q17" i="616"/>
  <c r="N43" i="618"/>
  <c r="O64" i="618"/>
  <c r="N64" i="618" s="1"/>
  <c r="N5" i="617"/>
  <c r="O43" i="617"/>
  <c r="N17" i="616"/>
  <c r="O41" i="616"/>
  <c r="Q60" i="616"/>
  <c r="Q90" i="616" s="1"/>
  <c r="N60" i="616"/>
  <c r="O89" i="616"/>
  <c r="N89" i="616" s="1"/>
  <c r="O59" i="616"/>
  <c r="N58" i="616" s="1"/>
  <c r="O57" i="616"/>
  <c r="N56" i="616" s="1"/>
  <c r="O55" i="616"/>
  <c r="N54" i="616" s="1"/>
  <c r="N76" i="616"/>
  <c r="O90" i="616" l="1"/>
  <c r="N90" i="616" s="1"/>
  <c r="N43" i="617"/>
  <c r="N64" i="617" s="1"/>
  <c r="O64" i="617"/>
  <c r="O49" i="616"/>
  <c r="N41" i="616"/>
  <c r="N49" i="616" s="1"/>
  <c r="O5" i="615" l="1"/>
  <c r="K6" i="615"/>
  <c r="L6" i="615"/>
  <c r="M6" i="615"/>
  <c r="P6" i="615"/>
  <c r="O7" i="615"/>
  <c r="K8" i="615"/>
  <c r="L8" i="615"/>
  <c r="Q7" i="615" s="1"/>
  <c r="M8" i="615"/>
  <c r="P8" i="615"/>
  <c r="O9" i="615"/>
  <c r="K10" i="615"/>
  <c r="L10" i="615"/>
  <c r="Q9" i="615" s="1"/>
  <c r="M10" i="615"/>
  <c r="P10" i="615"/>
  <c r="O11" i="615"/>
  <c r="K12" i="615"/>
  <c r="L12" i="615"/>
  <c r="M12" i="615"/>
  <c r="P12" i="615"/>
  <c r="O13" i="615"/>
  <c r="K14" i="615"/>
  <c r="L14" i="615"/>
  <c r="Q13" i="615" s="1"/>
  <c r="M14" i="615"/>
  <c r="P14" i="615"/>
  <c r="O15" i="615"/>
  <c r="K16" i="615"/>
  <c r="L16" i="615"/>
  <c r="M16" i="615"/>
  <c r="P16" i="615"/>
  <c r="O17" i="615"/>
  <c r="K18" i="615"/>
  <c r="L18" i="615"/>
  <c r="M18" i="615"/>
  <c r="P18" i="615"/>
  <c r="O19" i="615"/>
  <c r="K20" i="615"/>
  <c r="L20" i="615"/>
  <c r="M20" i="615"/>
  <c r="P20" i="615"/>
  <c r="O21" i="615"/>
  <c r="K22" i="615"/>
  <c r="L22" i="615"/>
  <c r="M22" i="615"/>
  <c r="P22" i="615"/>
  <c r="O23" i="615"/>
  <c r="K24" i="615"/>
  <c r="L24" i="615"/>
  <c r="Q23" i="615" s="1"/>
  <c r="M24" i="615"/>
  <c r="P24" i="615"/>
  <c r="O25" i="615"/>
  <c r="K26" i="615"/>
  <c r="L26" i="615"/>
  <c r="Q25" i="615" s="1"/>
  <c r="O27" i="615"/>
  <c r="K28" i="615"/>
  <c r="L28" i="615"/>
  <c r="Q27" i="615" s="1"/>
  <c r="M28" i="615"/>
  <c r="P28" i="615"/>
  <c r="O29" i="615"/>
  <c r="K30" i="615"/>
  <c r="L30" i="615"/>
  <c r="Q29" i="615" s="1"/>
  <c r="O30" i="615"/>
  <c r="N29" i="615" s="1"/>
  <c r="O31" i="615"/>
  <c r="K32" i="615"/>
  <c r="L32" i="615"/>
  <c r="M32" i="615"/>
  <c r="P32" i="615"/>
  <c r="O33" i="615"/>
  <c r="K34" i="615"/>
  <c r="L34" i="615"/>
  <c r="M34" i="615"/>
  <c r="P34" i="615"/>
  <c r="O35" i="615"/>
  <c r="K36" i="615"/>
  <c r="L36" i="615"/>
  <c r="O36" i="615" s="1"/>
  <c r="N35" i="615" s="1"/>
  <c r="M36" i="615"/>
  <c r="P36" i="615"/>
  <c r="O37" i="615"/>
  <c r="K38" i="615"/>
  <c r="L38" i="615"/>
  <c r="O38" i="615" s="1"/>
  <c r="N37" i="615" s="1"/>
  <c r="M38" i="615"/>
  <c r="P38" i="615"/>
  <c r="N39" i="615"/>
  <c r="O39" i="615"/>
  <c r="K40" i="615"/>
  <c r="O40" i="615"/>
  <c r="P40" i="615"/>
  <c r="Q39" i="615" s="1"/>
  <c r="J41" i="615"/>
  <c r="S41" i="615"/>
  <c r="T41" i="615"/>
  <c r="U41" i="615"/>
  <c r="V41" i="615"/>
  <c r="W41" i="615"/>
  <c r="X41" i="615"/>
  <c r="Y41" i="615"/>
  <c r="Z41" i="615"/>
  <c r="AA41" i="615"/>
  <c r="AB41" i="615"/>
  <c r="AC41" i="615"/>
  <c r="AD41" i="615"/>
  <c r="AE41" i="615"/>
  <c r="AF41" i="615"/>
  <c r="AG41" i="615"/>
  <c r="AH41" i="615"/>
  <c r="AH62" i="615" s="1"/>
  <c r="AI41" i="615"/>
  <c r="AJ41" i="615"/>
  <c r="AK41" i="615"/>
  <c r="AL41" i="615"/>
  <c r="AM41" i="615"/>
  <c r="AN41" i="615"/>
  <c r="AO41" i="615"/>
  <c r="AP41" i="615"/>
  <c r="AQ41" i="615"/>
  <c r="AR41" i="615"/>
  <c r="AS41" i="615"/>
  <c r="AT41" i="615"/>
  <c r="AU41" i="615"/>
  <c r="AV41" i="615"/>
  <c r="AW41" i="615"/>
  <c r="AX41" i="615"/>
  <c r="AX62" i="615" s="1"/>
  <c r="AY41" i="615"/>
  <c r="AZ41" i="615"/>
  <c r="BA41" i="615"/>
  <c r="BB41" i="615"/>
  <c r="BC41" i="615"/>
  <c r="BD41" i="615"/>
  <c r="BE41" i="615"/>
  <c r="BF41" i="615"/>
  <c r="BG41" i="615"/>
  <c r="N42" i="615"/>
  <c r="O42" i="615"/>
  <c r="Q42" i="615"/>
  <c r="Q48" i="615" s="1"/>
  <c r="O43" i="615"/>
  <c r="J48" i="615"/>
  <c r="K48" i="615"/>
  <c r="L48" i="615"/>
  <c r="M48" i="615"/>
  <c r="O48" i="615"/>
  <c r="N48" i="615" s="1"/>
  <c r="P48" i="615"/>
  <c r="S48" i="615"/>
  <c r="T48" i="615"/>
  <c r="U48" i="615"/>
  <c r="V48" i="615"/>
  <c r="W48" i="615"/>
  <c r="W62" i="615" s="1"/>
  <c r="X48" i="615"/>
  <c r="Y48" i="615"/>
  <c r="Z48" i="615"/>
  <c r="AA48" i="615"/>
  <c r="AB48" i="615"/>
  <c r="AC48" i="615"/>
  <c r="AC62" i="615" s="1"/>
  <c r="AD48" i="615"/>
  <c r="AE48" i="615"/>
  <c r="AE62" i="615" s="1"/>
  <c r="AF48" i="615"/>
  <c r="AG48" i="615"/>
  <c r="AG62" i="615" s="1"/>
  <c r="AH48" i="615"/>
  <c r="AI48" i="615"/>
  <c r="AJ48" i="615"/>
  <c r="AK48" i="615"/>
  <c r="AL48" i="615"/>
  <c r="AM48" i="615"/>
  <c r="AM62" i="615" s="1"/>
  <c r="AN48" i="615"/>
  <c r="AO48" i="615"/>
  <c r="AO62" i="615" s="1"/>
  <c r="AP48" i="615"/>
  <c r="AQ48" i="615"/>
  <c r="AR48" i="615"/>
  <c r="AS48" i="615"/>
  <c r="AT48" i="615"/>
  <c r="AU48" i="615"/>
  <c r="AU62" i="615" s="1"/>
  <c r="AV48" i="615"/>
  <c r="AW48" i="615"/>
  <c r="AX48" i="615"/>
  <c r="AY48" i="615"/>
  <c r="AZ48" i="615"/>
  <c r="BA48" i="615"/>
  <c r="BA62" i="615" s="1"/>
  <c r="BB48" i="615"/>
  <c r="BC48" i="615"/>
  <c r="BC62" i="615" s="1"/>
  <c r="BD48" i="615"/>
  <c r="BE48" i="615"/>
  <c r="BE62" i="615" s="1"/>
  <c r="BF48" i="615"/>
  <c r="BG48" i="615"/>
  <c r="O49" i="615"/>
  <c r="O50" i="615"/>
  <c r="N49" i="615" s="1"/>
  <c r="N51" i="615"/>
  <c r="O51" i="615"/>
  <c r="O61" i="615" s="1"/>
  <c r="N61" i="615" s="1"/>
  <c r="Q51" i="615"/>
  <c r="Q61" i="615" s="1"/>
  <c r="O52" i="615"/>
  <c r="O53" i="615"/>
  <c r="Q53" i="615"/>
  <c r="O54" i="615"/>
  <c r="N53" i="615" s="1"/>
  <c r="N55" i="615"/>
  <c r="O55" i="615"/>
  <c r="Q55" i="615"/>
  <c r="O56" i="615"/>
  <c r="O57" i="615"/>
  <c r="Q57" i="615"/>
  <c r="O58" i="615"/>
  <c r="N57" i="615" s="1"/>
  <c r="N59" i="615"/>
  <c r="J61" i="615"/>
  <c r="J62" i="615" s="1"/>
  <c r="K61" i="615"/>
  <c r="L61" i="615"/>
  <c r="M61" i="615"/>
  <c r="P61" i="615"/>
  <c r="S61" i="615"/>
  <c r="T61" i="615"/>
  <c r="U61" i="615"/>
  <c r="U62" i="615" s="1"/>
  <c r="V61" i="615"/>
  <c r="V62" i="615" s="1"/>
  <c r="W61" i="615"/>
  <c r="X61" i="615"/>
  <c r="Y61" i="615"/>
  <c r="Z61" i="615"/>
  <c r="AA61" i="615"/>
  <c r="AB61" i="615"/>
  <c r="AC61" i="615"/>
  <c r="AD61" i="615"/>
  <c r="AD62" i="615" s="1"/>
  <c r="AE61" i="615"/>
  <c r="AF61" i="615"/>
  <c r="AG61" i="615"/>
  <c r="AH61" i="615"/>
  <c r="AI61" i="615"/>
  <c r="AJ61" i="615"/>
  <c r="AK61" i="615"/>
  <c r="AK62" i="615" s="1"/>
  <c r="AL61" i="615"/>
  <c r="AL62" i="615" s="1"/>
  <c r="AM61" i="615"/>
  <c r="AN61" i="615"/>
  <c r="AO61" i="615"/>
  <c r="AP61" i="615"/>
  <c r="AQ61" i="615"/>
  <c r="AR61" i="615"/>
  <c r="AS61" i="615"/>
  <c r="AT61" i="615"/>
  <c r="AT62" i="615" s="1"/>
  <c r="AU61" i="615"/>
  <c r="AV61" i="615"/>
  <c r="AW61" i="615"/>
  <c r="AX61" i="615"/>
  <c r="AY61" i="615"/>
  <c r="AZ61" i="615"/>
  <c r="BA61" i="615"/>
  <c r="BB61" i="615"/>
  <c r="BB62" i="615" s="1"/>
  <c r="BC61" i="615"/>
  <c r="BD61" i="615"/>
  <c r="BE61" i="615"/>
  <c r="BF61" i="615"/>
  <c r="BG61" i="615"/>
  <c r="Y62" i="615"/>
  <c r="Z62" i="615"/>
  <c r="AP62" i="615"/>
  <c r="AS62" i="615"/>
  <c r="AW62" i="615"/>
  <c r="BF62" i="615"/>
  <c r="O67" i="615"/>
  <c r="K68" i="615"/>
  <c r="L68" i="615"/>
  <c r="O68" i="615" s="1"/>
  <c r="N67" i="615" s="1"/>
  <c r="M68" i="615"/>
  <c r="M75" i="615" s="1"/>
  <c r="M105" i="615" s="1"/>
  <c r="P68" i="615"/>
  <c r="O69" i="615"/>
  <c r="K70" i="615"/>
  <c r="L70" i="615"/>
  <c r="M70" i="615"/>
  <c r="O70" i="615"/>
  <c r="N69" i="615" s="1"/>
  <c r="P70" i="615"/>
  <c r="Q69" i="615" s="1"/>
  <c r="K71" i="615"/>
  <c r="O71" i="615"/>
  <c r="K72" i="615"/>
  <c r="L72" i="615"/>
  <c r="M72" i="615"/>
  <c r="P72" i="615"/>
  <c r="N73" i="615"/>
  <c r="O73" i="615"/>
  <c r="Q73" i="615"/>
  <c r="O74" i="615"/>
  <c r="J75" i="615"/>
  <c r="K75" i="615"/>
  <c r="S75" i="615"/>
  <c r="T75" i="615"/>
  <c r="U75" i="615"/>
  <c r="V75" i="615"/>
  <c r="W75" i="615"/>
  <c r="X75" i="615"/>
  <c r="Y75" i="615"/>
  <c r="Z75" i="615"/>
  <c r="AA75" i="615"/>
  <c r="AB75" i="615"/>
  <c r="AC75" i="615"/>
  <c r="AC105" i="615" s="1"/>
  <c r="AD75" i="615"/>
  <c r="AE75" i="615"/>
  <c r="AF75" i="615"/>
  <c r="AG75" i="615"/>
  <c r="AH75" i="615"/>
  <c r="AI75" i="615"/>
  <c r="AJ75" i="615"/>
  <c r="AK75" i="615"/>
  <c r="AK105" i="615" s="1"/>
  <c r="AL75" i="615"/>
  <c r="AM75" i="615"/>
  <c r="AN75" i="615"/>
  <c r="AO75" i="615"/>
  <c r="AP75" i="615"/>
  <c r="AQ75" i="615"/>
  <c r="AR75" i="615"/>
  <c r="AS75" i="615"/>
  <c r="AS105" i="615" s="1"/>
  <c r="AT75" i="615"/>
  <c r="AU75" i="615"/>
  <c r="AV75" i="615"/>
  <c r="AW75" i="615"/>
  <c r="AX75" i="615"/>
  <c r="AY75" i="615"/>
  <c r="AZ75" i="615"/>
  <c r="AZ105" i="615" s="1"/>
  <c r="BA75" i="615"/>
  <c r="BB75" i="615"/>
  <c r="BC75" i="615"/>
  <c r="BD75" i="615"/>
  <c r="BE75" i="615"/>
  <c r="BF75" i="615"/>
  <c r="BG75" i="615"/>
  <c r="N84" i="615"/>
  <c r="Q84" i="615"/>
  <c r="J86" i="615"/>
  <c r="K86" i="615"/>
  <c r="L86" i="615"/>
  <c r="M86" i="615"/>
  <c r="O86" i="615"/>
  <c r="N86" i="615" s="1"/>
  <c r="P86" i="615"/>
  <c r="Q86" i="615"/>
  <c r="S86" i="615"/>
  <c r="T86" i="615"/>
  <c r="U86" i="615"/>
  <c r="V86" i="615"/>
  <c r="W86" i="615"/>
  <c r="X86" i="615"/>
  <c r="Y86" i="615"/>
  <c r="Z86" i="615"/>
  <c r="Z105" i="615" s="1"/>
  <c r="AA86" i="615"/>
  <c r="AB86" i="615"/>
  <c r="AC86" i="615"/>
  <c r="AD86" i="615"/>
  <c r="AE86" i="615"/>
  <c r="AF86" i="615"/>
  <c r="AG86" i="615"/>
  <c r="AH86" i="615"/>
  <c r="AH105" i="615" s="1"/>
  <c r="AI86" i="615"/>
  <c r="AJ86" i="615"/>
  <c r="AK86" i="615"/>
  <c r="AL86" i="615"/>
  <c r="AM86" i="615"/>
  <c r="AN86" i="615"/>
  <c r="AO86" i="615"/>
  <c r="AP86" i="615"/>
  <c r="AP105" i="615" s="1"/>
  <c r="AQ86" i="615"/>
  <c r="AR86" i="615"/>
  <c r="AS86" i="615"/>
  <c r="AT86" i="615"/>
  <c r="AU86" i="615"/>
  <c r="AV86" i="615"/>
  <c r="AW86" i="615"/>
  <c r="AX86" i="615"/>
  <c r="AY86" i="615"/>
  <c r="AZ86" i="615"/>
  <c r="BA86" i="615"/>
  <c r="BB86" i="615"/>
  <c r="BC86" i="615"/>
  <c r="BD86" i="615"/>
  <c r="BE86" i="615"/>
  <c r="BF86" i="615"/>
  <c r="BF105" i="615" s="1"/>
  <c r="BG86" i="615"/>
  <c r="O91" i="615"/>
  <c r="Q91" i="615"/>
  <c r="O92" i="615"/>
  <c r="N91" i="615" s="1"/>
  <c r="O93" i="615"/>
  <c r="Q93" i="615"/>
  <c r="O94" i="615"/>
  <c r="N93" i="615" s="1"/>
  <c r="J95" i="615"/>
  <c r="K95" i="615"/>
  <c r="L95" i="615"/>
  <c r="M95" i="615"/>
  <c r="P95" i="615"/>
  <c r="S95" i="615"/>
  <c r="T95" i="615"/>
  <c r="U95" i="615"/>
  <c r="V95" i="615"/>
  <c r="W95" i="615"/>
  <c r="X95" i="615"/>
  <c r="Y95" i="615"/>
  <c r="Z95" i="615"/>
  <c r="AA95" i="615"/>
  <c r="AB95" i="615"/>
  <c r="AC95" i="615"/>
  <c r="AD95" i="615"/>
  <c r="AE95" i="615"/>
  <c r="AF95" i="615"/>
  <c r="AG95" i="615"/>
  <c r="AH95" i="615"/>
  <c r="AI95" i="615"/>
  <c r="AJ95" i="615"/>
  <c r="AK95" i="615"/>
  <c r="AL95" i="615"/>
  <c r="AM95" i="615"/>
  <c r="AN95" i="615"/>
  <c r="AO95" i="615"/>
  <c r="AP95" i="615"/>
  <c r="AQ95" i="615"/>
  <c r="AR95" i="615"/>
  <c r="AS95" i="615"/>
  <c r="AT95" i="615"/>
  <c r="AU95" i="615"/>
  <c r="AV95" i="615"/>
  <c r="AW95" i="615"/>
  <c r="AX95" i="615"/>
  <c r="AY95" i="615"/>
  <c r="AZ95" i="615"/>
  <c r="BA95" i="615"/>
  <c r="BB95" i="615"/>
  <c r="BC95" i="615"/>
  <c r="BD95" i="615"/>
  <c r="BE95" i="615"/>
  <c r="BF95" i="615"/>
  <c r="BG95" i="615"/>
  <c r="O98" i="615"/>
  <c r="Q98" i="615"/>
  <c r="O99" i="615"/>
  <c r="N98" i="615" s="1"/>
  <c r="O100" i="615"/>
  <c r="Q100" i="615"/>
  <c r="O101" i="615"/>
  <c r="O102" i="615"/>
  <c r="Q102" i="615"/>
  <c r="Q104" i="615" s="1"/>
  <c r="O103" i="615"/>
  <c r="N102" i="615" s="1"/>
  <c r="J104" i="615"/>
  <c r="K104" i="615"/>
  <c r="L104" i="615"/>
  <c r="M104" i="615"/>
  <c r="P104" i="615"/>
  <c r="S104" i="615"/>
  <c r="T104" i="615"/>
  <c r="U104" i="615"/>
  <c r="V104" i="615"/>
  <c r="V105" i="615" s="1"/>
  <c r="W104" i="615"/>
  <c r="X104" i="615"/>
  <c r="Y104" i="615"/>
  <c r="Z104" i="615"/>
  <c r="AA104" i="615"/>
  <c r="AB104" i="615"/>
  <c r="AC104" i="615"/>
  <c r="AD104" i="615"/>
  <c r="AD105" i="615" s="1"/>
  <c r="AE104" i="615"/>
  <c r="AF104" i="615"/>
  <c r="AG104" i="615"/>
  <c r="AH104" i="615"/>
  <c r="AI104" i="615"/>
  <c r="AJ104" i="615"/>
  <c r="AK104" i="615"/>
  <c r="AL104" i="615"/>
  <c r="AL105" i="615" s="1"/>
  <c r="AM104" i="615"/>
  <c r="AN104" i="615"/>
  <c r="AO104" i="615"/>
  <c r="AP104" i="615"/>
  <c r="AQ104" i="615"/>
  <c r="AR104" i="615"/>
  <c r="AS104" i="615"/>
  <c r="AT104" i="615"/>
  <c r="AT105" i="615" s="1"/>
  <c r="AU104" i="615"/>
  <c r="AV104" i="615"/>
  <c r="AW104" i="615"/>
  <c r="AX104" i="615"/>
  <c r="AY104" i="615"/>
  <c r="AZ104" i="615"/>
  <c r="BA104" i="615"/>
  <c r="BB104" i="615"/>
  <c r="BB105" i="615" s="1"/>
  <c r="BC104" i="615"/>
  <c r="BD104" i="615"/>
  <c r="BE104" i="615"/>
  <c r="BF104" i="615"/>
  <c r="BG104" i="615"/>
  <c r="U105" i="615"/>
  <c r="AX105" i="615"/>
  <c r="BA105" i="615"/>
  <c r="BE105" i="615" l="1"/>
  <c r="AW105" i="615"/>
  <c r="AO105" i="615"/>
  <c r="AG105" i="615"/>
  <c r="Y105" i="615"/>
  <c r="L41" i="615"/>
  <c r="L62" i="615" s="1"/>
  <c r="O34" i="615"/>
  <c r="N33" i="615" s="1"/>
  <c r="AY105" i="615"/>
  <c r="O104" i="615"/>
  <c r="N104" i="615" s="1"/>
  <c r="O95" i="615"/>
  <c r="N95" i="615" s="1"/>
  <c r="BD105" i="615"/>
  <c r="AV105" i="615"/>
  <c r="AN105" i="615"/>
  <c r="AF105" i="615"/>
  <c r="X105" i="615"/>
  <c r="P75" i="615"/>
  <c r="P105" i="615" s="1"/>
  <c r="Q19" i="615"/>
  <c r="AA105" i="615"/>
  <c r="AJ105" i="615"/>
  <c r="K105" i="615"/>
  <c r="Q71" i="615"/>
  <c r="BD62" i="615"/>
  <c r="AV62" i="615"/>
  <c r="AN62" i="615"/>
  <c r="AF62" i="615"/>
  <c r="X62" i="615"/>
  <c r="Q35" i="615"/>
  <c r="P41" i="615"/>
  <c r="P62" i="615" s="1"/>
  <c r="AQ105" i="615"/>
  <c r="AB105" i="615"/>
  <c r="Q95" i="615"/>
  <c r="Q37" i="615"/>
  <c r="Q15" i="615"/>
  <c r="BG105" i="615"/>
  <c r="S105" i="615"/>
  <c r="AR105" i="615"/>
  <c r="BC105" i="615"/>
  <c r="AU105" i="615"/>
  <c r="AM105" i="615"/>
  <c r="AE105" i="615"/>
  <c r="W105" i="615"/>
  <c r="Q67" i="615"/>
  <c r="BG62" i="615"/>
  <c r="AY62" i="615"/>
  <c r="AQ62" i="615"/>
  <c r="AI62" i="615"/>
  <c r="AA62" i="615"/>
  <c r="S62" i="615"/>
  <c r="Q21" i="615"/>
  <c r="Q5" i="615"/>
  <c r="AI105" i="615"/>
  <c r="T105" i="615"/>
  <c r="J105" i="615"/>
  <c r="O32" i="615"/>
  <c r="N31" i="615" s="1"/>
  <c r="O28" i="615"/>
  <c r="N27" i="615" s="1"/>
  <c r="Q11" i="615"/>
  <c r="AZ62" i="615"/>
  <c r="AR62" i="615"/>
  <c r="AJ62" i="615"/>
  <c r="AB62" i="615"/>
  <c r="T62" i="615"/>
  <c r="K41" i="615"/>
  <c r="K62" i="615" s="1"/>
  <c r="M41" i="615"/>
  <c r="M62" i="615" s="1"/>
  <c r="Q17" i="615"/>
  <c r="Q41" i="615"/>
  <c r="Q62" i="615" s="1"/>
  <c r="Q75" i="615"/>
  <c r="Q33" i="615"/>
  <c r="Q31" i="615"/>
  <c r="O24" i="615"/>
  <c r="N23" i="615" s="1"/>
  <c r="O22" i="615"/>
  <c r="N21" i="615" s="1"/>
  <c r="O20" i="615"/>
  <c r="N19" i="615" s="1"/>
  <c r="O18" i="615"/>
  <c r="N17" i="615" s="1"/>
  <c r="O16" i="615"/>
  <c r="N15" i="615" s="1"/>
  <c r="O14" i="615"/>
  <c r="N13" i="615" s="1"/>
  <c r="O12" i="615"/>
  <c r="N11" i="615" s="1"/>
  <c r="O10" i="615"/>
  <c r="N9" i="615" s="1"/>
  <c r="O8" i="615"/>
  <c r="N7" i="615" s="1"/>
  <c r="O6" i="615"/>
  <c r="L75" i="615"/>
  <c r="L105" i="615" s="1"/>
  <c r="O72" i="615"/>
  <c r="N71" i="615" s="1"/>
  <c r="O26" i="615"/>
  <c r="N25" i="615" s="1"/>
  <c r="N100" i="615"/>
  <c r="L14" i="614"/>
  <c r="Q105" i="615" l="1"/>
  <c r="N5" i="615"/>
  <c r="O41" i="615"/>
  <c r="O75" i="615"/>
  <c r="P12" i="614"/>
  <c r="M12" i="614"/>
  <c r="L12" i="614"/>
  <c r="K12" i="614"/>
  <c r="P38" i="614"/>
  <c r="M38" i="614"/>
  <c r="L38" i="614"/>
  <c r="L20" i="614"/>
  <c r="O20" i="614" s="1"/>
  <c r="N19" i="614" s="1"/>
  <c r="K20" i="614"/>
  <c r="P36" i="614"/>
  <c r="M36" i="614"/>
  <c r="L36" i="614"/>
  <c r="K36" i="614"/>
  <c r="L22" i="614"/>
  <c r="K22" i="614"/>
  <c r="P20" i="614"/>
  <c r="M20" i="614"/>
  <c r="O19" i="614"/>
  <c r="L18" i="614"/>
  <c r="L30" i="614"/>
  <c r="K30" i="614"/>
  <c r="P28" i="614"/>
  <c r="P26" i="614"/>
  <c r="M26" i="614"/>
  <c r="L26" i="614"/>
  <c r="K26" i="614"/>
  <c r="P16" i="614"/>
  <c r="L16" i="614"/>
  <c r="K16" i="614"/>
  <c r="P14" i="614"/>
  <c r="K14" i="614"/>
  <c r="K70" i="614"/>
  <c r="P10" i="614"/>
  <c r="L10" i="614"/>
  <c r="K10" i="614"/>
  <c r="O105" i="615" l="1"/>
  <c r="N105" i="615" s="1"/>
  <c r="N75" i="615"/>
  <c r="O62" i="615"/>
  <c r="N41" i="615"/>
  <c r="N62" i="615" s="1"/>
  <c r="Q19" i="614"/>
  <c r="P8" i="614"/>
  <c r="M8" i="614"/>
  <c r="L8" i="614"/>
  <c r="O8" i="614" s="1"/>
  <c r="N7" i="614" s="1"/>
  <c r="K8" i="614"/>
  <c r="O7" i="614"/>
  <c r="Q7" i="614" l="1"/>
  <c r="L70" i="614"/>
  <c r="K38" i="614"/>
  <c r="P34" i="614"/>
  <c r="M34" i="614"/>
  <c r="L34" i="614"/>
  <c r="K34" i="614"/>
  <c r="P32" i="614"/>
  <c r="Q31" i="614" s="1"/>
  <c r="M32" i="614"/>
  <c r="K32" i="614"/>
  <c r="L32" i="614"/>
  <c r="P18" i="614"/>
  <c r="M18" i="614"/>
  <c r="K18" i="614"/>
  <c r="M28" i="614"/>
  <c r="L28" i="614"/>
  <c r="O28" i="614" s="1"/>
  <c r="N27" i="614" s="1"/>
  <c r="K28" i="614"/>
  <c r="O27" i="614"/>
  <c r="M14" i="614"/>
  <c r="M10" i="614"/>
  <c r="BG102" i="614"/>
  <c r="BF102" i="614"/>
  <c r="BE102" i="614"/>
  <c r="BD102" i="614"/>
  <c r="BC102" i="614"/>
  <c r="BB102" i="614"/>
  <c r="BA102" i="614"/>
  <c r="AZ102" i="614"/>
  <c r="AY102" i="614"/>
  <c r="AX102" i="614"/>
  <c r="AW102" i="614"/>
  <c r="AV102" i="614"/>
  <c r="AU102" i="614"/>
  <c r="AT102" i="614"/>
  <c r="AS102" i="614"/>
  <c r="AR102" i="614"/>
  <c r="AQ102" i="614"/>
  <c r="AP102" i="614"/>
  <c r="AO102" i="614"/>
  <c r="AN102" i="614"/>
  <c r="AM102" i="614"/>
  <c r="AL102" i="614"/>
  <c r="AK102" i="614"/>
  <c r="AJ102" i="614"/>
  <c r="AI102" i="614"/>
  <c r="AH102" i="614"/>
  <c r="AG102" i="614"/>
  <c r="AF102" i="614"/>
  <c r="AE102" i="614"/>
  <c r="AD102" i="614"/>
  <c r="AC102" i="614"/>
  <c r="AB102" i="614"/>
  <c r="AA102" i="614"/>
  <c r="Z102" i="614"/>
  <c r="Y102" i="614"/>
  <c r="X102" i="614"/>
  <c r="W102" i="614"/>
  <c r="V102" i="614"/>
  <c r="U102" i="614"/>
  <c r="T102" i="614"/>
  <c r="S102" i="614"/>
  <c r="P102" i="614"/>
  <c r="M102" i="614"/>
  <c r="L102" i="614"/>
  <c r="K102" i="614"/>
  <c r="J102" i="614"/>
  <c r="O101" i="614"/>
  <c r="N100" i="614" s="1"/>
  <c r="Q100" i="614"/>
  <c r="O100" i="614"/>
  <c r="O99" i="614"/>
  <c r="N98" i="614" s="1"/>
  <c r="Q98" i="614"/>
  <c r="O98" i="614"/>
  <c r="O97" i="614"/>
  <c r="N96" i="614" s="1"/>
  <c r="Q96" i="614"/>
  <c r="O96" i="614"/>
  <c r="BG93" i="614"/>
  <c r="BF93" i="614"/>
  <c r="BE93" i="614"/>
  <c r="BD93" i="614"/>
  <c r="BC93" i="614"/>
  <c r="BB93" i="614"/>
  <c r="BA93" i="614"/>
  <c r="AZ93" i="614"/>
  <c r="AY93" i="614"/>
  <c r="AX93" i="614"/>
  <c r="AW93" i="614"/>
  <c r="AV93" i="614"/>
  <c r="AU93" i="614"/>
  <c r="AT93" i="614"/>
  <c r="AS93" i="614"/>
  <c r="AR93" i="614"/>
  <c r="AQ93" i="614"/>
  <c r="AP93" i="614"/>
  <c r="AO93" i="614"/>
  <c r="AN93" i="614"/>
  <c r="AM93" i="614"/>
  <c r="AL93" i="614"/>
  <c r="AK93" i="614"/>
  <c r="AJ93" i="614"/>
  <c r="AI93" i="614"/>
  <c r="AH93" i="614"/>
  <c r="AG93" i="614"/>
  <c r="AF93" i="614"/>
  <c r="AE93" i="614"/>
  <c r="AD93" i="614"/>
  <c r="AC93" i="614"/>
  <c r="AB93" i="614"/>
  <c r="AA93" i="614"/>
  <c r="Z93" i="614"/>
  <c r="Y93" i="614"/>
  <c r="X93" i="614"/>
  <c r="W93" i="614"/>
  <c r="V93" i="614"/>
  <c r="U93" i="614"/>
  <c r="T93" i="614"/>
  <c r="S93" i="614"/>
  <c r="P93" i="614"/>
  <c r="M93" i="614"/>
  <c r="L93" i="614"/>
  <c r="K93" i="614"/>
  <c r="J93" i="614"/>
  <c r="O92" i="614"/>
  <c r="Q91" i="614"/>
  <c r="O91" i="614"/>
  <c r="N91" i="614"/>
  <c r="O90" i="614"/>
  <c r="N89" i="614" s="1"/>
  <c r="Q89" i="614"/>
  <c r="O89" i="614"/>
  <c r="O93" i="614" s="1"/>
  <c r="BG84" i="614"/>
  <c r="BF84" i="614"/>
  <c r="BE84" i="614"/>
  <c r="BD84" i="614"/>
  <c r="BC84" i="614"/>
  <c r="BB84" i="614"/>
  <c r="BA84" i="614"/>
  <c r="AZ84" i="614"/>
  <c r="AY84" i="614"/>
  <c r="AX84" i="614"/>
  <c r="AW84" i="614"/>
  <c r="AV84" i="614"/>
  <c r="AU84" i="614"/>
  <c r="AT84" i="614"/>
  <c r="AS84" i="614"/>
  <c r="AR84" i="614"/>
  <c r="AQ84" i="614"/>
  <c r="AP84" i="614"/>
  <c r="AO84" i="614"/>
  <c r="AN84" i="614"/>
  <c r="AM84" i="614"/>
  <c r="AL84" i="614"/>
  <c r="AK84" i="614"/>
  <c r="AJ84" i="614"/>
  <c r="AI84" i="614"/>
  <c r="AH84" i="614"/>
  <c r="AG84" i="614"/>
  <c r="AF84" i="614"/>
  <c r="AE84" i="614"/>
  <c r="AD84" i="614"/>
  <c r="AC84" i="614"/>
  <c r="AB84" i="614"/>
  <c r="AA84" i="614"/>
  <c r="Z84" i="614"/>
  <c r="Y84" i="614"/>
  <c r="X84" i="614"/>
  <c r="W84" i="614"/>
  <c r="V84" i="614"/>
  <c r="U84" i="614"/>
  <c r="T84" i="614"/>
  <c r="S84" i="614"/>
  <c r="P84" i="614"/>
  <c r="O84" i="614"/>
  <c r="M84" i="614"/>
  <c r="L84" i="614"/>
  <c r="N84" i="614" s="1"/>
  <c r="K84" i="614"/>
  <c r="J84" i="614"/>
  <c r="Q82" i="614"/>
  <c r="Q84" i="614" s="1"/>
  <c r="N82" i="614"/>
  <c r="BG73" i="614"/>
  <c r="BG103" i="614" s="1"/>
  <c r="BF73" i="614"/>
  <c r="BE73" i="614"/>
  <c r="BD73" i="614"/>
  <c r="BC73" i="614"/>
  <c r="BB73" i="614"/>
  <c r="BA73" i="614"/>
  <c r="AZ73" i="614"/>
  <c r="AY73" i="614"/>
  <c r="AY103" i="614" s="1"/>
  <c r="AX73" i="614"/>
  <c r="AW73" i="614"/>
  <c r="AV73" i="614"/>
  <c r="AU73" i="614"/>
  <c r="AT73" i="614"/>
  <c r="AS73" i="614"/>
  <c r="AR73" i="614"/>
  <c r="AQ73" i="614"/>
  <c r="AQ103" i="614" s="1"/>
  <c r="AP73" i="614"/>
  <c r="AO73" i="614"/>
  <c r="AN73" i="614"/>
  <c r="AM73" i="614"/>
  <c r="AL73" i="614"/>
  <c r="AK73" i="614"/>
  <c r="AJ73" i="614"/>
  <c r="AI73" i="614"/>
  <c r="AI103" i="614" s="1"/>
  <c r="AH73" i="614"/>
  <c r="AG73" i="614"/>
  <c r="AF73" i="614"/>
  <c r="AE73" i="614"/>
  <c r="AD73" i="614"/>
  <c r="AC73" i="614"/>
  <c r="AB73" i="614"/>
  <c r="AA73" i="614"/>
  <c r="AA103" i="614" s="1"/>
  <c r="Z73" i="614"/>
  <c r="Y73" i="614"/>
  <c r="X73" i="614"/>
  <c r="W73" i="614"/>
  <c r="V73" i="614"/>
  <c r="U73" i="614"/>
  <c r="T73" i="614"/>
  <c r="S73" i="614"/>
  <c r="S103" i="614" s="1"/>
  <c r="K73" i="614"/>
  <c r="J73" i="614"/>
  <c r="O72" i="614"/>
  <c r="N71" i="614" s="1"/>
  <c r="Q71" i="614"/>
  <c r="O71" i="614"/>
  <c r="P70" i="614"/>
  <c r="M70" i="614"/>
  <c r="O69" i="614"/>
  <c r="P68" i="614"/>
  <c r="M68" i="614"/>
  <c r="L68" i="614"/>
  <c r="Q67" i="614" s="1"/>
  <c r="K68" i="614"/>
  <c r="O67" i="614"/>
  <c r="P66" i="614"/>
  <c r="Q65" i="614" s="1"/>
  <c r="M66" i="614"/>
  <c r="L66" i="614"/>
  <c r="K66" i="614"/>
  <c r="O65" i="614"/>
  <c r="BG59" i="614"/>
  <c r="BF59" i="614"/>
  <c r="BE59" i="614"/>
  <c r="BD59" i="614"/>
  <c r="BC59" i="614"/>
  <c r="BB59" i="614"/>
  <c r="BA59" i="614"/>
  <c r="AZ59" i="614"/>
  <c r="AY59" i="614"/>
  <c r="AX59" i="614"/>
  <c r="AW59" i="614"/>
  <c r="AV59" i="614"/>
  <c r="AU59" i="614"/>
  <c r="AT59" i="614"/>
  <c r="AS59" i="614"/>
  <c r="AR59" i="614"/>
  <c r="AQ59" i="614"/>
  <c r="AP59" i="614"/>
  <c r="AO59" i="614"/>
  <c r="AN59" i="614"/>
  <c r="AM59" i="614"/>
  <c r="AL59" i="614"/>
  <c r="AK59" i="614"/>
  <c r="AJ59" i="614"/>
  <c r="AI59" i="614"/>
  <c r="AH59" i="614"/>
  <c r="AG59" i="614"/>
  <c r="AF59" i="614"/>
  <c r="AE59" i="614"/>
  <c r="AD59" i="614"/>
  <c r="AC59" i="614"/>
  <c r="AB59" i="614"/>
  <c r="AA59" i="614"/>
  <c r="Z59" i="614"/>
  <c r="Y59" i="614"/>
  <c r="X59" i="614"/>
  <c r="W59" i="614"/>
  <c r="V59" i="614"/>
  <c r="U59" i="614"/>
  <c r="T59" i="614"/>
  <c r="S59" i="614"/>
  <c r="P59" i="614"/>
  <c r="M59" i="614"/>
  <c r="L59" i="614"/>
  <c r="K59" i="614"/>
  <c r="J59" i="614"/>
  <c r="N57" i="614"/>
  <c r="O56" i="614"/>
  <c r="N55" i="614" s="1"/>
  <c r="Q55" i="614"/>
  <c r="O55" i="614"/>
  <c r="O54" i="614"/>
  <c r="N53" i="614" s="1"/>
  <c r="Q53" i="614"/>
  <c r="O53" i="614"/>
  <c r="O52" i="614"/>
  <c r="N51" i="614" s="1"/>
  <c r="Q51" i="614"/>
  <c r="O51" i="614"/>
  <c r="O50" i="614"/>
  <c r="N49" i="614" s="1"/>
  <c r="Q49" i="614"/>
  <c r="O49" i="614"/>
  <c r="O48" i="614"/>
  <c r="N47" i="614" s="1"/>
  <c r="O47" i="614"/>
  <c r="BG46" i="614"/>
  <c r="BF46" i="614"/>
  <c r="BE46" i="614"/>
  <c r="BD46" i="614"/>
  <c r="BC46" i="614"/>
  <c r="BB46" i="614"/>
  <c r="BA46" i="614"/>
  <c r="AZ46" i="614"/>
  <c r="AY46" i="614"/>
  <c r="AX46" i="614"/>
  <c r="AW46" i="614"/>
  <c r="AV46" i="614"/>
  <c r="AU46" i="614"/>
  <c r="AT46" i="614"/>
  <c r="AS46" i="614"/>
  <c r="AR46" i="614"/>
  <c r="AQ46" i="614"/>
  <c r="AP46" i="614"/>
  <c r="AO46" i="614"/>
  <c r="AN46" i="614"/>
  <c r="AM46" i="614"/>
  <c r="AL46" i="614"/>
  <c r="AK46" i="614"/>
  <c r="AJ46" i="614"/>
  <c r="AI46" i="614"/>
  <c r="AH46" i="614"/>
  <c r="AG46" i="614"/>
  <c r="AF46" i="614"/>
  <c r="AE46" i="614"/>
  <c r="AD46" i="614"/>
  <c r="AC46" i="614"/>
  <c r="AB46" i="614"/>
  <c r="AA46" i="614"/>
  <c r="Z46" i="614"/>
  <c r="Y46" i="614"/>
  <c r="X46" i="614"/>
  <c r="W46" i="614"/>
  <c r="V46" i="614"/>
  <c r="U46" i="614"/>
  <c r="T46" i="614"/>
  <c r="S46" i="614"/>
  <c r="P46" i="614"/>
  <c r="M46" i="614"/>
  <c r="L46" i="614"/>
  <c r="K46" i="614"/>
  <c r="J46" i="614"/>
  <c r="O41" i="614"/>
  <c r="N40" i="614" s="1"/>
  <c r="Q40" i="614"/>
  <c r="Q46" i="614" s="1"/>
  <c r="O40" i="614"/>
  <c r="BG39" i="614"/>
  <c r="BF39" i="614"/>
  <c r="BE39" i="614"/>
  <c r="BD39" i="614"/>
  <c r="BC39" i="614"/>
  <c r="BB39" i="614"/>
  <c r="BA39" i="614"/>
  <c r="AZ39" i="614"/>
  <c r="AZ60" i="614" s="1"/>
  <c r="AY39" i="614"/>
  <c r="AX39" i="614"/>
  <c r="AW39" i="614"/>
  <c r="AV39" i="614"/>
  <c r="AU39" i="614"/>
  <c r="AT39" i="614"/>
  <c r="AS39" i="614"/>
  <c r="AR39" i="614"/>
  <c r="AR60" i="614" s="1"/>
  <c r="AQ39" i="614"/>
  <c r="AP39" i="614"/>
  <c r="AO39" i="614"/>
  <c r="AN39" i="614"/>
  <c r="AM39" i="614"/>
  <c r="AL39" i="614"/>
  <c r="AK39" i="614"/>
  <c r="AJ39" i="614"/>
  <c r="AJ60" i="614" s="1"/>
  <c r="AI39" i="614"/>
  <c r="AH39" i="614"/>
  <c r="AG39" i="614"/>
  <c r="AF39" i="614"/>
  <c r="AE39" i="614"/>
  <c r="AD39" i="614"/>
  <c r="AC39" i="614"/>
  <c r="AB39" i="614"/>
  <c r="AB60" i="614" s="1"/>
  <c r="AA39" i="614"/>
  <c r="Z39" i="614"/>
  <c r="Y39" i="614"/>
  <c r="X39" i="614"/>
  <c r="W39" i="614"/>
  <c r="V39" i="614"/>
  <c r="U39" i="614"/>
  <c r="T39" i="614"/>
  <c r="T60" i="614" s="1"/>
  <c r="S39" i="614"/>
  <c r="J39" i="614"/>
  <c r="O38" i="614"/>
  <c r="N37" i="614" s="1"/>
  <c r="O37" i="614"/>
  <c r="Q35" i="614"/>
  <c r="O35" i="614"/>
  <c r="O33" i="614"/>
  <c r="O31" i="614"/>
  <c r="Q29" i="614"/>
  <c r="O30" i="614"/>
  <c r="N29" i="614" s="1"/>
  <c r="O29" i="614"/>
  <c r="Q25" i="614"/>
  <c r="O25" i="614"/>
  <c r="P24" i="614"/>
  <c r="M24" i="614"/>
  <c r="L24" i="614"/>
  <c r="K24" i="614"/>
  <c r="O23" i="614"/>
  <c r="O21" i="614"/>
  <c r="Q17" i="614"/>
  <c r="O18" i="614"/>
  <c r="N17" i="614" s="1"/>
  <c r="O17" i="614"/>
  <c r="Q15" i="614"/>
  <c r="M16" i="614"/>
  <c r="O16" i="614" s="1"/>
  <c r="N15" i="614" s="1"/>
  <c r="O15" i="614"/>
  <c r="Q13" i="614"/>
  <c r="O14" i="614"/>
  <c r="N13" i="614" s="1"/>
  <c r="O13" i="614"/>
  <c r="Q11" i="614"/>
  <c r="O12" i="614"/>
  <c r="N11" i="614" s="1"/>
  <c r="O11" i="614"/>
  <c r="Q9" i="614"/>
  <c r="O10" i="614"/>
  <c r="N9" i="614" s="1"/>
  <c r="O9" i="614"/>
  <c r="P6" i="614"/>
  <c r="M6" i="614"/>
  <c r="L6" i="614"/>
  <c r="K6" i="614"/>
  <c r="O5" i="614"/>
  <c r="W60" i="614" l="1"/>
  <c r="AE60" i="614"/>
  <c r="AM60" i="614"/>
  <c r="AU60" i="614"/>
  <c r="BC60" i="614"/>
  <c r="X60" i="614"/>
  <c r="O46" i="614"/>
  <c r="AF60" i="614"/>
  <c r="U60" i="614"/>
  <c r="AC60" i="614"/>
  <c r="AK60" i="614"/>
  <c r="AS60" i="614"/>
  <c r="U103" i="614"/>
  <c r="AC103" i="614"/>
  <c r="AK103" i="614"/>
  <c r="AS103" i="614"/>
  <c r="BA103" i="614"/>
  <c r="X103" i="614"/>
  <c r="AF103" i="614"/>
  <c r="AN103" i="614"/>
  <c r="AV103" i="614"/>
  <c r="BD103" i="614"/>
  <c r="P39" i="614"/>
  <c r="P60" i="614" s="1"/>
  <c r="AN60" i="614"/>
  <c r="M73" i="614"/>
  <c r="BA60" i="614"/>
  <c r="V103" i="614"/>
  <c r="AD103" i="614"/>
  <c r="AL103" i="614"/>
  <c r="AT103" i="614"/>
  <c r="BB103" i="614"/>
  <c r="V60" i="614"/>
  <c r="AD60" i="614"/>
  <c r="AL60" i="614"/>
  <c r="AT60" i="614"/>
  <c r="BB60" i="614"/>
  <c r="O59" i="614"/>
  <c r="W103" i="614"/>
  <c r="AE103" i="614"/>
  <c r="AM103" i="614"/>
  <c r="AU103" i="614"/>
  <c r="BC103" i="614"/>
  <c r="Q93" i="614"/>
  <c r="AV60" i="614"/>
  <c r="BD60" i="614"/>
  <c r="J103" i="614"/>
  <c r="Y103" i="614"/>
  <c r="AG103" i="614"/>
  <c r="AO103" i="614"/>
  <c r="AW103" i="614"/>
  <c r="BE103" i="614"/>
  <c r="K39" i="614"/>
  <c r="K60" i="614" s="1"/>
  <c r="Y60" i="614"/>
  <c r="AG60" i="614"/>
  <c r="AO60" i="614"/>
  <c r="AW60" i="614"/>
  <c r="BE60" i="614"/>
  <c r="L73" i="614"/>
  <c r="Z103" i="614"/>
  <c r="AH103" i="614"/>
  <c r="AP103" i="614"/>
  <c r="AX103" i="614"/>
  <c r="BF103" i="614"/>
  <c r="L39" i="614"/>
  <c r="L60" i="614" s="1"/>
  <c r="J60" i="614"/>
  <c r="Z60" i="614"/>
  <c r="AH60" i="614"/>
  <c r="AP60" i="614"/>
  <c r="AX60" i="614"/>
  <c r="BF60" i="614"/>
  <c r="Q59" i="614"/>
  <c r="O102" i="614"/>
  <c r="N102" i="614" s="1"/>
  <c r="M39" i="614"/>
  <c r="M60" i="614" s="1"/>
  <c r="O24" i="614"/>
  <c r="N23" i="614" s="1"/>
  <c r="S60" i="614"/>
  <c r="AA60" i="614"/>
  <c r="AI60" i="614"/>
  <c r="AQ60" i="614"/>
  <c r="AY60" i="614"/>
  <c r="BG60" i="614"/>
  <c r="P73" i="614"/>
  <c r="P103" i="614" s="1"/>
  <c r="T103" i="614"/>
  <c r="AB103" i="614"/>
  <c r="AJ103" i="614"/>
  <c r="AR103" i="614"/>
  <c r="AZ103" i="614"/>
  <c r="Q102" i="614"/>
  <c r="M103" i="614"/>
  <c r="O22" i="614"/>
  <c r="N21" i="614" s="1"/>
  <c r="Q21" i="614"/>
  <c r="Q23" i="614"/>
  <c r="Q37" i="614"/>
  <c r="O68" i="614"/>
  <c r="N67" i="614" s="1"/>
  <c r="Q27" i="614"/>
  <c r="O70" i="614"/>
  <c r="N69" i="614" s="1"/>
  <c r="N46" i="614"/>
  <c r="N59" i="614"/>
  <c r="L103" i="614"/>
  <c r="K103" i="614"/>
  <c r="N93" i="614"/>
  <c r="Q69" i="614"/>
  <c r="Q73" i="614" s="1"/>
  <c r="O34" i="614"/>
  <c r="N33" i="614" s="1"/>
  <c r="Q33" i="614"/>
  <c r="Q5" i="614"/>
  <c r="Q39" i="614" s="1"/>
  <c r="Q60" i="614" s="1"/>
  <c r="O6" i="614"/>
  <c r="N5" i="614" s="1"/>
  <c r="O26" i="614"/>
  <c r="N25" i="614" s="1"/>
  <c r="O32" i="614"/>
  <c r="N31" i="614" s="1"/>
  <c r="O36" i="614"/>
  <c r="N35" i="614" s="1"/>
  <c r="O66" i="614"/>
  <c r="N65" i="614" s="1"/>
  <c r="Q103" i="614" l="1"/>
  <c r="O39" i="614"/>
  <c r="O60" i="614" s="1"/>
  <c r="O73" i="614"/>
  <c r="N39" i="614" l="1"/>
  <c r="N60" i="614" s="1"/>
  <c r="N73" i="614"/>
  <c r="O103" i="614"/>
  <c r="N103" i="614" s="1"/>
</calcChain>
</file>

<file path=xl/sharedStrings.xml><?xml version="1.0" encoding="utf-8"?>
<sst xmlns="http://schemas.openxmlformats.org/spreadsheetml/2006/main" count="4281" uniqueCount="106">
  <si>
    <t>NGÀY</t>
  </si>
  <si>
    <t>KHÁCH HÀNG</t>
  </si>
  <si>
    <t>MÙA</t>
  </si>
  <si>
    <t>THÁNG</t>
  </si>
  <si>
    <t>MÃ HÀNG</t>
  </si>
  <si>
    <t>TOTAL</t>
  </si>
  <si>
    <t>MÀU</t>
  </si>
  <si>
    <t>TÊN PP</t>
  </si>
  <si>
    <t>SL
DH</t>
  </si>
  <si>
    <t>ĐÃ NHẬN</t>
  </si>
  <si>
    <t>ĐÃ KIỂM</t>
  </si>
  <si>
    <t>HÀNG ĐẠT SAU KHI 
KIỂM LẦN 1</t>
  </si>
  <si>
    <t>TỈ LỆ LỖI</t>
  </si>
  <si>
    <t>DAILY INSPECTION STATUS</t>
  </si>
  <si>
    <t>HÀNG SỬA</t>
  </si>
  <si>
    <t>PATAGONIA TOTAL</t>
  </si>
  <si>
    <t xml:space="preserve">HÀNG ĐẠT </t>
  </si>
  <si>
    <t>SL CỦA
XƯỞNG</t>
  </si>
  <si>
    <t>DATE
日期</t>
  </si>
  <si>
    <t>BULK / SMS
大貨/銷售樣</t>
  </si>
  <si>
    <t>OEM
協力廠</t>
  </si>
  <si>
    <t>CUSTOMER
品牌</t>
  </si>
  <si>
    <t>STYLE
款式</t>
  </si>
  <si>
    <t>SEASON
季</t>
  </si>
  <si>
    <t>COLOR
顏色</t>
  </si>
  <si>
    <t>BUY
月</t>
  </si>
  <si>
    <t>ORDER
QTY
訂單量</t>
  </si>
  <si>
    <t>ALLOCATED QTY
分配量</t>
  </si>
  <si>
    <t>RECEIVED
收到</t>
  </si>
  <si>
    <t>INSPECTED
檢查</t>
  </si>
  <si>
    <t xml:space="preserve">1st GOOD 
GARMENT
初檢良品 </t>
  </si>
  <si>
    <t>DEFECT
初檢不良品</t>
  </si>
  <si>
    <t>DEFECT RATE
不良率</t>
  </si>
  <si>
    <t>GOOD 
GARMENT 
最終良品</t>
  </si>
  <si>
    <t>ĐẠI TRÀ / SMS</t>
  </si>
  <si>
    <t>WORKSHOP 1</t>
  </si>
  <si>
    <t xml:space="preserve">WORKSHOP 1 OEM </t>
  </si>
  <si>
    <t>BULK</t>
  </si>
  <si>
    <t>Patagonia</t>
  </si>
  <si>
    <t>BLK</t>
  </si>
  <si>
    <t>NIKE TOTAL</t>
  </si>
  <si>
    <t>LMBE</t>
  </si>
  <si>
    <t>HANG K ĐẠT</t>
  </si>
  <si>
    <r>
      <t xml:space="preserve">REPAIRING
</t>
    </r>
    <r>
      <rPr>
        <b/>
        <sz val="12"/>
        <color theme="1"/>
        <rFont val="細明體"/>
        <family val="3"/>
        <charset val="136"/>
      </rPr>
      <t>返修</t>
    </r>
  </si>
  <si>
    <t xml:space="preserve">NGÀY XUẤT </t>
  </si>
  <si>
    <t xml:space="preserve"> SHIPPING DATE</t>
  </si>
  <si>
    <t>VF TOTAL</t>
  </si>
  <si>
    <t>BCW</t>
  </si>
  <si>
    <t>NEW BALANCE TOTAL</t>
  </si>
  <si>
    <t>SP24</t>
  </si>
  <si>
    <t>STLE</t>
  </si>
  <si>
    <t>KAWAS TOTAL</t>
  </si>
  <si>
    <t>VSLB</t>
  </si>
  <si>
    <t>5-1</t>
  </si>
  <si>
    <t>PIMR</t>
  </si>
  <si>
    <t>6-1</t>
  </si>
  <si>
    <t>LA-A01</t>
  </si>
  <si>
    <t>NUVG</t>
  </si>
  <si>
    <t>HERG</t>
  </si>
  <si>
    <t>NGRY</t>
  </si>
  <si>
    <t>MLKE</t>
  </si>
  <si>
    <t>7-1</t>
  </si>
  <si>
    <t>FGE</t>
  </si>
  <si>
    <t>8-1</t>
  </si>
  <si>
    <t>Audit 12.4.2023 Ext 1.19.2024</t>
  </si>
  <si>
    <t>PFGD</t>
  </si>
  <si>
    <t>SINY</t>
  </si>
  <si>
    <t>CIFG</t>
  </si>
  <si>
    <t>Audit 12.8.2023 Ext 12.21.2023</t>
  </si>
  <si>
    <t>Audit 12.5.2023 Ext 12.16.2023</t>
  </si>
  <si>
    <t>INBK</t>
  </si>
  <si>
    <t>9-1</t>
  </si>
  <si>
    <t>FA23</t>
  </si>
  <si>
    <t>SAML</t>
  </si>
  <si>
    <t>RCS TOTAL</t>
  </si>
  <si>
    <t>SBDY</t>
  </si>
  <si>
    <t>FA24</t>
  </si>
  <si>
    <t xml:space="preserve">Patagonia </t>
  </si>
  <si>
    <t>SKA</t>
  </si>
  <si>
    <t>ENDB</t>
  </si>
  <si>
    <t>BURR</t>
  </si>
  <si>
    <t>Ext 12.21.23</t>
  </si>
  <si>
    <t>JK3</t>
  </si>
  <si>
    <t>FW23</t>
  </si>
  <si>
    <t>A7V6W</t>
  </si>
  <si>
    <t>VF</t>
  </si>
  <si>
    <t xml:space="preserve"> Ext 12.21.2023</t>
  </si>
  <si>
    <t>Ext 1.19.2024</t>
  </si>
  <si>
    <t>SMDB</t>
  </si>
  <si>
    <r>
      <t xml:space="preserve">1st TIME
RIGHT
</t>
    </r>
    <r>
      <rPr>
        <b/>
        <sz val="12"/>
        <color theme="1"/>
        <rFont val="細明體"/>
        <family val="3"/>
        <charset val="136"/>
      </rPr>
      <t>初檢良品</t>
    </r>
    <r>
      <rPr>
        <b/>
        <sz val="12"/>
        <color theme="1"/>
        <rFont val="Times New Roman"/>
        <family val="1"/>
      </rPr>
      <t xml:space="preserve"> </t>
    </r>
    <phoneticPr fontId="61" type="noConversion"/>
  </si>
  <si>
    <r>
      <t xml:space="preserve">1st TIME
RIGHT
</t>
    </r>
    <r>
      <rPr>
        <b/>
        <sz val="12"/>
        <color theme="1"/>
        <rFont val="細明體"/>
        <family val="3"/>
        <charset val="136"/>
      </rPr>
      <t>初檢良品</t>
    </r>
    <r>
      <rPr>
        <b/>
        <sz val="12"/>
        <color theme="1"/>
        <rFont val="Times New Roman"/>
        <family val="1"/>
      </rPr>
      <t xml:space="preserve"> </t>
    </r>
    <phoneticPr fontId="61" type="noConversion"/>
  </si>
  <si>
    <t>PATAGONIA TOTAL</t>
    <phoneticPr fontId="61" type="noConversion"/>
  </si>
  <si>
    <r>
      <t>Workshop 1 OEM status: 1</t>
    </r>
    <r>
      <rPr>
        <sz val="12"/>
        <color theme="1"/>
        <rFont val="標楷體"/>
        <family val="4"/>
        <charset val="136"/>
      </rPr>
      <t>廠外發檢驗結果</t>
    </r>
    <phoneticPr fontId="61" type="noConversion"/>
  </si>
  <si>
    <r>
      <rPr>
        <sz val="12"/>
        <color theme="1"/>
        <rFont val="標楷體"/>
        <family val="4"/>
        <charset val="136"/>
      </rPr>
      <t>訂單量</t>
    </r>
    <r>
      <rPr>
        <sz val="12"/>
        <color theme="1"/>
        <rFont val="Times New Roman"/>
        <family val="1"/>
      </rPr>
      <t xml:space="preserve">: </t>
    </r>
    <r>
      <rPr>
        <sz val="12"/>
        <color theme="1"/>
        <rFont val="標楷體"/>
        <family val="4"/>
        <charset val="136"/>
      </rPr>
      <t>訂單件數</t>
    </r>
    <phoneticPr fontId="61" type="noConversion"/>
  </si>
  <si>
    <r>
      <rPr>
        <sz val="12"/>
        <color theme="1"/>
        <rFont val="標楷體"/>
        <family val="4"/>
        <charset val="136"/>
      </rPr>
      <t>分配量</t>
    </r>
    <r>
      <rPr>
        <sz val="12"/>
        <color theme="1"/>
        <rFont val="Times New Roman"/>
        <family val="1"/>
      </rPr>
      <t xml:space="preserve">: </t>
    </r>
    <r>
      <rPr>
        <sz val="12"/>
        <color theme="1"/>
        <rFont val="標楷體"/>
        <family val="4"/>
        <charset val="136"/>
      </rPr>
      <t>實際分配給該廠的件數</t>
    </r>
    <phoneticPr fontId="61" type="noConversion"/>
  </si>
  <si>
    <r>
      <rPr>
        <sz val="12"/>
        <color theme="1"/>
        <rFont val="標楷體"/>
        <family val="4"/>
        <charset val="136"/>
      </rPr>
      <t>檢查</t>
    </r>
    <r>
      <rPr>
        <sz val="12"/>
        <color theme="1"/>
        <rFont val="Times New Roman"/>
        <family val="1"/>
      </rPr>
      <t xml:space="preserve">: </t>
    </r>
    <r>
      <rPr>
        <sz val="12"/>
        <color theme="1"/>
        <rFont val="標楷體"/>
        <family val="4"/>
        <charset val="136"/>
      </rPr>
      <t>斜線上</t>
    </r>
    <r>
      <rPr>
        <sz val="12"/>
        <color theme="1"/>
        <rFont val="Times New Roman"/>
        <family val="1"/>
      </rPr>
      <t xml:space="preserve">: </t>
    </r>
    <r>
      <rPr>
        <sz val="12"/>
        <color theme="1"/>
        <rFont val="標楷體"/>
        <family val="4"/>
        <charset val="136"/>
      </rPr>
      <t>當日品管檢查多少件</t>
    </r>
    <r>
      <rPr>
        <sz val="12"/>
        <color theme="1"/>
        <rFont val="Times New Roman"/>
        <family val="1"/>
      </rPr>
      <t xml:space="preserve"> / </t>
    </r>
    <r>
      <rPr>
        <sz val="12"/>
        <color theme="1"/>
        <rFont val="標楷體"/>
        <family val="4"/>
        <charset val="136"/>
      </rPr>
      <t>斜線下</t>
    </r>
    <r>
      <rPr>
        <sz val="12"/>
        <color theme="1"/>
        <rFont val="Times New Roman"/>
        <family val="1"/>
      </rPr>
      <t xml:space="preserve">: </t>
    </r>
    <r>
      <rPr>
        <sz val="12"/>
        <color theme="1"/>
        <rFont val="標楷體"/>
        <family val="4"/>
        <charset val="136"/>
      </rPr>
      <t>品管累積檢查多少件</t>
    </r>
    <phoneticPr fontId="61" type="noConversion"/>
  </si>
  <si>
    <r>
      <rPr>
        <sz val="12"/>
        <color theme="1"/>
        <rFont val="標楷體"/>
        <family val="4"/>
        <charset val="136"/>
      </rPr>
      <t>初檢良品</t>
    </r>
    <r>
      <rPr>
        <sz val="12"/>
        <color theme="1"/>
        <rFont val="Times New Roman"/>
        <family val="1"/>
      </rPr>
      <t xml:space="preserve">: </t>
    </r>
    <r>
      <rPr>
        <sz val="12"/>
        <color theme="1"/>
        <rFont val="標楷體"/>
        <family val="4"/>
        <charset val="136"/>
      </rPr>
      <t>斜線上</t>
    </r>
    <r>
      <rPr>
        <sz val="12"/>
        <color theme="1"/>
        <rFont val="Times New Roman"/>
        <family val="1"/>
      </rPr>
      <t xml:space="preserve">: </t>
    </r>
    <r>
      <rPr>
        <sz val="12"/>
        <color theme="1"/>
        <rFont val="標楷體"/>
        <family val="4"/>
        <charset val="136"/>
      </rPr>
      <t>當日第一次檢驗為良品數</t>
    </r>
    <r>
      <rPr>
        <sz val="12"/>
        <color theme="1"/>
        <rFont val="Times New Roman"/>
        <family val="1"/>
      </rPr>
      <t xml:space="preserve"> / </t>
    </r>
    <r>
      <rPr>
        <sz val="12"/>
        <color theme="1"/>
        <rFont val="標楷體"/>
        <family val="4"/>
        <charset val="136"/>
      </rPr>
      <t>斜線下</t>
    </r>
    <r>
      <rPr>
        <sz val="12"/>
        <color theme="1"/>
        <rFont val="Times New Roman"/>
        <family val="1"/>
      </rPr>
      <t xml:space="preserve">: </t>
    </r>
    <r>
      <rPr>
        <sz val="12"/>
        <color theme="1"/>
        <rFont val="標楷體"/>
        <family val="4"/>
        <charset val="136"/>
      </rPr>
      <t>累積第一次檢驗為良品數</t>
    </r>
    <phoneticPr fontId="61" type="noConversion"/>
  </si>
  <si>
    <r>
      <rPr>
        <sz val="12"/>
        <color theme="1"/>
        <rFont val="標楷體"/>
        <family val="4"/>
        <charset val="136"/>
      </rPr>
      <t>不良率</t>
    </r>
    <r>
      <rPr>
        <sz val="12"/>
        <color theme="1"/>
        <rFont val="Times New Roman"/>
        <family val="1"/>
      </rPr>
      <t xml:space="preserve">: </t>
    </r>
    <r>
      <rPr>
        <sz val="12"/>
        <color theme="1"/>
        <rFont val="標楷體"/>
        <family val="4"/>
        <charset val="136"/>
      </rPr>
      <t>當日不良品數</t>
    </r>
    <r>
      <rPr>
        <sz val="12"/>
        <color theme="1"/>
        <rFont val="Times New Roman"/>
        <family val="1"/>
      </rPr>
      <t>/</t>
    </r>
    <r>
      <rPr>
        <sz val="12"/>
        <color theme="1"/>
        <rFont val="標楷體"/>
        <family val="4"/>
        <charset val="136"/>
      </rPr>
      <t>當日檢查數</t>
    </r>
    <phoneticPr fontId="61" type="noConversion"/>
  </si>
  <si>
    <r>
      <rPr>
        <sz val="12"/>
        <color theme="1"/>
        <rFont val="標楷體"/>
        <family val="4"/>
        <charset val="136"/>
      </rPr>
      <t>最終良品</t>
    </r>
    <r>
      <rPr>
        <sz val="12"/>
        <color theme="1"/>
        <rFont val="Times New Roman"/>
        <family val="1"/>
      </rPr>
      <t xml:space="preserve">: </t>
    </r>
    <r>
      <rPr>
        <sz val="12"/>
        <color theme="1"/>
        <rFont val="標楷體"/>
        <family val="4"/>
        <charset val="136"/>
      </rPr>
      <t>斜線上</t>
    </r>
    <r>
      <rPr>
        <sz val="12"/>
        <color theme="1"/>
        <rFont val="Times New Roman"/>
        <family val="1"/>
      </rPr>
      <t xml:space="preserve">: </t>
    </r>
    <r>
      <rPr>
        <sz val="12"/>
        <color theme="1"/>
        <rFont val="標楷體"/>
        <family val="4"/>
        <charset val="136"/>
      </rPr>
      <t>當日初檢良品</t>
    </r>
    <r>
      <rPr>
        <sz val="12"/>
        <color theme="1"/>
        <rFont val="Times New Roman"/>
        <family val="1"/>
      </rPr>
      <t>+</t>
    </r>
    <r>
      <rPr>
        <sz val="12"/>
        <color theme="1"/>
        <rFont val="標楷體"/>
        <family val="4"/>
        <charset val="136"/>
      </rPr>
      <t>返修後當日增加良品</t>
    </r>
    <r>
      <rPr>
        <sz val="12"/>
        <color theme="1"/>
        <rFont val="Times New Roman"/>
        <family val="1"/>
      </rPr>
      <t xml:space="preserve"> / </t>
    </r>
    <r>
      <rPr>
        <sz val="12"/>
        <color theme="1"/>
        <rFont val="標楷體"/>
        <family val="4"/>
        <charset val="136"/>
      </rPr>
      <t>斜線下</t>
    </r>
    <r>
      <rPr>
        <sz val="12"/>
        <color theme="1"/>
        <rFont val="Times New Roman"/>
        <family val="1"/>
      </rPr>
      <t xml:space="preserve">: </t>
    </r>
    <r>
      <rPr>
        <sz val="12"/>
        <color theme="1"/>
        <rFont val="標楷體"/>
        <family val="4"/>
        <charset val="136"/>
      </rPr>
      <t>累積初檢良品</t>
    </r>
    <r>
      <rPr>
        <sz val="12"/>
        <color theme="1"/>
        <rFont val="Times New Roman"/>
        <family val="1"/>
      </rPr>
      <t>+</t>
    </r>
    <r>
      <rPr>
        <sz val="12"/>
        <color theme="1"/>
        <rFont val="標楷體"/>
        <family val="4"/>
        <charset val="136"/>
      </rPr>
      <t>返修後累積增加良品</t>
    </r>
    <phoneticPr fontId="61" type="noConversion"/>
  </si>
  <si>
    <r>
      <rPr>
        <sz val="12"/>
        <color theme="1"/>
        <rFont val="標楷體"/>
        <family val="4"/>
        <charset val="136"/>
      </rPr>
      <t>瑕疵代號</t>
    </r>
    <r>
      <rPr>
        <sz val="12"/>
        <color theme="1"/>
        <rFont val="Times New Roman"/>
        <family val="1"/>
      </rPr>
      <t xml:space="preserve">: </t>
    </r>
    <r>
      <rPr>
        <sz val="12"/>
        <color theme="1"/>
        <rFont val="標楷體"/>
        <family val="4"/>
        <charset val="136"/>
      </rPr>
      <t>瑕疵數量</t>
    </r>
    <phoneticPr fontId="61" type="noConversion"/>
  </si>
  <si>
    <r>
      <t>Workshop 1 status: 1</t>
    </r>
    <r>
      <rPr>
        <sz val="12"/>
        <color theme="1"/>
        <rFont val="標楷體"/>
        <family val="4"/>
        <charset val="136"/>
      </rPr>
      <t>廠自製檢驗結果</t>
    </r>
    <phoneticPr fontId="61" type="noConversion"/>
  </si>
  <si>
    <r>
      <rPr>
        <sz val="12"/>
        <color theme="1"/>
        <rFont val="標楷體"/>
        <family val="4"/>
        <charset val="136"/>
      </rPr>
      <t>收到</t>
    </r>
    <r>
      <rPr>
        <sz val="12"/>
        <color theme="1"/>
        <rFont val="Times New Roman"/>
        <family val="1"/>
      </rPr>
      <t xml:space="preserve">: </t>
    </r>
    <r>
      <rPr>
        <sz val="12"/>
        <color theme="1"/>
        <rFont val="標楷體"/>
        <family val="4"/>
        <charset val="136"/>
      </rPr>
      <t>斜線上</t>
    </r>
    <r>
      <rPr>
        <sz val="12"/>
        <color theme="1"/>
        <rFont val="Times New Roman"/>
        <family val="1"/>
      </rPr>
      <t xml:space="preserve">: </t>
    </r>
    <r>
      <rPr>
        <sz val="12"/>
        <color theme="1"/>
        <rFont val="標楷體"/>
        <family val="4"/>
        <charset val="136"/>
      </rPr>
      <t>當日品管收到多少件</t>
    </r>
    <r>
      <rPr>
        <sz val="12"/>
        <color theme="1"/>
        <rFont val="Times New Roman"/>
        <family val="1"/>
      </rPr>
      <t xml:space="preserve"> / </t>
    </r>
    <r>
      <rPr>
        <sz val="12"/>
        <color theme="1"/>
        <rFont val="標楷體"/>
        <family val="4"/>
        <charset val="136"/>
      </rPr>
      <t>斜線下</t>
    </r>
    <r>
      <rPr>
        <sz val="12"/>
        <color theme="1"/>
        <rFont val="Times New Roman"/>
        <family val="1"/>
      </rPr>
      <t xml:space="preserve">: </t>
    </r>
    <r>
      <rPr>
        <sz val="12"/>
        <color theme="1"/>
        <rFont val="標楷體"/>
        <family val="4"/>
        <charset val="136"/>
      </rPr>
      <t>品管累積收到多少件</t>
    </r>
    <phoneticPr fontId="61" type="noConversion"/>
  </si>
  <si>
    <r>
      <rPr>
        <sz val="12"/>
        <color theme="1"/>
        <rFont val="標楷體"/>
        <family val="4"/>
        <charset val="136"/>
      </rPr>
      <t>初檢不良品</t>
    </r>
    <r>
      <rPr>
        <sz val="12"/>
        <color theme="1"/>
        <rFont val="Times New Roman"/>
        <family val="1"/>
      </rPr>
      <t xml:space="preserve">: </t>
    </r>
    <r>
      <rPr>
        <sz val="12"/>
        <color theme="1"/>
        <rFont val="標楷體"/>
        <family val="4"/>
        <charset val="136"/>
      </rPr>
      <t>斜線上</t>
    </r>
    <r>
      <rPr>
        <sz val="12"/>
        <color theme="1"/>
        <rFont val="Times New Roman"/>
        <family val="1"/>
      </rPr>
      <t xml:space="preserve">: </t>
    </r>
    <r>
      <rPr>
        <sz val="12"/>
        <color theme="1"/>
        <rFont val="標楷體"/>
        <family val="4"/>
        <charset val="136"/>
      </rPr>
      <t>當日第一次檢驗為不良品數</t>
    </r>
    <r>
      <rPr>
        <sz val="12"/>
        <color theme="1"/>
        <rFont val="Times New Roman"/>
        <family val="1"/>
      </rPr>
      <t xml:space="preserve"> / </t>
    </r>
    <r>
      <rPr>
        <sz val="12"/>
        <color theme="1"/>
        <rFont val="標楷體"/>
        <family val="4"/>
        <charset val="136"/>
      </rPr>
      <t>斜線下</t>
    </r>
    <r>
      <rPr>
        <sz val="12"/>
        <color theme="1"/>
        <rFont val="Times New Roman"/>
        <family val="1"/>
      </rPr>
      <t xml:space="preserve">: </t>
    </r>
    <r>
      <rPr>
        <sz val="12"/>
        <color theme="1"/>
        <rFont val="標楷體"/>
        <family val="4"/>
        <charset val="136"/>
      </rPr>
      <t>累積第一次檢驗為不良品數</t>
    </r>
    <phoneticPr fontId="61" type="noConversion"/>
  </si>
  <si>
    <r>
      <rPr>
        <sz val="12"/>
        <color theme="1"/>
        <rFont val="標楷體"/>
        <family val="4"/>
        <charset val="136"/>
      </rPr>
      <t>返修</t>
    </r>
    <r>
      <rPr>
        <sz val="12"/>
        <color theme="1"/>
        <rFont val="Times New Roman"/>
        <family val="1"/>
      </rPr>
      <t xml:space="preserve">: </t>
    </r>
    <r>
      <rPr>
        <sz val="12"/>
        <color theme="1"/>
        <rFont val="標楷體"/>
        <family val="4"/>
        <charset val="136"/>
      </rPr>
      <t>該廠目前共多少返修品尚未經</t>
    </r>
    <r>
      <rPr>
        <sz val="12"/>
        <color theme="1"/>
        <rFont val="Times New Roman"/>
        <family val="1"/>
      </rPr>
      <t>QC</t>
    </r>
    <r>
      <rPr>
        <sz val="12"/>
        <color theme="1"/>
        <rFont val="標楷體"/>
        <family val="4"/>
        <charset val="136"/>
      </rPr>
      <t>複核為良品</t>
    </r>
    <phoneticPr fontId="61" type="noConversion"/>
  </si>
  <si>
    <r>
      <t xml:space="preserve">Patagonia total: </t>
    </r>
    <r>
      <rPr>
        <sz val="12"/>
        <color theme="1"/>
        <rFont val="標楷體"/>
        <family val="4"/>
        <charset val="136"/>
      </rPr>
      <t>品牌當日統計</t>
    </r>
    <phoneticPr fontId="61" type="noConversion"/>
  </si>
  <si>
    <r>
      <t>Total: 1</t>
    </r>
    <r>
      <rPr>
        <sz val="12"/>
        <color theme="1"/>
        <rFont val="標楷體"/>
        <family val="4"/>
        <charset val="136"/>
      </rPr>
      <t>廠自製當日統計 &amp; 1廠外發當日統計 (此兩者即為另一張全古芝廠報表X1及X1 OEM的數據來源)</t>
    </r>
    <phoneticPr fontId="6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</si>
</sst>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quot;$&quot;* #,##0.00_-;_-&quot;$&quot;* &quot;-&quot;??_-;_-@_-"/>
    <numFmt numFmtId="43" formatCode="_-* #,##0.00_-;\-* #,##0.00_-;_-* &quot;-&quot;??_-;_-@_-"/>
    <numFmt numFmtId="176" formatCode="_(* #,##0_);_(* \(#,##0\);_(* &quot;-&quot;_);_(@_)"/>
    <numFmt numFmtId="177" formatCode="_(&quot;$&quot;* #,##0.00_);_(&quot;$&quot;* \(#,##0.00\);_(&quot;$&quot;* &quot;-&quot;??_);_(@_)"/>
    <numFmt numFmtId="178" formatCode="_(* #,##0.00_);_(* \(#,##0.00\);_(* &quot;-&quot;??_);_(@_)"/>
    <numFmt numFmtId="179" formatCode="[$-409]d/mmm;@"/>
    <numFmt numFmtId="180" formatCode="B1mmm\-yy"/>
    <numFmt numFmtId="181" formatCode="mm\.d\.yyyy"/>
    <numFmt numFmtId="182" formatCode="dd/mmm/yyyy"/>
    <numFmt numFmtId="183" formatCode="m/d;@"/>
    <numFmt numFmtId="184" formatCode="[$-409]d\-mmm;@"/>
    <numFmt numFmtId="185" formatCode="_(* #,##0.00_);_(* \(#,##0.00\);_(* \-??_);_(@_)"/>
    <numFmt numFmtId="186" formatCode="[$￥-804]#,##0.00"/>
  </numFmts>
  <fonts count="63">
    <font>
      <sz val="11"/>
      <color theme="1"/>
      <name val="新細明體"/>
      <family val="2"/>
      <scheme val="minor"/>
    </font>
    <font>
      <sz val="11"/>
      <color theme="1"/>
      <name val="新細明體"/>
      <family val="2"/>
      <scheme val="minor"/>
    </font>
    <font>
      <sz val="11"/>
      <color theme="1"/>
      <name val="Times New Roman"/>
      <family val="1"/>
    </font>
    <font>
      <b/>
      <sz val="12"/>
      <color theme="1"/>
      <name val="Times New Roman"/>
      <family val="1"/>
    </font>
    <font>
      <b/>
      <sz val="12"/>
      <name val="Times New Roman"/>
      <family val="1"/>
    </font>
    <font>
      <b/>
      <sz val="26"/>
      <name val="Times New Roman"/>
      <family val="1"/>
    </font>
    <font>
      <sz val="12"/>
      <color theme="1"/>
      <name val="Times New Roman"/>
      <family val="1"/>
    </font>
    <font>
      <b/>
      <sz val="14"/>
      <color rgb="FFFF0000"/>
      <name val="Times New Roman"/>
      <family val="1"/>
    </font>
    <font>
      <sz val="11"/>
      <name val="VNI-Times"/>
    </font>
    <font>
      <sz val="12"/>
      <name val="Times New Roman"/>
      <family val="1"/>
    </font>
    <font>
      <sz val="12"/>
      <color rgb="FFFF0000"/>
      <name val="Times New Roman"/>
      <family val="1"/>
    </font>
    <font>
      <b/>
      <sz val="12"/>
      <color theme="1"/>
      <name val="細明體"/>
      <family val="3"/>
      <charset val="136"/>
    </font>
    <font>
      <b/>
      <sz val="16"/>
      <color theme="1"/>
      <name val="Times New Roman"/>
      <family val="1"/>
    </font>
    <font>
      <b/>
      <sz val="11"/>
      <color theme="1"/>
      <name val="Times New Roman"/>
      <family val="1"/>
    </font>
    <font>
      <sz val="12"/>
      <name val="新細明體"/>
      <family val="1"/>
      <charset val="136"/>
    </font>
    <font>
      <sz val="11"/>
      <color indexed="8"/>
      <name val="Calibri"/>
      <family val="2"/>
    </font>
    <font>
      <sz val="12"/>
      <color indexed="8"/>
      <name val="新細明體"/>
      <family val="1"/>
      <charset val="136"/>
    </font>
    <font>
      <sz val="11"/>
      <color indexed="9"/>
      <name val="Calibri"/>
      <family val="2"/>
    </font>
    <font>
      <sz val="12"/>
      <color indexed="9"/>
      <name val="新細明體"/>
      <family val="1"/>
      <charset val="136"/>
    </font>
    <font>
      <sz val="11"/>
      <color indexed="20"/>
      <name val="Calibri"/>
      <family val="2"/>
    </font>
    <font>
      <b/>
      <sz val="11"/>
      <color indexed="52"/>
      <name val="Calibri"/>
      <family val="2"/>
    </font>
    <font>
      <b/>
      <sz val="11"/>
      <color indexed="9"/>
      <name val="Calibri"/>
      <family val="2"/>
    </font>
    <font>
      <sz val="12"/>
      <name val="新細明體"/>
      <family val="1"/>
    </font>
    <font>
      <sz val="10"/>
      <name val="Arial"/>
      <family val="2"/>
    </font>
    <font>
      <sz val="12"/>
      <name val="宋体"/>
      <charset val="136"/>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8"/>
      <color indexed="8"/>
      <name val="Arial"/>
      <family val="2"/>
    </font>
    <font>
      <sz val="10"/>
      <name val="MS Sans Serif"/>
      <family val="2"/>
    </font>
    <font>
      <sz val="12"/>
      <name val="VNI-Times"/>
    </font>
    <font>
      <sz val="12"/>
      <name val="宋体"/>
      <charset val="134"/>
    </font>
    <font>
      <sz val="12"/>
      <color theme="1"/>
      <name val="新細明體"/>
      <family val="2"/>
      <charset val="136"/>
      <scheme val="minor"/>
    </font>
    <font>
      <b/>
      <sz val="11"/>
      <color indexed="63"/>
      <name val="Calibri"/>
      <family val="2"/>
    </font>
    <font>
      <sz val="10"/>
      <color indexed="8"/>
      <name val="Arial"/>
      <family val="2"/>
    </font>
    <font>
      <b/>
      <sz val="18"/>
      <color indexed="56"/>
      <name val="Cambria"/>
      <family val="1"/>
    </font>
    <font>
      <b/>
      <sz val="11"/>
      <color indexed="8"/>
      <name val="Calibri"/>
      <family val="2"/>
    </font>
    <font>
      <sz val="11"/>
      <color indexed="10"/>
      <name val="Calibri"/>
      <family val="2"/>
    </font>
    <font>
      <sz val="11"/>
      <color theme="1"/>
      <name val="新細明體"/>
      <family val="2"/>
      <charset val="129"/>
      <scheme val="minor"/>
    </font>
    <font>
      <sz val="12"/>
      <name val="宋体"/>
      <family val="3"/>
      <charset val="136"/>
    </font>
    <font>
      <sz val="12"/>
      <color indexed="60"/>
      <name val="新細明體"/>
      <family val="1"/>
      <charset val="136"/>
    </font>
    <font>
      <b/>
      <sz val="12"/>
      <color indexed="8"/>
      <name val="新細明體"/>
      <family val="1"/>
      <charset val="136"/>
    </font>
    <font>
      <sz val="12"/>
      <color indexed="20"/>
      <name val="新細明體"/>
      <family val="1"/>
      <charset val="136"/>
    </font>
    <font>
      <sz val="12"/>
      <color indexed="17"/>
      <name val="新細明體"/>
      <family val="1"/>
      <charset val="136"/>
    </font>
    <font>
      <sz val="11"/>
      <color indexed="8"/>
      <name val="宋体"/>
      <family val="3"/>
      <charset val="134"/>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b/>
      <sz val="12"/>
      <color indexed="9"/>
      <name val="新細明體"/>
      <family val="1"/>
      <charset val="136"/>
    </font>
    <font>
      <b/>
      <sz val="12"/>
      <color indexed="52"/>
      <name val="新細明體"/>
      <family val="1"/>
      <charset val="136"/>
    </font>
    <font>
      <i/>
      <sz val="12"/>
      <color indexed="23"/>
      <name val="新細明體"/>
      <family val="1"/>
      <charset val="136"/>
    </font>
    <font>
      <sz val="12"/>
      <color indexed="10"/>
      <name val="新細明體"/>
      <family val="1"/>
      <charset val="136"/>
    </font>
    <font>
      <sz val="12"/>
      <color indexed="62"/>
      <name val="新細明體"/>
      <family val="1"/>
      <charset val="136"/>
    </font>
    <font>
      <b/>
      <sz val="12"/>
      <color indexed="63"/>
      <name val="新細明體"/>
      <family val="1"/>
      <charset val="136"/>
    </font>
    <font>
      <sz val="12"/>
      <color indexed="52"/>
      <name val="新細明體"/>
      <family val="1"/>
      <charset val="136"/>
    </font>
    <font>
      <sz val="9"/>
      <name val="新細明體"/>
      <family val="3"/>
      <charset val="136"/>
      <scheme val="minor"/>
    </font>
    <font>
      <sz val="12"/>
      <color theme="1"/>
      <name val="標楷體"/>
      <family val="4"/>
      <charset val="136"/>
    </font>
  </fonts>
  <fills count="28">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rgb="FF92D050"/>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24">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diagonal style="hair">
        <color indexed="64"/>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s>
  <cellStyleXfs count="198">
    <xf numFmtId="0" fontId="0" fillId="0" borderId="0"/>
    <xf numFmtId="179" fontId="1" fillId="0" borderId="0"/>
    <xf numFmtId="0" fontId="8" fillId="0" borderId="0"/>
    <xf numFmtId="9" fontId="1" fillId="0" borderId="0" applyFont="0" applyFill="0" applyBorder="0" applyAlignment="0" applyProtection="0"/>
    <xf numFmtId="0" fontId="14" fillId="0" borderId="0">
      <alignment vertical="top"/>
    </xf>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1" borderId="0" applyNumberFormat="0" applyBorder="0" applyAlignment="0" applyProtection="0">
      <alignment vertical="center"/>
    </xf>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6" fillId="12" borderId="0" applyNumberFormat="0" applyBorder="0" applyAlignment="0" applyProtection="0">
      <alignment vertical="center"/>
    </xf>
    <xf numFmtId="0" fontId="16" fillId="13" borderId="0" applyNumberFormat="0" applyBorder="0" applyAlignment="0" applyProtection="0">
      <alignment vertical="center"/>
    </xf>
    <xf numFmtId="0" fontId="16" fillId="14" borderId="0" applyNumberFormat="0" applyBorder="0" applyAlignment="0" applyProtection="0">
      <alignment vertical="center"/>
    </xf>
    <xf numFmtId="0" fontId="16" fillId="9" borderId="0" applyNumberFormat="0" applyBorder="0" applyAlignment="0" applyProtection="0">
      <alignment vertical="center"/>
    </xf>
    <xf numFmtId="0" fontId="16" fillId="12" borderId="0" applyNumberFormat="0" applyBorder="0" applyAlignment="0" applyProtection="0">
      <alignment vertical="center"/>
    </xf>
    <xf numFmtId="0" fontId="16" fillId="15" borderId="0" applyNumberFormat="0" applyBorder="0" applyAlignment="0" applyProtection="0">
      <alignment vertical="center"/>
    </xf>
    <xf numFmtId="0" fontId="17" fillId="16"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8" fillId="16"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8" fillId="19" borderId="0" applyNumberFormat="0" applyBorder="0" applyAlignment="0" applyProtection="0">
      <alignment vertical="center"/>
    </xf>
    <xf numFmtId="0" fontId="17"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23" borderId="0" applyNumberFormat="0" applyBorder="0" applyAlignment="0" applyProtection="0"/>
    <xf numFmtId="0" fontId="19" fillId="7" borderId="0" applyNumberFormat="0" applyBorder="0" applyAlignment="0" applyProtection="0"/>
    <xf numFmtId="0" fontId="20" fillId="24" borderId="11" applyNumberFormat="0" applyAlignment="0" applyProtection="0"/>
    <xf numFmtId="0" fontId="21" fillId="25" borderId="12" applyNumberFormat="0" applyAlignment="0" applyProtection="0"/>
    <xf numFmtId="176" fontId="22" fillId="0" borderId="0" applyFont="0" applyFill="0" applyBorder="0" applyAlignment="0" applyProtection="0">
      <alignment vertical="center"/>
    </xf>
    <xf numFmtId="178" fontId="23" fillId="0" borderId="0" applyFont="0" applyFill="0" applyBorder="0" applyAlignment="0" applyProtection="0"/>
    <xf numFmtId="178" fontId="23" fillId="0" borderId="0" applyFont="0" applyFill="0" applyBorder="0" applyAlignment="0" applyProtection="0"/>
    <xf numFmtId="43" fontId="24" fillId="0" borderId="0" applyFont="0" applyFill="0" applyBorder="0" applyAlignment="0" applyProtection="0">
      <alignment vertical="center"/>
    </xf>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23" fillId="0" borderId="0" applyFont="0" applyFill="0" applyBorder="0" applyAlignment="0" applyProtection="0"/>
    <xf numFmtId="178" fontId="23" fillId="0" borderId="0" applyFont="0" applyFill="0" applyBorder="0" applyAlignment="0" applyProtection="0"/>
    <xf numFmtId="178" fontId="23" fillId="0" borderId="0" applyFont="0" applyFill="0" applyBorder="0" applyAlignment="0" applyProtection="0"/>
    <xf numFmtId="178" fontId="23" fillId="0" borderId="0" applyFont="0" applyFill="0" applyBorder="0" applyAlignment="0" applyProtection="0"/>
    <xf numFmtId="177" fontId="22" fillId="0" borderId="0" applyFont="0" applyFill="0" applyBorder="0" applyAlignment="0" applyProtection="0">
      <alignment vertical="center"/>
    </xf>
    <xf numFmtId="44" fontId="14" fillId="0" borderId="0" applyFont="0" applyFill="0" applyBorder="0" applyAlignment="0" applyProtection="0"/>
    <xf numFmtId="0" fontId="25" fillId="0" borderId="0" applyNumberFormat="0" applyFill="0" applyBorder="0" applyAlignment="0" applyProtection="0"/>
    <xf numFmtId="0" fontId="26" fillId="8" borderId="0" applyNumberFormat="0" applyBorder="0" applyAlignment="0" applyProtection="0"/>
    <xf numFmtId="0" fontId="27" fillId="0" borderId="13" applyNumberFormat="0" applyFill="0" applyAlignment="0" applyProtection="0"/>
    <xf numFmtId="0" fontId="28" fillId="0" borderId="14" applyNumberFormat="0" applyFill="0" applyAlignment="0" applyProtection="0"/>
    <xf numFmtId="0" fontId="29" fillId="0" borderId="15" applyNumberFormat="0" applyFill="0" applyAlignment="0" applyProtection="0"/>
    <xf numFmtId="0" fontId="29" fillId="0" borderId="0" applyNumberFormat="0" applyFill="0" applyBorder="0" applyAlignment="0" applyProtection="0"/>
    <xf numFmtId="0" fontId="30" fillId="11" borderId="11" applyNumberFormat="0" applyAlignment="0" applyProtection="0"/>
    <xf numFmtId="0" fontId="31" fillId="0" borderId="16" applyNumberFormat="0" applyFill="0" applyAlignment="0" applyProtection="0"/>
    <xf numFmtId="0" fontId="32" fillId="26" borderId="0" applyNumberFormat="0" applyBorder="0" applyAlignment="0" applyProtection="0"/>
    <xf numFmtId="0" fontId="1" fillId="0" borderId="0"/>
    <xf numFmtId="0" fontId="1" fillId="0" borderId="0"/>
    <xf numFmtId="0" fontId="1" fillId="0" borderId="0"/>
    <xf numFmtId="0" fontId="1" fillId="0" borderId="0"/>
    <xf numFmtId="0" fontId="14"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alignment vertical="center"/>
    </xf>
    <xf numFmtId="0" fontId="33" fillId="0" borderId="0"/>
    <xf numFmtId="0" fontId="24" fillId="0" borderId="0"/>
    <xf numFmtId="0" fontId="34" fillId="0" borderId="0"/>
    <xf numFmtId="184" fontId="1" fillId="0" borderId="0"/>
    <xf numFmtId="184" fontId="1" fillId="0" borderId="0"/>
    <xf numFmtId="184" fontId="1" fillId="0" borderId="0"/>
    <xf numFmtId="184" fontId="1" fillId="0" borderId="0"/>
    <xf numFmtId="0" fontId="23" fillId="0" borderId="0"/>
    <xf numFmtId="0" fontId="35"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184" fontId="1" fillId="0" borderId="0"/>
    <xf numFmtId="184" fontId="1" fillId="0" borderId="0"/>
    <xf numFmtId="184" fontId="1" fillId="0" borderId="0"/>
    <xf numFmtId="184" fontId="1" fillId="0" borderId="0"/>
    <xf numFmtId="0" fontId="23" fillId="0" borderId="0"/>
    <xf numFmtId="184" fontId="1" fillId="0" borderId="0"/>
    <xf numFmtId="184" fontId="1" fillId="0" borderId="0"/>
    <xf numFmtId="184" fontId="1" fillId="0" borderId="0"/>
    <xf numFmtId="184" fontId="1" fillId="0" borderId="0"/>
    <xf numFmtId="0" fontId="36" fillId="0" borderId="0"/>
    <xf numFmtId="0" fontId="37" fillId="0" borderId="0">
      <alignment vertical="center"/>
    </xf>
    <xf numFmtId="0" fontId="1" fillId="0" borderId="0"/>
    <xf numFmtId="0" fontId="23" fillId="0" borderId="0"/>
    <xf numFmtId="0" fontId="23" fillId="0" borderId="0"/>
    <xf numFmtId="0" fontId="1" fillId="0" borderId="0"/>
    <xf numFmtId="0" fontId="1" fillId="0" borderId="0"/>
    <xf numFmtId="0" fontId="23" fillId="0" borderId="0">
      <alignment vertical="top"/>
    </xf>
    <xf numFmtId="0" fontId="1" fillId="0" borderId="0"/>
    <xf numFmtId="184" fontId="23" fillId="0" borderId="0">
      <alignment vertical="top"/>
    </xf>
    <xf numFmtId="0" fontId="1" fillId="0" borderId="0"/>
    <xf numFmtId="0" fontId="1" fillId="0" borderId="0"/>
    <xf numFmtId="0" fontId="1" fillId="0" borderId="0"/>
    <xf numFmtId="0" fontId="22" fillId="0" borderId="0">
      <alignment vertical="top"/>
    </xf>
    <xf numFmtId="0" fontId="14" fillId="27" borderId="17" applyNumberFormat="0" applyFont="0" applyAlignment="0" applyProtection="0"/>
    <xf numFmtId="0" fontId="38" fillId="24" borderId="18" applyNumberFormat="0" applyAlignment="0" applyProtection="0"/>
    <xf numFmtId="9" fontId="24" fillId="0" borderId="0" applyFont="0" applyFill="0" applyBorder="0" applyAlignment="0" applyProtection="0">
      <alignment vertical="center"/>
    </xf>
    <xf numFmtId="0" fontId="39" fillId="0" borderId="0">
      <alignment vertical="top"/>
    </xf>
    <xf numFmtId="0" fontId="40" fillId="0" borderId="0" applyNumberFormat="0" applyFill="0" applyBorder="0" applyAlignment="0" applyProtection="0"/>
    <xf numFmtId="0" fontId="41" fillId="0" borderId="19" applyNumberFormat="0" applyFill="0" applyAlignment="0" applyProtection="0"/>
    <xf numFmtId="0" fontId="42" fillId="0" borderId="0" applyNumberFormat="0" applyFill="0" applyBorder="0" applyAlignment="0" applyProtection="0"/>
    <xf numFmtId="0" fontId="43" fillId="0" borderId="0">
      <alignment vertical="center"/>
    </xf>
    <xf numFmtId="0" fontId="14" fillId="0" borderId="0">
      <alignment vertical="top"/>
    </xf>
    <xf numFmtId="0" fontId="44" fillId="0" borderId="0"/>
    <xf numFmtId="184" fontId="23" fillId="0" borderId="0"/>
    <xf numFmtId="0" fontId="44" fillId="0" borderId="0"/>
    <xf numFmtId="0" fontId="44" fillId="0" borderId="0"/>
    <xf numFmtId="0" fontId="37" fillId="0" borderId="0">
      <alignment vertical="center"/>
    </xf>
    <xf numFmtId="0" fontId="44" fillId="0" borderId="0"/>
    <xf numFmtId="0" fontId="45" fillId="26" borderId="0" applyNumberFormat="0" applyBorder="0" applyAlignment="0" applyProtection="0">
      <alignment vertical="center"/>
    </xf>
    <xf numFmtId="0" fontId="22" fillId="27" borderId="17" applyNumberFormat="0" applyFont="0" applyAlignment="0" applyProtection="0">
      <alignment vertical="center"/>
    </xf>
    <xf numFmtId="0" fontId="46" fillId="0" borderId="19" applyNumberFormat="0" applyFill="0" applyAlignment="0" applyProtection="0">
      <alignment vertical="center"/>
    </xf>
    <xf numFmtId="0" fontId="47" fillId="7" borderId="0" applyNumberFormat="0" applyBorder="0" applyAlignment="0" applyProtection="0">
      <alignment vertical="center"/>
    </xf>
    <xf numFmtId="0" fontId="48" fillId="8" borderId="0" applyNumberFormat="0" applyBorder="0" applyAlignment="0" applyProtection="0">
      <alignment vertical="center"/>
    </xf>
    <xf numFmtId="185" fontId="49" fillId="0" borderId="0"/>
    <xf numFmtId="186" fontId="9" fillId="0" borderId="0"/>
    <xf numFmtId="0" fontId="50" fillId="0" borderId="0" applyNumberFormat="0" applyFill="0" applyBorder="0" applyAlignment="0" applyProtection="0">
      <alignment vertical="center"/>
    </xf>
    <xf numFmtId="0" fontId="51" fillId="0" borderId="13" applyNumberFormat="0" applyFill="0" applyAlignment="0" applyProtection="0">
      <alignment vertical="center"/>
    </xf>
    <xf numFmtId="0" fontId="52" fillId="0" borderId="14" applyNumberFormat="0" applyFill="0" applyAlignment="0" applyProtection="0">
      <alignment vertical="center"/>
    </xf>
    <xf numFmtId="0" fontId="53" fillId="0" borderId="15" applyNumberFormat="0" applyFill="0" applyAlignment="0" applyProtection="0">
      <alignment vertical="center"/>
    </xf>
    <xf numFmtId="0" fontId="53" fillId="0" borderId="0" applyNumberFormat="0" applyFill="0" applyBorder="0" applyAlignment="0" applyProtection="0">
      <alignment vertical="center"/>
    </xf>
    <xf numFmtId="0" fontId="39" fillId="0" borderId="0">
      <alignment vertical="top"/>
    </xf>
    <xf numFmtId="0" fontId="54" fillId="25" borderId="12" applyNumberFormat="0" applyAlignment="0" applyProtection="0">
      <alignment vertical="center"/>
    </xf>
    <xf numFmtId="9" fontId="14" fillId="0" borderId="0" applyFont="0" applyFill="0" applyBorder="0" applyAlignment="0" applyProtection="0"/>
    <xf numFmtId="0" fontId="55" fillId="24" borderId="11" applyNumberFormat="0" applyAlignment="0" applyProtection="0">
      <alignment vertical="center"/>
    </xf>
    <xf numFmtId="0" fontId="56" fillId="0" borderId="0" applyNumberFormat="0" applyFill="0" applyBorder="0" applyAlignment="0" applyProtection="0">
      <alignment vertical="center"/>
    </xf>
    <xf numFmtId="0" fontId="57" fillId="0" borderId="0" applyNumberFormat="0" applyFill="0" applyBorder="0" applyAlignment="0" applyProtection="0">
      <alignment vertical="center"/>
    </xf>
    <xf numFmtId="44" fontId="14" fillId="0" borderId="0" applyFont="0" applyFill="0" applyBorder="0" applyAlignment="0" applyProtection="0"/>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8" fillId="23" borderId="0" applyNumberFormat="0" applyBorder="0" applyAlignment="0" applyProtection="0">
      <alignment vertical="center"/>
    </xf>
    <xf numFmtId="0" fontId="58" fillId="11" borderId="11" applyNumberFormat="0" applyAlignment="0" applyProtection="0">
      <alignment vertical="center"/>
    </xf>
    <xf numFmtId="0" fontId="59" fillId="24" borderId="18" applyNumberFormat="0" applyAlignment="0" applyProtection="0">
      <alignment vertical="center"/>
    </xf>
    <xf numFmtId="0" fontId="60" fillId="0" borderId="16" applyNumberFormat="0" applyFill="0" applyAlignment="0" applyProtection="0">
      <alignment vertical="center"/>
    </xf>
    <xf numFmtId="0" fontId="36" fillId="0" borderId="0"/>
    <xf numFmtId="0" fontId="14" fillId="0" borderId="20" quotePrefix="1">
      <alignment horizontal="justify" vertical="justify" textRotation="255" wrapText="1" justifyLastLine="1"/>
      <protection hidden="1"/>
    </xf>
    <xf numFmtId="0" fontId="14" fillId="0" borderId="20" quotePrefix="1">
      <alignment horizontal="justify" vertical="justify" textRotation="255" wrapText="1" justifyLastLine="1"/>
      <protection hidden="1"/>
    </xf>
    <xf numFmtId="0" fontId="23" fillId="0" borderId="0">
      <alignment vertical="top"/>
    </xf>
    <xf numFmtId="0" fontId="23" fillId="0" borderId="0">
      <alignment vertical="top"/>
    </xf>
    <xf numFmtId="0" fontId="14" fillId="0" borderId="20" quotePrefix="1">
      <alignment horizontal="justify" vertical="justify" textRotation="255" wrapText="1" justifyLastLine="1"/>
      <protection hidden="1"/>
    </xf>
    <xf numFmtId="183" fontId="14" fillId="0" borderId="0" applyFont="0" applyFill="0" applyBorder="0" applyAlignment="0" applyProtection="0"/>
    <xf numFmtId="0" fontId="14" fillId="0" borderId="20" quotePrefix="1">
      <alignment horizontal="justify" vertical="justify" textRotation="255" wrapText="1" justifyLastLine="1"/>
      <protection hidden="1"/>
    </xf>
    <xf numFmtId="0" fontId="14" fillId="0" borderId="20" quotePrefix="1">
      <alignment horizontal="justify" vertical="justify" textRotation="255" wrapText="1" justifyLastLine="1"/>
      <protection hidden="1"/>
    </xf>
    <xf numFmtId="0" fontId="14" fillId="0" borderId="20" quotePrefix="1">
      <alignment horizontal="justify" vertical="justify" textRotation="255" wrapText="1" justifyLastLine="1"/>
      <protection hidden="1"/>
    </xf>
    <xf numFmtId="0" fontId="23" fillId="0" borderId="0"/>
    <xf numFmtId="0" fontId="14" fillId="0" borderId="20" quotePrefix="1">
      <alignment horizontal="justify" vertical="justify" textRotation="255" wrapText="1" justifyLastLine="1"/>
      <protection hidden="1"/>
    </xf>
    <xf numFmtId="0" fontId="14" fillId="0" borderId="20" quotePrefix="1">
      <alignment horizontal="justify" vertical="justify" textRotation="255" wrapText="1" justifyLastLine="1"/>
      <protection hidden="1"/>
    </xf>
    <xf numFmtId="0" fontId="14" fillId="0" borderId="20" quotePrefix="1">
      <alignment horizontal="justify" vertical="justify" textRotation="255" wrapText="1" justifyLastLine="1"/>
      <protection hidden="1"/>
    </xf>
    <xf numFmtId="43" fontId="14" fillId="0" borderId="0" applyFont="0" applyFill="0" applyBorder="0" applyAlignment="0" applyProtection="0"/>
    <xf numFmtId="0" fontId="14" fillId="0" borderId="0">
      <alignment vertical="top"/>
    </xf>
    <xf numFmtId="178" fontId="1" fillId="0" borderId="0" applyFont="0" applyFill="0" applyBorder="0" applyAlignment="0" applyProtection="0"/>
  </cellStyleXfs>
  <cellXfs count="178">
    <xf numFmtId="0" fontId="0" fillId="0" borderId="0" xfId="0"/>
    <xf numFmtId="0" fontId="2" fillId="0" borderId="0" xfId="0" applyFont="1"/>
    <xf numFmtId="14" fontId="2" fillId="0" borderId="0" xfId="0" applyNumberFormat="1" applyFont="1"/>
    <xf numFmtId="0" fontId="6" fillId="0" borderId="1" xfId="0" applyFont="1" applyFill="1" applyBorder="1" applyAlignment="1">
      <alignment horizontal="right" vertical="center"/>
    </xf>
    <xf numFmtId="0" fontId="7" fillId="3" borderId="1" xfId="0" applyFont="1" applyFill="1" applyBorder="1" applyAlignment="1">
      <alignment horizontal="center" vertical="center"/>
    </xf>
    <xf numFmtId="0" fontId="7" fillId="2" borderId="1" xfId="0" applyFont="1" applyFill="1" applyBorder="1" applyAlignment="1">
      <alignment horizontal="center" vertical="center"/>
    </xf>
    <xf numFmtId="10" fontId="7" fillId="2" borderId="2" xfId="0" applyNumberFormat="1" applyFont="1" applyFill="1" applyBorder="1" applyAlignment="1">
      <alignment horizontal="center" vertical="center"/>
    </xf>
    <xf numFmtId="0" fontId="6" fillId="0" borderId="1" xfId="0" applyNumberFormat="1" applyFont="1" applyFill="1" applyBorder="1" applyAlignment="1">
      <alignment horizontal="right" vertical="center"/>
    </xf>
    <xf numFmtId="0" fontId="2" fillId="0" borderId="0" xfId="0" applyFont="1" applyAlignment="1">
      <alignment horizontal="left"/>
    </xf>
    <xf numFmtId="14" fontId="3" fillId="4" borderId="2" xfId="0" applyNumberFormat="1" applyFont="1" applyFill="1" applyBorder="1" applyAlignment="1">
      <alignment horizontal="center" vertical="center"/>
    </xf>
    <xf numFmtId="14" fontId="3" fillId="4" borderId="2" xfId="0" applyNumberFormat="1" applyFont="1" applyFill="1" applyBorder="1" applyAlignment="1">
      <alignment horizontal="center" vertical="center" wrapText="1"/>
    </xf>
    <xf numFmtId="1" fontId="3" fillId="4" borderId="2" xfId="1" applyNumberFormat="1" applyFont="1" applyFill="1" applyBorder="1" applyAlignment="1">
      <alignment horizontal="center" vertical="center"/>
    </xf>
    <xf numFmtId="1" fontId="4" fillId="4" borderId="2" xfId="1" applyNumberFormat="1" applyFont="1" applyFill="1" applyBorder="1" applyAlignment="1">
      <alignment horizontal="center" vertical="center" wrapText="1"/>
    </xf>
    <xf numFmtId="1" fontId="3" fillId="4" borderId="2" xfId="1" applyNumberFormat="1" applyFont="1" applyFill="1" applyBorder="1" applyAlignment="1">
      <alignment horizontal="center" vertical="center" wrapText="1"/>
    </xf>
    <xf numFmtId="3" fontId="3" fillId="4" borderId="2" xfId="1" applyNumberFormat="1" applyFont="1" applyFill="1" applyBorder="1" applyAlignment="1">
      <alignment horizontal="center" vertical="center" wrapText="1"/>
    </xf>
    <xf numFmtId="0" fontId="3" fillId="4" borderId="2" xfId="0" applyFont="1" applyFill="1" applyBorder="1" applyAlignment="1">
      <alignment horizontal="center" vertical="center" wrapText="1"/>
    </xf>
    <xf numFmtId="0" fontId="3" fillId="4" borderId="4" xfId="0" applyFont="1" applyFill="1" applyBorder="1" applyAlignment="1">
      <alignment horizontal="center" vertical="center" wrapText="1"/>
    </xf>
    <xf numFmtId="0" fontId="2" fillId="5" borderId="0" xfId="0" applyFont="1" applyFill="1"/>
    <xf numFmtId="0" fontId="6" fillId="5" borderId="1" xfId="0" applyFont="1" applyFill="1" applyBorder="1" applyAlignment="1">
      <alignment horizontal="right" vertical="center"/>
    </xf>
    <xf numFmtId="0" fontId="6" fillId="5" borderId="1" xfId="0" applyNumberFormat="1" applyFont="1" applyFill="1" applyBorder="1" applyAlignment="1">
      <alignment horizontal="right" vertical="center"/>
    </xf>
    <xf numFmtId="0" fontId="6" fillId="5" borderId="3" xfId="0" applyFont="1" applyFill="1" applyBorder="1" applyAlignment="1">
      <alignment horizontal="left" vertical="center"/>
    </xf>
    <xf numFmtId="0" fontId="6" fillId="5" borderId="4" xfId="0" applyNumberFormat="1" applyFont="1" applyFill="1" applyBorder="1" applyAlignment="1">
      <alignment horizontal="left" vertical="center"/>
    </xf>
    <xf numFmtId="1" fontId="6" fillId="5" borderId="1" xfId="0" applyNumberFormat="1" applyFont="1" applyFill="1" applyBorder="1" applyAlignment="1">
      <alignment horizontal="right" vertical="center"/>
    </xf>
    <xf numFmtId="10" fontId="7" fillId="2" borderId="1" xfId="0" applyNumberFormat="1" applyFont="1" applyFill="1" applyBorder="1" applyAlignment="1">
      <alignment horizontal="center" vertical="center"/>
    </xf>
    <xf numFmtId="1" fontId="6" fillId="0" borderId="0" xfId="0" applyNumberFormat="1" applyFont="1" applyAlignment="1"/>
    <xf numFmtId="1" fontId="2" fillId="0" borderId="0" xfId="0" applyNumberFormat="1" applyFont="1"/>
    <xf numFmtId="1" fontId="3" fillId="4" borderId="2" xfId="0" applyNumberFormat="1" applyFont="1" applyFill="1" applyBorder="1" applyAlignment="1">
      <alignment horizontal="center" vertical="center" wrapText="1"/>
    </xf>
    <xf numFmtId="1" fontId="6" fillId="5" borderId="3" xfId="0" applyNumberFormat="1" applyFont="1" applyFill="1" applyBorder="1" applyAlignment="1">
      <alignment horizontal="left" vertical="center"/>
    </xf>
    <xf numFmtId="1" fontId="6" fillId="0" borderId="1" xfId="0" applyNumberFormat="1" applyFont="1" applyFill="1" applyBorder="1" applyAlignment="1">
      <alignment horizontal="right" vertical="center"/>
    </xf>
    <xf numFmtId="1" fontId="7" fillId="2" borderId="1" xfId="0" applyNumberFormat="1" applyFont="1" applyFill="1" applyBorder="1" applyAlignment="1">
      <alignment horizontal="center" vertical="center"/>
    </xf>
    <xf numFmtId="1" fontId="7" fillId="3" borderId="2" xfId="0" applyNumberFormat="1" applyFont="1" applyFill="1" applyBorder="1" applyAlignment="1">
      <alignment horizontal="center" vertical="center"/>
    </xf>
    <xf numFmtId="1" fontId="7" fillId="3" borderId="1" xfId="0" applyNumberFormat="1" applyFont="1" applyFill="1" applyBorder="1" applyAlignment="1">
      <alignment horizontal="center" vertical="center"/>
    </xf>
    <xf numFmtId="10" fontId="7" fillId="3" borderId="2" xfId="3" applyNumberFormat="1" applyFont="1" applyFill="1" applyBorder="1" applyAlignment="1">
      <alignment horizontal="center" vertical="center"/>
    </xf>
    <xf numFmtId="10" fontId="7" fillId="3" borderId="1" xfId="0" applyNumberFormat="1" applyFont="1" applyFill="1" applyBorder="1" applyAlignment="1">
      <alignment horizontal="center" vertical="center"/>
    </xf>
    <xf numFmtId="0" fontId="2" fillId="0" borderId="0" xfId="0" applyNumberFormat="1" applyFont="1"/>
    <xf numFmtId="0" fontId="12" fillId="0" borderId="0" xfId="0" applyFont="1"/>
    <xf numFmtId="1" fontId="13" fillId="0" borderId="0" xfId="0" applyNumberFormat="1" applyFont="1"/>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1" fontId="6" fillId="5" borderId="0" xfId="0" applyNumberFormat="1" applyFont="1" applyFill="1" applyAlignment="1"/>
    <xf numFmtId="0" fontId="7" fillId="3" borderId="2" xfId="0" applyFont="1" applyFill="1" applyBorder="1" applyAlignment="1">
      <alignment horizontal="center" vertical="center"/>
    </xf>
    <xf numFmtId="0" fontId="6" fillId="5" borderId="4" xfId="0" applyFont="1" applyFill="1" applyBorder="1" applyAlignment="1">
      <alignment horizontal="left"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6" fillId="5" borderId="10" xfId="0" applyFont="1" applyFill="1" applyBorder="1" applyAlignment="1">
      <alignment horizontal="right" vertical="center"/>
    </xf>
    <xf numFmtId="1" fontId="6" fillId="5" borderId="1" xfId="0" applyNumberFormat="1" applyFont="1" applyFill="1" applyBorder="1" applyAlignment="1"/>
    <xf numFmtId="0" fontId="6" fillId="5" borderId="21" xfId="0" applyFont="1" applyFill="1" applyBorder="1" applyAlignment="1">
      <alignment horizontal="left" vertical="center"/>
    </xf>
    <xf numFmtId="1" fontId="6" fillId="5" borderId="3" xfId="0" applyNumberFormat="1" applyFont="1" applyFill="1" applyBorder="1" applyAlignment="1">
      <alignment horizontal="right"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6" fillId="0" borderId="5" xfId="0" applyNumberFormat="1" applyFont="1" applyFill="1" applyBorder="1" applyAlignment="1">
      <alignment horizontal="right" vertical="center"/>
    </xf>
    <xf numFmtId="1" fontId="6" fillId="5" borderId="4" xfId="0" applyNumberFormat="1" applyFont="1" applyFill="1" applyBorder="1" applyAlignment="1">
      <alignment horizontal="left" vertical="center"/>
    </xf>
    <xf numFmtId="0" fontId="6" fillId="5" borderId="23" xfId="0" applyNumberFormat="1" applyFont="1" applyFill="1" applyBorder="1" applyAlignment="1">
      <alignment horizontal="left" vertical="center"/>
    </xf>
    <xf numFmtId="1" fontId="6" fillId="0" borderId="0" xfId="0" applyNumberFormat="1" applyFont="1" applyFill="1" applyBorder="1" applyAlignment="1">
      <alignment horizontal="right" vertical="center"/>
    </xf>
    <xf numFmtId="0" fontId="6" fillId="0" borderId="0" xfId="0" applyNumberFormat="1" applyFont="1" applyFill="1" applyBorder="1" applyAlignment="1">
      <alignment horizontal="right" vertical="center"/>
    </xf>
    <xf numFmtId="0" fontId="6" fillId="0" borderId="0" xfId="0" applyFont="1" applyFill="1" applyBorder="1" applyAlignment="1">
      <alignment horizontal="right" vertical="center"/>
    </xf>
    <xf numFmtId="1" fontId="6" fillId="5" borderId="0" xfId="0" applyNumberFormat="1" applyFont="1" applyFill="1" applyBorder="1" applyAlignment="1">
      <alignment horizontal="left" vertical="center"/>
    </xf>
    <xf numFmtId="0" fontId="6" fillId="5" borderId="0" xfId="0" applyNumberFormat="1" applyFont="1" applyFill="1" applyBorder="1" applyAlignment="1">
      <alignment horizontal="left" vertical="center"/>
    </xf>
    <xf numFmtId="0" fontId="6" fillId="5" borderId="0" xfId="0" applyFont="1" applyFill="1" applyBorder="1" applyAlignment="1">
      <alignment horizontal="left" vertical="center"/>
    </xf>
    <xf numFmtId="0" fontId="7" fillId="2" borderId="2" xfId="0" applyFont="1" applyFill="1" applyBorder="1" applyAlignment="1">
      <alignment horizontal="center" vertical="center"/>
    </xf>
    <xf numFmtId="1" fontId="7" fillId="2" borderId="2" xfId="0" applyNumberFormat="1" applyFont="1" applyFill="1" applyBorder="1" applyAlignment="1">
      <alignment horizontal="center"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6" fillId="5" borderId="1" xfId="197" applyNumberFormat="1" applyFont="1" applyFill="1" applyBorder="1" applyAlignment="1">
      <alignment horizontal="right"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 xfId="0" applyFont="1" applyFill="1" applyBorder="1" applyAlignment="1">
      <alignment horizontal="center" vertical="center"/>
    </xf>
    <xf numFmtId="14" fontId="6" fillId="0" borderId="0" xfId="0" applyNumberFormat="1" applyFont="1"/>
    <xf numFmtId="0" fontId="6" fillId="0" borderId="0" xfId="0" applyFont="1"/>
    <xf numFmtId="14" fontId="6" fillId="0" borderId="0" xfId="0" applyNumberFormat="1" applyFont="1" applyAlignment="1">
      <alignment horizontal="left" vertical="center"/>
    </xf>
    <xf numFmtId="0" fontId="3" fillId="4" borderId="2" xfId="2" applyNumberFormat="1" applyFont="1" applyFill="1" applyBorder="1" applyAlignment="1">
      <alignment horizontal="center" vertical="distributed" wrapText="1"/>
    </xf>
    <xf numFmtId="0" fontId="3" fillId="4" borderId="2" xfId="2" applyFont="1" applyFill="1" applyBorder="1" applyAlignment="1">
      <alignment horizontal="center" vertical="distributed" wrapText="1"/>
    </xf>
    <xf numFmtId="0" fontId="5" fillId="0" borderId="0" xfId="0" applyFont="1" applyBorder="1" applyAlignment="1">
      <alignment horizontal="center"/>
    </xf>
    <xf numFmtId="0" fontId="5" fillId="0" borderId="7" xfId="0" applyFont="1" applyBorder="1" applyAlignment="1">
      <alignment horizontal="center"/>
    </xf>
    <xf numFmtId="0" fontId="3" fillId="4" borderId="2" xfId="2" applyFont="1" applyFill="1" applyBorder="1" applyAlignment="1">
      <alignment horizontal="center" vertical="center" wrapText="1"/>
    </xf>
    <xf numFmtId="0" fontId="3" fillId="4" borderId="2" xfId="2" applyNumberFormat="1" applyFont="1" applyFill="1" applyBorder="1" applyAlignment="1">
      <alignment horizontal="center" vertical="center" wrapText="1"/>
    </xf>
    <xf numFmtId="181" fontId="4" fillId="5" borderId="1" xfId="0" applyNumberFormat="1" applyFont="1" applyFill="1" applyBorder="1" applyAlignment="1">
      <alignment horizontal="center" vertical="center"/>
    </xf>
    <xf numFmtId="181" fontId="4" fillId="5" borderId="2" xfId="0" applyNumberFormat="1" applyFont="1" applyFill="1" applyBorder="1" applyAlignment="1">
      <alignment horizontal="center" vertical="center"/>
    </xf>
    <xf numFmtId="14" fontId="9" fillId="5" borderId="4" xfId="0" applyNumberFormat="1" applyFont="1" applyFill="1" applyBorder="1" applyAlignment="1">
      <alignment horizontal="center" vertical="center"/>
    </xf>
    <xf numFmtId="14" fontId="9" fillId="5" borderId="1"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1" xfId="0" applyFont="1" applyFill="1" applyBorder="1" applyAlignment="1">
      <alignment horizontal="center" vertical="center"/>
    </xf>
    <xf numFmtId="0" fontId="9" fillId="5" borderId="4" xfId="0" applyFont="1" applyFill="1" applyBorder="1" applyAlignment="1">
      <alignment horizontal="center" vertical="center" wrapText="1"/>
    </xf>
    <xf numFmtId="0" fontId="9" fillId="5" borderId="1" xfId="0" applyFont="1" applyFill="1" applyBorder="1" applyAlignment="1">
      <alignment horizontal="center" vertical="center" wrapText="1"/>
    </xf>
    <xf numFmtId="180" fontId="9" fillId="5" borderId="4" xfId="0" quotePrefix="1" applyNumberFormat="1" applyFont="1" applyFill="1" applyBorder="1" applyAlignment="1">
      <alignment horizontal="center" vertical="center"/>
    </xf>
    <xf numFmtId="180" fontId="9" fillId="5" borderId="1" xfId="0" quotePrefix="1" applyNumberFormat="1" applyFont="1" applyFill="1" applyBorder="1" applyAlignment="1">
      <alignment horizontal="center" vertical="center"/>
    </xf>
    <xf numFmtId="0" fontId="9" fillId="5" borderId="2" xfId="0" applyFont="1" applyFill="1" applyBorder="1" applyAlignment="1">
      <alignment horizontal="center" vertical="center"/>
    </xf>
    <xf numFmtId="0" fontId="6" fillId="5" borderId="2" xfId="0" applyFont="1" applyFill="1" applyBorder="1" applyAlignment="1">
      <alignment horizontal="center" vertical="center"/>
    </xf>
    <xf numFmtId="10" fontId="6" fillId="5" borderId="5" xfId="0" applyNumberFormat="1" applyFont="1" applyFill="1" applyBorder="1" applyAlignment="1">
      <alignment horizontal="center" vertical="center"/>
    </xf>
    <xf numFmtId="10" fontId="6" fillId="5" borderId="8" xfId="0" applyNumberFormat="1" applyFont="1" applyFill="1" applyBorder="1" applyAlignment="1">
      <alignment horizontal="center" vertical="center"/>
    </xf>
    <xf numFmtId="1" fontId="6" fillId="5" borderId="4" xfId="0" applyNumberFormat="1" applyFont="1" applyFill="1" applyBorder="1" applyAlignment="1">
      <alignment horizontal="center" vertical="center"/>
    </xf>
    <xf numFmtId="1" fontId="6" fillId="5" borderId="1" xfId="0" applyNumberFormat="1" applyFont="1" applyFill="1" applyBorder="1" applyAlignment="1">
      <alignment horizontal="center" vertical="center"/>
    </xf>
    <xf numFmtId="181" fontId="4" fillId="0" borderId="1" xfId="0" applyNumberFormat="1" applyFont="1" applyFill="1" applyBorder="1" applyAlignment="1">
      <alignment horizontal="center" vertical="center"/>
    </xf>
    <xf numFmtId="181" fontId="4" fillId="0" borderId="2"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0" fontId="6" fillId="5" borderId="10" xfId="0" applyNumberFormat="1" applyFont="1" applyFill="1" applyBorder="1" applyAlignment="1">
      <alignment horizontal="center" vertical="center" wrapText="1"/>
    </xf>
    <xf numFmtId="0" fontId="6" fillId="5" borderId="6" xfId="0" applyNumberFormat="1" applyFont="1" applyFill="1" applyBorder="1" applyAlignment="1">
      <alignment horizontal="center" vertical="center" wrapText="1"/>
    </xf>
    <xf numFmtId="0" fontId="10" fillId="5" borderId="10" xfId="0" applyNumberFormat="1" applyFont="1" applyFill="1" applyBorder="1" applyAlignment="1">
      <alignment horizontal="center" vertical="center" wrapText="1"/>
    </xf>
    <xf numFmtId="0" fontId="10" fillId="5" borderId="6" xfId="0" applyNumberFormat="1" applyFont="1" applyFill="1" applyBorder="1" applyAlignment="1">
      <alignment horizontal="center" vertical="center" wrapText="1"/>
    </xf>
    <xf numFmtId="181" fontId="4" fillId="5" borderId="4" xfId="0" applyNumberFormat="1" applyFont="1" applyFill="1" applyBorder="1" applyAlignment="1">
      <alignment horizontal="center" vertical="center"/>
    </xf>
    <xf numFmtId="0" fontId="9" fillId="5" borderId="1" xfId="0" quotePrefix="1" applyFont="1" applyFill="1" applyBorder="1" applyAlignment="1">
      <alignment horizontal="center" vertical="center"/>
    </xf>
    <xf numFmtId="181" fontId="4" fillId="0" borderId="1" xfId="0" applyNumberFormat="1" applyFont="1" applyFill="1" applyBorder="1" applyAlignment="1">
      <alignment horizontal="center" vertical="center" wrapText="1"/>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6" xfId="0" applyFont="1" applyFill="1" applyBorder="1" applyAlignment="1">
      <alignment horizontal="center" vertical="center"/>
    </xf>
    <xf numFmtId="14" fontId="9" fillId="0" borderId="4" xfId="0" applyNumberFormat="1" applyFont="1" applyFill="1" applyBorder="1" applyAlignment="1">
      <alignment horizontal="center" vertical="center"/>
    </xf>
    <xf numFmtId="14" fontId="9" fillId="0" borderId="1" xfId="0" applyNumberFormat="1" applyFont="1" applyFill="1" applyBorder="1" applyAlignment="1">
      <alignment horizontal="center" vertical="center"/>
    </xf>
    <xf numFmtId="0" fontId="9" fillId="0" borderId="4" xfId="0" applyFont="1" applyFill="1" applyBorder="1" applyAlignment="1">
      <alignment horizontal="center" vertical="center"/>
    </xf>
    <xf numFmtId="0" fontId="9" fillId="0" borderId="1" xfId="0" applyFont="1" applyFill="1" applyBorder="1" applyAlignment="1">
      <alignment horizontal="center" vertical="center"/>
    </xf>
    <xf numFmtId="0" fontId="9" fillId="0" borderId="4" xfId="0" applyFont="1" applyFill="1" applyBorder="1" applyAlignment="1">
      <alignment horizontal="center" vertical="center" wrapText="1"/>
    </xf>
    <xf numFmtId="0" fontId="9" fillId="0" borderId="1" xfId="0" applyFont="1" applyFill="1" applyBorder="1" applyAlignment="1">
      <alignment horizontal="center" vertical="center" wrapText="1"/>
    </xf>
    <xf numFmtId="180" fontId="9" fillId="0" borderId="4" xfId="0" quotePrefix="1" applyNumberFormat="1" applyFont="1" applyFill="1" applyBorder="1" applyAlignment="1">
      <alignment horizontal="center" vertical="center"/>
    </xf>
    <xf numFmtId="180" fontId="9" fillId="0" borderId="1" xfId="0" quotePrefix="1" applyNumberFormat="1" applyFont="1" applyFill="1" applyBorder="1" applyAlignment="1">
      <alignment horizontal="center" vertical="center"/>
    </xf>
    <xf numFmtId="0" fontId="7" fillId="3" borderId="2" xfId="0" applyFont="1" applyFill="1" applyBorder="1" applyAlignment="1">
      <alignment horizontal="center" vertical="center"/>
    </xf>
    <xf numFmtId="0" fontId="9" fillId="5" borderId="10" xfId="0" applyNumberFormat="1" applyFont="1" applyFill="1" applyBorder="1" applyAlignment="1">
      <alignment horizontal="center" vertical="center" wrapText="1"/>
    </xf>
    <xf numFmtId="0" fontId="9" fillId="5" borderId="6" xfId="0" applyNumberFormat="1" applyFont="1" applyFill="1" applyBorder="1" applyAlignment="1">
      <alignment horizontal="center" vertical="center" wrapText="1"/>
    </xf>
    <xf numFmtId="0" fontId="6" fillId="0" borderId="4" xfId="0" applyFont="1" applyFill="1" applyBorder="1" applyAlignment="1">
      <alignment horizontal="center" vertical="center"/>
    </xf>
    <xf numFmtId="0" fontId="6" fillId="0" borderId="1" xfId="0" applyFont="1" applyFill="1" applyBorder="1" applyAlignment="1">
      <alignment horizontal="center" vertical="center"/>
    </xf>
    <xf numFmtId="16" fontId="9" fillId="0" borderId="4" xfId="0" quotePrefix="1" applyNumberFormat="1" applyFont="1" applyFill="1" applyBorder="1" applyAlignment="1">
      <alignment horizontal="center" vertical="center"/>
    </xf>
    <xf numFmtId="16" fontId="9" fillId="0" borderId="1" xfId="0" quotePrefix="1" applyNumberFormat="1" applyFont="1" applyFill="1" applyBorder="1" applyAlignment="1">
      <alignment horizontal="center" vertical="center"/>
    </xf>
    <xf numFmtId="10" fontId="6" fillId="0" borderId="4" xfId="0" applyNumberFormat="1" applyFont="1" applyFill="1" applyBorder="1" applyAlignment="1">
      <alignment horizontal="center" vertical="center"/>
    </xf>
    <xf numFmtId="10" fontId="6" fillId="0" borderId="1" xfId="0" applyNumberFormat="1" applyFont="1" applyFill="1" applyBorder="1" applyAlignment="1">
      <alignment horizontal="center" vertical="center"/>
    </xf>
    <xf numFmtId="14" fontId="9" fillId="0" borderId="4" xfId="0" applyNumberFormat="1" applyFont="1" applyFill="1" applyBorder="1" applyAlignment="1">
      <alignment horizontal="center" vertical="center" wrapText="1"/>
    </xf>
    <xf numFmtId="14" fontId="9" fillId="0" borderId="1" xfId="0" applyNumberFormat="1" applyFont="1" applyFill="1" applyBorder="1" applyAlignment="1">
      <alignment horizontal="center" vertical="center" wrapText="1"/>
    </xf>
    <xf numFmtId="0" fontId="6" fillId="0" borderId="4" xfId="0" applyNumberFormat="1" applyFont="1" applyFill="1" applyBorder="1" applyAlignment="1">
      <alignment horizontal="center" vertical="center"/>
    </xf>
    <xf numFmtId="0" fontId="6" fillId="0" borderId="1" xfId="0" applyNumberFormat="1" applyFont="1" applyFill="1" applyBorder="1" applyAlignment="1">
      <alignment horizontal="center" vertical="center"/>
    </xf>
    <xf numFmtId="0" fontId="9" fillId="0" borderId="4" xfId="0" applyNumberFormat="1" applyFont="1" applyFill="1" applyBorder="1" applyAlignment="1">
      <alignment horizontal="center" vertical="center" wrapText="1"/>
    </xf>
    <xf numFmtId="0" fontId="9" fillId="0" borderId="1" xfId="0" applyNumberFormat="1" applyFont="1" applyFill="1" applyBorder="1" applyAlignment="1">
      <alignment horizontal="center" vertical="center" wrapText="1"/>
    </xf>
    <xf numFmtId="16" fontId="9" fillId="5" borderId="2" xfId="0" quotePrefix="1" applyNumberFormat="1" applyFont="1" applyFill="1" applyBorder="1" applyAlignment="1">
      <alignment horizontal="center" vertical="center"/>
    </xf>
    <xf numFmtId="14" fontId="9" fillId="5" borderId="1" xfId="0" applyNumberFormat="1" applyFont="1" applyFill="1" applyBorder="1" applyAlignment="1">
      <alignment horizontal="center" vertical="center" wrapText="1"/>
    </xf>
    <xf numFmtId="14" fontId="9" fillId="5" borderId="2" xfId="0" applyNumberFormat="1" applyFont="1" applyFill="1" applyBorder="1" applyAlignment="1">
      <alignment horizontal="center" vertical="center"/>
    </xf>
    <xf numFmtId="0" fontId="6" fillId="0" borderId="2" xfId="0" applyFont="1" applyFill="1" applyBorder="1" applyAlignment="1">
      <alignment horizontal="center" vertical="center"/>
    </xf>
    <xf numFmtId="16" fontId="9" fillId="0" borderId="2" xfId="0" quotePrefix="1" applyNumberFormat="1" applyFont="1" applyFill="1" applyBorder="1" applyAlignment="1">
      <alignment horizontal="center" vertical="center"/>
    </xf>
    <xf numFmtId="0" fontId="9" fillId="0" borderId="2" xfId="0" applyFont="1" applyFill="1" applyBorder="1" applyAlignment="1">
      <alignment horizontal="center" vertical="center"/>
    </xf>
    <xf numFmtId="10" fontId="6" fillId="0" borderId="5" xfId="0" applyNumberFormat="1" applyFont="1" applyFill="1" applyBorder="1" applyAlignment="1">
      <alignment horizontal="center" vertical="center"/>
    </xf>
    <xf numFmtId="10" fontId="6" fillId="0" borderId="8" xfId="0" applyNumberFormat="1" applyFont="1" applyFill="1" applyBorder="1" applyAlignment="1">
      <alignment horizontal="center" vertical="center"/>
    </xf>
    <xf numFmtId="14" fontId="9" fillId="0" borderId="2" xfId="0" applyNumberFormat="1" applyFont="1" applyFill="1" applyBorder="1" applyAlignment="1">
      <alignment horizontal="center" vertical="center"/>
    </xf>
    <xf numFmtId="10" fontId="6" fillId="5" borderId="4" xfId="0" applyNumberFormat="1" applyFont="1" applyFill="1" applyBorder="1" applyAlignment="1">
      <alignment horizontal="center" vertical="center"/>
    </xf>
    <xf numFmtId="10" fontId="6" fillId="5" borderId="1" xfId="0" applyNumberFormat="1" applyFont="1" applyFill="1" applyBorder="1" applyAlignment="1">
      <alignment horizontal="center" vertical="center"/>
    </xf>
    <xf numFmtId="181" fontId="4" fillId="0" borderId="4" xfId="0" quotePrefix="1"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1" xfId="0" applyFont="1" applyFill="1" applyBorder="1" applyAlignment="1">
      <alignment horizontal="center" vertical="center"/>
    </xf>
    <xf numFmtId="0" fontId="9" fillId="5" borderId="4" xfId="0" quotePrefix="1" applyFont="1" applyFill="1" applyBorder="1" applyAlignment="1">
      <alignment horizontal="center" vertical="center"/>
    </xf>
    <xf numFmtId="182" fontId="10" fillId="5" borderId="4" xfId="0" applyNumberFormat="1" applyFont="1" applyFill="1" applyBorder="1" applyAlignment="1">
      <alignment horizontal="center" vertical="center" wrapText="1"/>
    </xf>
    <xf numFmtId="182" fontId="10" fillId="5" borderId="1" xfId="0" applyNumberFormat="1" applyFont="1" applyFill="1" applyBorder="1" applyAlignment="1">
      <alignment horizontal="center" vertical="center" wrapText="1"/>
    </xf>
    <xf numFmtId="181" fontId="4" fillId="0" borderId="4" xfId="0" applyNumberFormat="1" applyFont="1" applyFill="1" applyBorder="1" applyAlignment="1">
      <alignment horizontal="center" vertical="center"/>
    </xf>
    <xf numFmtId="182" fontId="10" fillId="5" borderId="10" xfId="0" applyNumberFormat="1" applyFont="1" applyFill="1" applyBorder="1" applyAlignment="1">
      <alignment horizontal="center" vertical="center" wrapText="1"/>
    </xf>
    <xf numFmtId="182" fontId="10" fillId="5" borderId="6" xfId="0" applyNumberFormat="1" applyFont="1" applyFill="1" applyBorder="1" applyAlignment="1">
      <alignment horizontal="center" vertical="center" wrapText="1"/>
    </xf>
    <xf numFmtId="0" fontId="9" fillId="0" borderId="4" xfId="0" quotePrefix="1" applyFont="1" applyFill="1" applyBorder="1" applyAlignment="1">
      <alignment horizontal="center" vertical="center"/>
    </xf>
    <xf numFmtId="14" fontId="9" fillId="5" borderId="4" xfId="0" applyNumberFormat="1" applyFont="1" applyFill="1" applyBorder="1" applyAlignment="1">
      <alignment horizontal="center" vertical="center" wrapText="1"/>
    </xf>
    <xf numFmtId="16" fontId="9" fillId="5" borderId="4" xfId="0" quotePrefix="1" applyNumberFormat="1" applyFont="1" applyFill="1" applyBorder="1" applyAlignment="1">
      <alignment horizontal="center" vertical="center"/>
    </xf>
    <xf numFmtId="16" fontId="9" fillId="5" borderId="1" xfId="0" quotePrefix="1" applyNumberFormat="1" applyFont="1" applyFill="1" applyBorder="1" applyAlignment="1">
      <alignment horizontal="center" vertical="center"/>
    </xf>
    <xf numFmtId="0" fontId="9" fillId="5" borderId="4" xfId="0" applyNumberFormat="1" applyFont="1" applyFill="1" applyBorder="1" applyAlignment="1">
      <alignment horizontal="center" vertical="center" wrapText="1"/>
    </xf>
    <xf numFmtId="0" fontId="9" fillId="5" borderId="1" xfId="0" applyNumberFormat="1" applyFont="1" applyFill="1" applyBorder="1" applyAlignment="1">
      <alignment horizontal="center" vertical="center" wrapText="1"/>
    </xf>
    <xf numFmtId="0" fontId="6" fillId="5" borderId="4"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0" fontId="6" fillId="5" borderId="4" xfId="0" applyNumberFormat="1" applyFont="1" applyFill="1" applyBorder="1" applyAlignment="1">
      <alignment horizontal="center" vertical="center" wrapText="1"/>
    </xf>
    <xf numFmtId="0" fontId="6" fillId="5" borderId="1" xfId="0" applyNumberFormat="1" applyFont="1" applyFill="1" applyBorder="1" applyAlignment="1">
      <alignment horizontal="center" vertical="center" wrapText="1"/>
    </xf>
    <xf numFmtId="0" fontId="10" fillId="5" borderId="4" xfId="0" applyNumberFormat="1" applyFont="1" applyFill="1" applyBorder="1" applyAlignment="1">
      <alignment horizontal="center" vertical="center" wrapText="1"/>
    </xf>
    <xf numFmtId="0" fontId="10" fillId="5" borderId="1" xfId="0" applyNumberFormat="1" applyFont="1" applyFill="1" applyBorder="1" applyAlignment="1">
      <alignment horizontal="center" vertical="center" wrapText="1"/>
    </xf>
    <xf numFmtId="181" fontId="4" fillId="5" borderId="1" xfId="0" applyNumberFormat="1" applyFont="1" applyFill="1" applyBorder="1" applyAlignment="1">
      <alignment horizontal="center" vertical="center" wrapText="1"/>
    </xf>
    <xf numFmtId="0" fontId="9" fillId="5" borderId="5" xfId="0" applyFont="1" applyFill="1" applyBorder="1" applyAlignment="1">
      <alignment horizontal="center" vertical="center"/>
    </xf>
    <xf numFmtId="0" fontId="9" fillId="5" borderId="8" xfId="0" applyFont="1" applyFill="1" applyBorder="1" applyAlignment="1">
      <alignment horizontal="center" vertical="center"/>
    </xf>
    <xf numFmtId="1" fontId="6" fillId="5" borderId="22" xfId="0" applyNumberFormat="1" applyFont="1" applyFill="1" applyBorder="1" applyAlignment="1">
      <alignment horizontal="center" vertical="center"/>
    </xf>
    <xf numFmtId="1" fontId="6" fillId="5" borderId="10" xfId="0" applyNumberFormat="1" applyFont="1" applyFill="1" applyBorder="1" applyAlignment="1">
      <alignment horizontal="center" vertical="center"/>
    </xf>
    <xf numFmtId="181" fontId="4" fillId="0" borderId="2" xfId="0" applyNumberFormat="1" applyFont="1" applyFill="1" applyBorder="1" applyAlignment="1">
      <alignment horizontal="center" vertical="center" wrapText="1"/>
    </xf>
    <xf numFmtId="181" fontId="4" fillId="5" borderId="2" xfId="0" applyNumberFormat="1" applyFont="1" applyFill="1" applyBorder="1" applyAlignment="1">
      <alignment horizontal="center" vertical="center" wrapText="1"/>
    </xf>
    <xf numFmtId="10" fontId="6" fillId="0" borderId="0" xfId="0" applyNumberFormat="1" applyFont="1" applyFill="1" applyBorder="1" applyAlignment="1">
      <alignment horizontal="center" vertical="center"/>
    </xf>
    <xf numFmtId="14" fontId="6" fillId="0" borderId="0" xfId="0" applyNumberFormat="1" applyFont="1" applyAlignment="1">
      <alignment horizontal="left" vertical="center" wrapText="1"/>
    </xf>
  </cellXfs>
  <cellStyles count="198">
    <cellStyle name="20% - Accent1 2" xfId="5"/>
    <cellStyle name="20% - Accent2 2" xfId="6"/>
    <cellStyle name="20% - Accent3 2" xfId="7"/>
    <cellStyle name="20% - Accent4 2" xfId="8"/>
    <cellStyle name="20% - Accent5 2" xfId="9"/>
    <cellStyle name="20% - Accent6 2" xfId="10"/>
    <cellStyle name="20% - 輔色1" xfId="11"/>
    <cellStyle name="20% - 輔色2" xfId="12"/>
    <cellStyle name="20% - 輔色3" xfId="13"/>
    <cellStyle name="20% - 輔色4" xfId="14"/>
    <cellStyle name="20% - 輔色5" xfId="15"/>
    <cellStyle name="20% - 輔色6" xfId="16"/>
    <cellStyle name="40% - Accent1 2" xfId="17"/>
    <cellStyle name="40% - Accent2 2" xfId="18"/>
    <cellStyle name="40% - Accent3 2" xfId="19"/>
    <cellStyle name="40% - Accent4 2" xfId="20"/>
    <cellStyle name="40% - Accent5 2" xfId="21"/>
    <cellStyle name="40% - Accent6 2" xfId="22"/>
    <cellStyle name="40% - 輔色1" xfId="23"/>
    <cellStyle name="40% - 輔色2" xfId="24"/>
    <cellStyle name="40% - 輔色3" xfId="25"/>
    <cellStyle name="40% - 輔色4" xfId="26"/>
    <cellStyle name="40% - 輔色5" xfId="27"/>
    <cellStyle name="40% - 輔色6" xfId="28"/>
    <cellStyle name="60% - Accent1 2" xfId="29"/>
    <cellStyle name="60% - Accent2 2" xfId="30"/>
    <cellStyle name="60% - Accent3 2" xfId="31"/>
    <cellStyle name="60% - Accent4 2" xfId="32"/>
    <cellStyle name="60% - Accent5 2" xfId="33"/>
    <cellStyle name="60% - Accent6 2" xfId="34"/>
    <cellStyle name="60% - 輔色1" xfId="35"/>
    <cellStyle name="60% - 輔色2" xfId="36"/>
    <cellStyle name="60% - 輔色3" xfId="37"/>
    <cellStyle name="60% - 輔色4" xfId="38"/>
    <cellStyle name="60% - 輔色5" xfId="39"/>
    <cellStyle name="60% - 輔色6" xfId="40"/>
    <cellStyle name="Accent1 2" xfId="41"/>
    <cellStyle name="Accent2 2" xfId="42"/>
    <cellStyle name="Accent3 2" xfId="43"/>
    <cellStyle name="Accent4 2" xfId="44"/>
    <cellStyle name="Accent5 2" xfId="45"/>
    <cellStyle name="Accent6 2" xfId="46"/>
    <cellStyle name="Bad 2" xfId="47"/>
    <cellStyle name="Calculation 2" xfId="48"/>
    <cellStyle name="Check Cell 2" xfId="49"/>
    <cellStyle name="Comma [0] 2" xfId="50"/>
    <cellStyle name="Comma 10" xfId="51"/>
    <cellStyle name="Comma 2" xfId="52"/>
    <cellStyle name="Comma 2 2" xfId="53"/>
    <cellStyle name="Comma 3" xfId="54"/>
    <cellStyle name="Comma 3 2" xfId="55"/>
    <cellStyle name="Comma 37" xfId="187"/>
    <cellStyle name="Comma 38" xfId="195"/>
    <cellStyle name="Comma 4" xfId="56"/>
    <cellStyle name="Comma 4 2" xfId="57"/>
    <cellStyle name="Comma 5" xfId="58"/>
    <cellStyle name="Comma 6" xfId="59"/>
    <cellStyle name="Comma 7" xfId="60"/>
    <cellStyle name="Comma 8" xfId="61"/>
    <cellStyle name="Comma 9" xfId="62"/>
    <cellStyle name="Currency 2" xfId="63"/>
    <cellStyle name="Currency 3" xfId="64"/>
    <cellStyle name="Explanatory Text 2" xfId="65"/>
    <cellStyle name="Good 2" xfId="66"/>
    <cellStyle name="Heading 1 2" xfId="67"/>
    <cellStyle name="Heading 2 2" xfId="68"/>
    <cellStyle name="Heading 3 2" xfId="69"/>
    <cellStyle name="Heading 4 2" xfId="70"/>
    <cellStyle name="Input 2" xfId="71"/>
    <cellStyle name="Linked Cell 2" xfId="72"/>
    <cellStyle name="Neutral 2" xfId="73"/>
    <cellStyle name="Normal 10" xfId="74"/>
    <cellStyle name="Normal 10 2" xfId="75"/>
    <cellStyle name="Normal 11" xfId="76"/>
    <cellStyle name="Normal 11 2" xfId="77"/>
    <cellStyle name="Normal 12" xfId="78"/>
    <cellStyle name="Normal 13" xfId="79"/>
    <cellStyle name="Normal 13 2" xfId="80"/>
    <cellStyle name="Normal 14" xfId="81"/>
    <cellStyle name="Normal 14 2" xfId="82"/>
    <cellStyle name="Normal 15" xfId="83"/>
    <cellStyle name="Normal 15 2" xfId="84"/>
    <cellStyle name="Normal 16" xfId="85"/>
    <cellStyle name="Normal 16 2" xfId="86"/>
    <cellStyle name="Normal 17" xfId="87"/>
    <cellStyle name="Normal 17 2" xfId="88"/>
    <cellStyle name="Normal 18" xfId="89"/>
    <cellStyle name="Normal 18 2" xfId="90"/>
    <cellStyle name="Normal 19" xfId="91"/>
    <cellStyle name="Normal 19 2" xfId="92"/>
    <cellStyle name="Normal 2" xfId="93"/>
    <cellStyle name="Normal 2 2" xfId="94"/>
    <cellStyle name="Normal 2 2 2" xfId="191"/>
    <cellStyle name="Normal 2 2 3" xfId="181"/>
    <cellStyle name="Normal 2 3" xfId="95"/>
    <cellStyle name="Normal 2 3 6" xfId="185"/>
    <cellStyle name="Normal 2 4" xfId="96"/>
    <cellStyle name="Normal 2 5" xfId="97"/>
    <cellStyle name="Normal 2 5 2" xfId="98"/>
    <cellStyle name="Normal 2 6" xfId="99"/>
    <cellStyle name="Normal 2 6 2" xfId="100"/>
    <cellStyle name="Normal 2 7" xfId="101"/>
    <cellStyle name="Normal 2 8" xfId="102"/>
    <cellStyle name="Normal 20" xfId="103"/>
    <cellStyle name="Normal 20 2" xfId="104"/>
    <cellStyle name="Normal 21" xfId="105"/>
    <cellStyle name="Normal 21 2" xfId="106"/>
    <cellStyle name="Normal 22" xfId="107"/>
    <cellStyle name="Normal 22 2" xfId="108"/>
    <cellStyle name="Normal 22 3" xfId="109"/>
    <cellStyle name="Normal 23" xfId="110"/>
    <cellStyle name="Normal 24" xfId="111"/>
    <cellStyle name="Normal 25" xfId="112"/>
    <cellStyle name="Normal 26" xfId="113"/>
    <cellStyle name="Normal 27" xfId="182"/>
    <cellStyle name="Normal 28" xfId="4"/>
    <cellStyle name="Normal 3" xfId="114"/>
    <cellStyle name="Normal 3 2" xfId="115"/>
    <cellStyle name="Normal 3 2 2" xfId="116"/>
    <cellStyle name="Normal 3 3" xfId="117"/>
    <cellStyle name="Normal 3 3 2" xfId="118"/>
    <cellStyle name="Normal 36" xfId="196"/>
    <cellStyle name="Normal 37" xfId="184"/>
    <cellStyle name="Normal 4" xfId="119"/>
    <cellStyle name="Normal 4 2" xfId="120"/>
    <cellStyle name="Normal 4 2 2" xfId="121"/>
    <cellStyle name="Normal 4 3" xfId="122"/>
    <cellStyle name="Normal 4 3 2" xfId="123"/>
    <cellStyle name="Normal 5" xfId="124"/>
    <cellStyle name="Normal 50" xfId="1"/>
    <cellStyle name="Normal 57" xfId="183"/>
    <cellStyle name="Normal 6" xfId="125"/>
    <cellStyle name="Normal 6 2" xfId="126"/>
    <cellStyle name="Normal 61" xfId="186"/>
    <cellStyle name="Normal 68" xfId="188"/>
    <cellStyle name="Normal 69" xfId="189"/>
    <cellStyle name="Normal 7" xfId="127"/>
    <cellStyle name="Normal 7 2" xfId="128"/>
    <cellStyle name="Normal 70" xfId="192"/>
    <cellStyle name="Normal 71" xfId="190"/>
    <cellStyle name="Normal 72" xfId="193"/>
    <cellStyle name="Normal 74" xfId="194"/>
    <cellStyle name="Normal 8" xfId="129"/>
    <cellStyle name="Normal 8 2" xfId="130"/>
    <cellStyle name="Normal 8 2 2" xfId="131"/>
    <cellStyle name="Normal 8 2 3" xfId="132"/>
    <cellStyle name="Normal 8 3" xfId="133"/>
    <cellStyle name="Normal 8 4" xfId="134"/>
    <cellStyle name="Normal 8 5" xfId="135"/>
    <cellStyle name="Normal 8 6" xfId="136"/>
    <cellStyle name="Normal 9" xfId="137"/>
    <cellStyle name="Note 2" xfId="138"/>
    <cellStyle name="Output 2" xfId="139"/>
    <cellStyle name="Percent 2" xfId="140"/>
    <cellStyle name="Style 1" xfId="141"/>
    <cellStyle name="Title 2" xfId="142"/>
    <cellStyle name="Total 2" xfId="143"/>
    <cellStyle name="Warning Text 2" xfId="144"/>
    <cellStyle name="一般" xfId="0" builtinId="0"/>
    <cellStyle name="一般 2" xfId="2"/>
    <cellStyle name="一般 2 2" xfId="147"/>
    <cellStyle name="一般 2 3" xfId="148"/>
    <cellStyle name="一般 2 4" xfId="146"/>
    <cellStyle name="一般 3" xfId="149"/>
    <cellStyle name="一般 4" xfId="150"/>
    <cellStyle name="一般 5" xfId="151"/>
    <cellStyle name="一般 6" xfId="152"/>
    <cellStyle name="千分位" xfId="197" builtinId="3"/>
    <cellStyle name="中等" xfId="153"/>
    <cellStyle name="合計" xfId="155"/>
    <cellStyle name="好" xfId="157"/>
    <cellStyle name="百分比" xfId="3" builtinId="5"/>
    <cellStyle name="百分比 2" xfId="167"/>
    <cellStyle name="計算方式" xfId="168"/>
    <cellStyle name="常规 3" xfId="158"/>
    <cellStyle name="常规_HZG1126 7.18出US T936" xfId="159"/>
    <cellStyle name="貨幣 2" xfId="171"/>
    <cellStyle name="連結的儲存格" xfId="180"/>
    <cellStyle name="備註" xfId="154"/>
    <cellStyle name="說明文字" xfId="169"/>
    <cellStyle name="輔色1" xfId="172"/>
    <cellStyle name="輔色2" xfId="173"/>
    <cellStyle name="輔色3" xfId="174"/>
    <cellStyle name="輔色4" xfId="175"/>
    <cellStyle name="輔色5" xfId="176"/>
    <cellStyle name="輔色6" xfId="177"/>
    <cellStyle name="標題" xfId="160"/>
    <cellStyle name="標題 1" xfId="161"/>
    <cellStyle name="標題 2" xfId="162"/>
    <cellStyle name="標題 3" xfId="163"/>
    <cellStyle name="標題 4" xfId="164"/>
    <cellStyle name="樣式 1" xfId="165"/>
    <cellStyle name="輸入" xfId="178"/>
    <cellStyle name="輸出" xfId="179"/>
    <cellStyle name="檢查儲存格" xfId="166"/>
    <cellStyle name="壞" xfId="156"/>
    <cellStyle name="警告文字" xfId="170"/>
    <cellStyle name="표준 3" xfId="14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10.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15.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16.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18.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19.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0.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11</xdr:col>
      <xdr:colOff>13607</xdr:colOff>
      <xdr:row>64</xdr:row>
      <xdr:rowOff>13608</xdr:rowOff>
    </xdr:from>
    <xdr:to>
      <xdr:col>11</xdr:col>
      <xdr:colOff>898071</xdr:colOff>
      <xdr:row>65</xdr:row>
      <xdr:rowOff>190502</xdr:rowOff>
    </xdr:to>
    <xdr:cxnSp macro="">
      <xdr:nvCxnSpPr>
        <xdr:cNvPr id="2" name="Straight Connector 1"/>
        <xdr:cNvCxnSpPr/>
      </xdr:nvCxnSpPr>
      <xdr:spPr>
        <a:xfrm flipV="1">
          <a:off x="9691007" y="11043558"/>
          <a:ext cx="884464"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64</xdr:row>
      <xdr:rowOff>40824</xdr:rowOff>
    </xdr:from>
    <xdr:to>
      <xdr:col>12</xdr:col>
      <xdr:colOff>898072</xdr:colOff>
      <xdr:row>65</xdr:row>
      <xdr:rowOff>190500</xdr:rowOff>
    </xdr:to>
    <xdr:cxnSp macro="">
      <xdr:nvCxnSpPr>
        <xdr:cNvPr id="3" name="Straight Connector 2"/>
        <xdr:cNvCxnSpPr/>
      </xdr:nvCxnSpPr>
      <xdr:spPr>
        <a:xfrm flipV="1">
          <a:off x="10620375" y="11070774"/>
          <a:ext cx="898072" cy="3497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64</xdr:row>
      <xdr:rowOff>40824</xdr:rowOff>
    </xdr:from>
    <xdr:to>
      <xdr:col>14</xdr:col>
      <xdr:colOff>884465</xdr:colOff>
      <xdr:row>65</xdr:row>
      <xdr:rowOff>176893</xdr:rowOff>
    </xdr:to>
    <xdr:cxnSp macro="">
      <xdr:nvCxnSpPr>
        <xdr:cNvPr id="4" name="Straight Connector 3"/>
        <xdr:cNvCxnSpPr/>
      </xdr:nvCxnSpPr>
      <xdr:spPr>
        <a:xfrm flipV="1">
          <a:off x="12504964" y="11070774"/>
          <a:ext cx="857251" cy="3360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64</xdr:row>
      <xdr:rowOff>27214</xdr:rowOff>
    </xdr:from>
    <xdr:to>
      <xdr:col>16</xdr:col>
      <xdr:colOff>0</xdr:colOff>
      <xdr:row>66</xdr:row>
      <xdr:rowOff>0</xdr:rowOff>
    </xdr:to>
    <xdr:cxnSp macro="">
      <xdr:nvCxnSpPr>
        <xdr:cNvPr id="5" name="Straight Connector 4"/>
        <xdr:cNvCxnSpPr/>
      </xdr:nvCxnSpPr>
      <xdr:spPr>
        <a:xfrm flipV="1">
          <a:off x="13401676" y="11057164"/>
          <a:ext cx="962024" cy="37283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64</xdr:row>
      <xdr:rowOff>1</xdr:rowOff>
    </xdr:from>
    <xdr:to>
      <xdr:col>11</xdr:col>
      <xdr:colOff>13607</xdr:colOff>
      <xdr:row>65</xdr:row>
      <xdr:rowOff>176895</xdr:rowOff>
    </xdr:to>
    <xdr:cxnSp macro="">
      <xdr:nvCxnSpPr>
        <xdr:cNvPr id="6" name="Straight Connector 5"/>
        <xdr:cNvCxnSpPr/>
      </xdr:nvCxnSpPr>
      <xdr:spPr>
        <a:xfrm flipV="1">
          <a:off x="8807904" y="11029951"/>
          <a:ext cx="883103"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70</xdr:row>
      <xdr:rowOff>13608</xdr:rowOff>
    </xdr:from>
    <xdr:to>
      <xdr:col>11</xdr:col>
      <xdr:colOff>898071</xdr:colOff>
      <xdr:row>71</xdr:row>
      <xdr:rowOff>190502</xdr:rowOff>
    </xdr:to>
    <xdr:cxnSp macro="">
      <xdr:nvCxnSpPr>
        <xdr:cNvPr id="7" name="Straight Connector 6"/>
        <xdr:cNvCxnSpPr/>
      </xdr:nvCxnSpPr>
      <xdr:spPr>
        <a:xfrm flipV="1">
          <a:off x="9691007" y="12325350"/>
          <a:ext cx="88446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8" name="Straight Connector 7"/>
        <xdr:cNvCxnSpPr/>
      </xdr:nvCxnSpPr>
      <xdr:spPr>
        <a:xfrm flipV="1">
          <a:off x="10620375" y="12325350"/>
          <a:ext cx="89807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9" name="Straight Connector 8"/>
        <xdr:cNvCxnSpPr/>
      </xdr:nvCxnSpPr>
      <xdr:spPr>
        <a:xfrm flipV="1">
          <a:off x="12504964" y="12325350"/>
          <a:ext cx="85725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70</xdr:row>
      <xdr:rowOff>13608</xdr:rowOff>
    </xdr:from>
    <xdr:to>
      <xdr:col>10</xdr:col>
      <xdr:colOff>884464</xdr:colOff>
      <xdr:row>72</xdr:row>
      <xdr:rowOff>0</xdr:rowOff>
    </xdr:to>
    <xdr:cxnSp macro="">
      <xdr:nvCxnSpPr>
        <xdr:cNvPr id="10" name="Straight Connector 9"/>
        <xdr:cNvCxnSpPr/>
      </xdr:nvCxnSpPr>
      <xdr:spPr>
        <a:xfrm flipV="1">
          <a:off x="8707211" y="12325350"/>
          <a:ext cx="93072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70</xdr:row>
      <xdr:rowOff>27217</xdr:rowOff>
    </xdr:from>
    <xdr:to>
      <xdr:col>15</xdr:col>
      <xdr:colOff>938894</xdr:colOff>
      <xdr:row>71</xdr:row>
      <xdr:rowOff>163286</xdr:rowOff>
    </xdr:to>
    <xdr:cxnSp macro="">
      <xdr:nvCxnSpPr>
        <xdr:cNvPr id="11" name="Straight Connector 10"/>
        <xdr:cNvCxnSpPr/>
      </xdr:nvCxnSpPr>
      <xdr:spPr>
        <a:xfrm flipV="1">
          <a:off x="13483318" y="12325350"/>
          <a:ext cx="85725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68</xdr:row>
      <xdr:rowOff>13608</xdr:rowOff>
    </xdr:from>
    <xdr:to>
      <xdr:col>11</xdr:col>
      <xdr:colOff>898071</xdr:colOff>
      <xdr:row>69</xdr:row>
      <xdr:rowOff>190502</xdr:rowOff>
    </xdr:to>
    <xdr:cxnSp macro="">
      <xdr:nvCxnSpPr>
        <xdr:cNvPr id="12" name="Straight Connector 11"/>
        <xdr:cNvCxnSpPr/>
      </xdr:nvCxnSpPr>
      <xdr:spPr>
        <a:xfrm flipV="1">
          <a:off x="9691007" y="11891283"/>
          <a:ext cx="884464" cy="4054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68</xdr:row>
      <xdr:rowOff>40824</xdr:rowOff>
    </xdr:from>
    <xdr:to>
      <xdr:col>12</xdr:col>
      <xdr:colOff>898072</xdr:colOff>
      <xdr:row>69</xdr:row>
      <xdr:rowOff>190500</xdr:rowOff>
    </xdr:to>
    <xdr:cxnSp macro="">
      <xdr:nvCxnSpPr>
        <xdr:cNvPr id="13" name="Straight Connector 12"/>
        <xdr:cNvCxnSpPr/>
      </xdr:nvCxnSpPr>
      <xdr:spPr>
        <a:xfrm flipV="1">
          <a:off x="10620375" y="11918499"/>
          <a:ext cx="898072" cy="3782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68</xdr:row>
      <xdr:rowOff>40824</xdr:rowOff>
    </xdr:from>
    <xdr:to>
      <xdr:col>14</xdr:col>
      <xdr:colOff>884465</xdr:colOff>
      <xdr:row>69</xdr:row>
      <xdr:rowOff>176893</xdr:rowOff>
    </xdr:to>
    <xdr:cxnSp macro="">
      <xdr:nvCxnSpPr>
        <xdr:cNvPr id="14" name="Straight Connector 13"/>
        <xdr:cNvCxnSpPr/>
      </xdr:nvCxnSpPr>
      <xdr:spPr>
        <a:xfrm flipV="1">
          <a:off x="12504964" y="11918499"/>
          <a:ext cx="857251" cy="3646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68</xdr:row>
      <xdr:rowOff>13608</xdr:rowOff>
    </xdr:from>
    <xdr:to>
      <xdr:col>10</xdr:col>
      <xdr:colOff>884464</xdr:colOff>
      <xdr:row>70</xdr:row>
      <xdr:rowOff>0</xdr:rowOff>
    </xdr:to>
    <xdr:cxnSp macro="">
      <xdr:nvCxnSpPr>
        <xdr:cNvPr id="15" name="Straight Connector 14"/>
        <xdr:cNvCxnSpPr/>
      </xdr:nvCxnSpPr>
      <xdr:spPr>
        <a:xfrm flipV="1">
          <a:off x="8707211" y="11891283"/>
          <a:ext cx="930728" cy="43406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68</xdr:row>
      <xdr:rowOff>27217</xdr:rowOff>
    </xdr:from>
    <xdr:to>
      <xdr:col>15</xdr:col>
      <xdr:colOff>938894</xdr:colOff>
      <xdr:row>69</xdr:row>
      <xdr:rowOff>163286</xdr:rowOff>
    </xdr:to>
    <xdr:cxnSp macro="">
      <xdr:nvCxnSpPr>
        <xdr:cNvPr id="16" name="Straight Connector 15"/>
        <xdr:cNvCxnSpPr/>
      </xdr:nvCxnSpPr>
      <xdr:spPr>
        <a:xfrm flipV="1">
          <a:off x="13483318" y="11904892"/>
          <a:ext cx="857251" cy="3646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66</xdr:row>
      <xdr:rowOff>13608</xdr:rowOff>
    </xdr:from>
    <xdr:to>
      <xdr:col>11</xdr:col>
      <xdr:colOff>898071</xdr:colOff>
      <xdr:row>67</xdr:row>
      <xdr:rowOff>190502</xdr:rowOff>
    </xdr:to>
    <xdr:cxnSp macro="">
      <xdr:nvCxnSpPr>
        <xdr:cNvPr id="17" name="Straight Connector 16"/>
        <xdr:cNvCxnSpPr/>
      </xdr:nvCxnSpPr>
      <xdr:spPr>
        <a:xfrm flipV="1">
          <a:off x="9691007" y="11443608"/>
          <a:ext cx="884464" cy="4054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66</xdr:row>
      <xdr:rowOff>40824</xdr:rowOff>
    </xdr:from>
    <xdr:to>
      <xdr:col>12</xdr:col>
      <xdr:colOff>898072</xdr:colOff>
      <xdr:row>67</xdr:row>
      <xdr:rowOff>190500</xdr:rowOff>
    </xdr:to>
    <xdr:cxnSp macro="">
      <xdr:nvCxnSpPr>
        <xdr:cNvPr id="18" name="Straight Connector 17"/>
        <xdr:cNvCxnSpPr/>
      </xdr:nvCxnSpPr>
      <xdr:spPr>
        <a:xfrm flipV="1">
          <a:off x="10620375" y="11470824"/>
          <a:ext cx="898072" cy="3782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66</xdr:row>
      <xdr:rowOff>13608</xdr:rowOff>
    </xdr:from>
    <xdr:to>
      <xdr:col>14</xdr:col>
      <xdr:colOff>911679</xdr:colOff>
      <xdr:row>67</xdr:row>
      <xdr:rowOff>204107</xdr:rowOff>
    </xdr:to>
    <xdr:cxnSp macro="">
      <xdr:nvCxnSpPr>
        <xdr:cNvPr id="19" name="Straight Connector 18"/>
        <xdr:cNvCxnSpPr/>
      </xdr:nvCxnSpPr>
      <xdr:spPr>
        <a:xfrm flipV="1">
          <a:off x="12466864" y="11443608"/>
          <a:ext cx="922565" cy="4190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66</xdr:row>
      <xdr:rowOff>13608</xdr:rowOff>
    </xdr:from>
    <xdr:to>
      <xdr:col>10</xdr:col>
      <xdr:colOff>884464</xdr:colOff>
      <xdr:row>68</xdr:row>
      <xdr:rowOff>0</xdr:rowOff>
    </xdr:to>
    <xdr:cxnSp macro="">
      <xdr:nvCxnSpPr>
        <xdr:cNvPr id="20" name="Straight Connector 19"/>
        <xdr:cNvCxnSpPr/>
      </xdr:nvCxnSpPr>
      <xdr:spPr>
        <a:xfrm flipV="1">
          <a:off x="8707211" y="11443608"/>
          <a:ext cx="930728" cy="43406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66</xdr:row>
      <xdr:rowOff>27217</xdr:rowOff>
    </xdr:from>
    <xdr:to>
      <xdr:col>15</xdr:col>
      <xdr:colOff>938894</xdr:colOff>
      <xdr:row>67</xdr:row>
      <xdr:rowOff>163286</xdr:rowOff>
    </xdr:to>
    <xdr:cxnSp macro="">
      <xdr:nvCxnSpPr>
        <xdr:cNvPr id="21" name="Straight Connector 20"/>
        <xdr:cNvCxnSpPr/>
      </xdr:nvCxnSpPr>
      <xdr:spPr>
        <a:xfrm flipV="1">
          <a:off x="13483318" y="11457217"/>
          <a:ext cx="857251" cy="3646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22" name="Straight Connector 21"/>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23" name="Straight Connector 22"/>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24" name="Straight Connector 23"/>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25" name="Straight Connector 24"/>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26" name="Straight Connector 25"/>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27" name="Straight Connector 26"/>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28" name="Straight Connector 27"/>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29" name="Straight Connector 28"/>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84</xdr:row>
      <xdr:rowOff>13608</xdr:rowOff>
    </xdr:from>
    <xdr:to>
      <xdr:col>12</xdr:col>
      <xdr:colOff>27214</xdr:colOff>
      <xdr:row>85</xdr:row>
      <xdr:rowOff>190502</xdr:rowOff>
    </xdr:to>
    <xdr:cxnSp macro="">
      <xdr:nvCxnSpPr>
        <xdr:cNvPr id="30" name="Straight Connector 29"/>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84</xdr:row>
      <xdr:rowOff>13608</xdr:rowOff>
    </xdr:from>
    <xdr:to>
      <xdr:col>11</xdr:col>
      <xdr:colOff>51026</xdr:colOff>
      <xdr:row>86</xdr:row>
      <xdr:rowOff>0</xdr:rowOff>
    </xdr:to>
    <xdr:cxnSp macro="">
      <xdr:nvCxnSpPr>
        <xdr:cNvPr id="31" name="Straight Connector 30"/>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84</xdr:row>
      <xdr:rowOff>17011</xdr:rowOff>
    </xdr:from>
    <xdr:to>
      <xdr:col>12</xdr:col>
      <xdr:colOff>916780</xdr:colOff>
      <xdr:row>85</xdr:row>
      <xdr:rowOff>192201</xdr:rowOff>
    </xdr:to>
    <xdr:cxnSp macro="">
      <xdr:nvCxnSpPr>
        <xdr:cNvPr id="32" name="Straight Connector 31"/>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84</xdr:row>
      <xdr:rowOff>18714</xdr:rowOff>
    </xdr:from>
    <xdr:to>
      <xdr:col>15</xdr:col>
      <xdr:colOff>887864</xdr:colOff>
      <xdr:row>85</xdr:row>
      <xdr:rowOff>190500</xdr:rowOff>
    </xdr:to>
    <xdr:cxnSp macro="">
      <xdr:nvCxnSpPr>
        <xdr:cNvPr id="33" name="Straight Connector 32"/>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86</xdr:row>
      <xdr:rowOff>13608</xdr:rowOff>
    </xdr:from>
    <xdr:to>
      <xdr:col>12</xdr:col>
      <xdr:colOff>27214</xdr:colOff>
      <xdr:row>87</xdr:row>
      <xdr:rowOff>190502</xdr:rowOff>
    </xdr:to>
    <xdr:cxnSp macro="">
      <xdr:nvCxnSpPr>
        <xdr:cNvPr id="34" name="Straight Connector 33"/>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86</xdr:row>
      <xdr:rowOff>13608</xdr:rowOff>
    </xdr:from>
    <xdr:to>
      <xdr:col>11</xdr:col>
      <xdr:colOff>51026</xdr:colOff>
      <xdr:row>88</xdr:row>
      <xdr:rowOff>0</xdr:rowOff>
    </xdr:to>
    <xdr:cxnSp macro="">
      <xdr:nvCxnSpPr>
        <xdr:cNvPr id="35" name="Straight Connector 34"/>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86</xdr:row>
      <xdr:rowOff>17011</xdr:rowOff>
    </xdr:from>
    <xdr:to>
      <xdr:col>12</xdr:col>
      <xdr:colOff>916780</xdr:colOff>
      <xdr:row>87</xdr:row>
      <xdr:rowOff>192201</xdr:rowOff>
    </xdr:to>
    <xdr:cxnSp macro="">
      <xdr:nvCxnSpPr>
        <xdr:cNvPr id="36" name="Straight Connector 35"/>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86</xdr:row>
      <xdr:rowOff>18714</xdr:rowOff>
    </xdr:from>
    <xdr:to>
      <xdr:col>15</xdr:col>
      <xdr:colOff>887864</xdr:colOff>
      <xdr:row>87</xdr:row>
      <xdr:rowOff>190500</xdr:rowOff>
    </xdr:to>
    <xdr:cxnSp macro="">
      <xdr:nvCxnSpPr>
        <xdr:cNvPr id="37" name="Straight Connector 36"/>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38" name="Straight Connector 37"/>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39" name="Straight Connector 38"/>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40" name="Straight Connector 39"/>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41" name="Straight Connector 40"/>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42" name="Straight Connector 41"/>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43" name="Straight Connector 42"/>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44" name="Straight Connector 43"/>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90</xdr:row>
      <xdr:rowOff>3</xdr:rowOff>
    </xdr:from>
    <xdr:to>
      <xdr:col>15</xdr:col>
      <xdr:colOff>40822</xdr:colOff>
      <xdr:row>91</xdr:row>
      <xdr:rowOff>149679</xdr:rowOff>
    </xdr:to>
    <xdr:cxnSp macro="">
      <xdr:nvCxnSpPr>
        <xdr:cNvPr id="45" name="Straight Connector 44"/>
        <xdr:cNvCxnSpPr/>
      </xdr:nvCxnSpPr>
      <xdr:spPr>
        <a:xfrm flipV="1">
          <a:off x="12515170" y="12639675"/>
          <a:ext cx="92732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46" name="Straight Connector 45"/>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93</xdr:row>
      <xdr:rowOff>13608</xdr:rowOff>
    </xdr:from>
    <xdr:to>
      <xdr:col>12</xdr:col>
      <xdr:colOff>27214</xdr:colOff>
      <xdr:row>94</xdr:row>
      <xdr:rowOff>190502</xdr:rowOff>
    </xdr:to>
    <xdr:cxnSp macro="">
      <xdr:nvCxnSpPr>
        <xdr:cNvPr id="47" name="Straight Connector 46"/>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93</xdr:row>
      <xdr:rowOff>13608</xdr:rowOff>
    </xdr:from>
    <xdr:to>
      <xdr:col>11</xdr:col>
      <xdr:colOff>51026</xdr:colOff>
      <xdr:row>95</xdr:row>
      <xdr:rowOff>0</xdr:rowOff>
    </xdr:to>
    <xdr:cxnSp macro="">
      <xdr:nvCxnSpPr>
        <xdr:cNvPr id="48" name="Straight Connector 47"/>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93</xdr:row>
      <xdr:rowOff>17011</xdr:rowOff>
    </xdr:from>
    <xdr:to>
      <xdr:col>12</xdr:col>
      <xdr:colOff>916780</xdr:colOff>
      <xdr:row>94</xdr:row>
      <xdr:rowOff>192201</xdr:rowOff>
    </xdr:to>
    <xdr:cxnSp macro="">
      <xdr:nvCxnSpPr>
        <xdr:cNvPr id="49" name="Straight Connector 48"/>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93</xdr:row>
      <xdr:rowOff>18714</xdr:rowOff>
    </xdr:from>
    <xdr:to>
      <xdr:col>15</xdr:col>
      <xdr:colOff>887864</xdr:colOff>
      <xdr:row>94</xdr:row>
      <xdr:rowOff>190500</xdr:rowOff>
    </xdr:to>
    <xdr:cxnSp macro="">
      <xdr:nvCxnSpPr>
        <xdr:cNvPr id="50" name="Straight Connector 49"/>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95</xdr:row>
      <xdr:rowOff>13608</xdr:rowOff>
    </xdr:from>
    <xdr:to>
      <xdr:col>12</xdr:col>
      <xdr:colOff>27214</xdr:colOff>
      <xdr:row>96</xdr:row>
      <xdr:rowOff>190502</xdr:rowOff>
    </xdr:to>
    <xdr:cxnSp macro="">
      <xdr:nvCxnSpPr>
        <xdr:cNvPr id="51" name="Straight Connector 50"/>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95</xdr:row>
      <xdr:rowOff>13608</xdr:rowOff>
    </xdr:from>
    <xdr:to>
      <xdr:col>11</xdr:col>
      <xdr:colOff>51026</xdr:colOff>
      <xdr:row>97</xdr:row>
      <xdr:rowOff>0</xdr:rowOff>
    </xdr:to>
    <xdr:cxnSp macro="">
      <xdr:nvCxnSpPr>
        <xdr:cNvPr id="52" name="Straight Connector 51"/>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95</xdr:row>
      <xdr:rowOff>17011</xdr:rowOff>
    </xdr:from>
    <xdr:to>
      <xdr:col>12</xdr:col>
      <xdr:colOff>916780</xdr:colOff>
      <xdr:row>96</xdr:row>
      <xdr:rowOff>192201</xdr:rowOff>
    </xdr:to>
    <xdr:cxnSp macro="">
      <xdr:nvCxnSpPr>
        <xdr:cNvPr id="53" name="Straight Connector 52"/>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95</xdr:row>
      <xdr:rowOff>18714</xdr:rowOff>
    </xdr:from>
    <xdr:to>
      <xdr:col>15</xdr:col>
      <xdr:colOff>887864</xdr:colOff>
      <xdr:row>96</xdr:row>
      <xdr:rowOff>190500</xdr:rowOff>
    </xdr:to>
    <xdr:cxnSp macro="">
      <xdr:nvCxnSpPr>
        <xdr:cNvPr id="54" name="Straight Connector 53"/>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55" name="Straight Connector 54"/>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56" name="Straight Connector 55"/>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57" name="Straight Connector 56"/>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97</xdr:row>
      <xdr:rowOff>3</xdr:rowOff>
    </xdr:from>
    <xdr:to>
      <xdr:col>15</xdr:col>
      <xdr:colOff>40822</xdr:colOff>
      <xdr:row>98</xdr:row>
      <xdr:rowOff>149679</xdr:rowOff>
    </xdr:to>
    <xdr:cxnSp macro="">
      <xdr:nvCxnSpPr>
        <xdr:cNvPr id="58" name="Straight Connector 57"/>
        <xdr:cNvCxnSpPr/>
      </xdr:nvCxnSpPr>
      <xdr:spPr>
        <a:xfrm flipV="1">
          <a:off x="12515170" y="12639675"/>
          <a:ext cx="92732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59" name="Straight Connector 58"/>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60" name="Straight Connector 59"/>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61" name="Straight Connector 60"/>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62" name="Straight Connector 61"/>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99</xdr:row>
      <xdr:rowOff>3</xdr:rowOff>
    </xdr:from>
    <xdr:to>
      <xdr:col>15</xdr:col>
      <xdr:colOff>40822</xdr:colOff>
      <xdr:row>100</xdr:row>
      <xdr:rowOff>149679</xdr:rowOff>
    </xdr:to>
    <xdr:cxnSp macro="">
      <xdr:nvCxnSpPr>
        <xdr:cNvPr id="63" name="Straight Connector 62"/>
        <xdr:cNvCxnSpPr/>
      </xdr:nvCxnSpPr>
      <xdr:spPr>
        <a:xfrm flipV="1">
          <a:off x="12515170" y="12639675"/>
          <a:ext cx="92732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64" name="Straight Connector 63"/>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73</xdr:row>
      <xdr:rowOff>13608</xdr:rowOff>
    </xdr:from>
    <xdr:to>
      <xdr:col>12</xdr:col>
      <xdr:colOff>27214</xdr:colOff>
      <xdr:row>74</xdr:row>
      <xdr:rowOff>190502</xdr:rowOff>
    </xdr:to>
    <xdr:cxnSp macro="">
      <xdr:nvCxnSpPr>
        <xdr:cNvPr id="65" name="Straight Connector 64"/>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73</xdr:row>
      <xdr:rowOff>13608</xdr:rowOff>
    </xdr:from>
    <xdr:to>
      <xdr:col>11</xdr:col>
      <xdr:colOff>51026</xdr:colOff>
      <xdr:row>75</xdr:row>
      <xdr:rowOff>0</xdr:rowOff>
    </xdr:to>
    <xdr:cxnSp macro="">
      <xdr:nvCxnSpPr>
        <xdr:cNvPr id="66" name="Straight Connector 65"/>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73</xdr:row>
      <xdr:rowOff>17011</xdr:rowOff>
    </xdr:from>
    <xdr:to>
      <xdr:col>12</xdr:col>
      <xdr:colOff>916780</xdr:colOff>
      <xdr:row>74</xdr:row>
      <xdr:rowOff>192201</xdr:rowOff>
    </xdr:to>
    <xdr:cxnSp macro="">
      <xdr:nvCxnSpPr>
        <xdr:cNvPr id="67" name="Straight Connector 66"/>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75</xdr:row>
      <xdr:rowOff>40825</xdr:rowOff>
    </xdr:from>
    <xdr:to>
      <xdr:col>15</xdr:col>
      <xdr:colOff>54429</xdr:colOff>
      <xdr:row>76</xdr:row>
      <xdr:rowOff>190501</xdr:rowOff>
    </xdr:to>
    <xdr:cxnSp macro="">
      <xdr:nvCxnSpPr>
        <xdr:cNvPr id="68" name="Straight Connector 67"/>
        <xdr:cNvCxnSpPr/>
      </xdr:nvCxnSpPr>
      <xdr:spPr>
        <a:xfrm flipV="1">
          <a:off x="12528777" y="12639675"/>
          <a:ext cx="92732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73</xdr:row>
      <xdr:rowOff>18714</xdr:rowOff>
    </xdr:from>
    <xdr:to>
      <xdr:col>15</xdr:col>
      <xdr:colOff>887864</xdr:colOff>
      <xdr:row>74</xdr:row>
      <xdr:rowOff>190500</xdr:rowOff>
    </xdr:to>
    <xdr:cxnSp macro="">
      <xdr:nvCxnSpPr>
        <xdr:cNvPr id="69" name="Straight Connector 68"/>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70" name="Straight Connector 69"/>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71" name="Straight Connector 70"/>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72" name="Straight Connector 71"/>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73" name="Straight Connector 72"/>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75</xdr:row>
      <xdr:rowOff>13608</xdr:rowOff>
    </xdr:from>
    <xdr:to>
      <xdr:col>12</xdr:col>
      <xdr:colOff>27214</xdr:colOff>
      <xdr:row>76</xdr:row>
      <xdr:rowOff>190502</xdr:rowOff>
    </xdr:to>
    <xdr:cxnSp macro="">
      <xdr:nvCxnSpPr>
        <xdr:cNvPr id="74" name="Straight Connector 73"/>
        <xdr:cNvCxnSpPr/>
      </xdr:nvCxnSpPr>
      <xdr:spPr>
        <a:xfrm flipV="1">
          <a:off x="9759042" y="12639675"/>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75</xdr:row>
      <xdr:rowOff>13608</xdr:rowOff>
    </xdr:from>
    <xdr:to>
      <xdr:col>11</xdr:col>
      <xdr:colOff>51026</xdr:colOff>
      <xdr:row>77</xdr:row>
      <xdr:rowOff>0</xdr:rowOff>
    </xdr:to>
    <xdr:cxnSp macro="">
      <xdr:nvCxnSpPr>
        <xdr:cNvPr id="75" name="Straight Connector 74"/>
        <xdr:cNvCxnSpPr/>
      </xdr:nvCxnSpPr>
      <xdr:spPr>
        <a:xfrm flipV="1">
          <a:off x="8767082" y="12639675"/>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75</xdr:row>
      <xdr:rowOff>17011</xdr:rowOff>
    </xdr:from>
    <xdr:to>
      <xdr:col>12</xdr:col>
      <xdr:colOff>916780</xdr:colOff>
      <xdr:row>76</xdr:row>
      <xdr:rowOff>192201</xdr:rowOff>
    </xdr:to>
    <xdr:cxnSp macro="">
      <xdr:nvCxnSpPr>
        <xdr:cNvPr id="76" name="Straight Connector 75"/>
        <xdr:cNvCxnSpPr/>
      </xdr:nvCxnSpPr>
      <xdr:spPr>
        <a:xfrm flipV="1">
          <a:off x="10654393"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75</xdr:row>
      <xdr:rowOff>18714</xdr:rowOff>
    </xdr:from>
    <xdr:to>
      <xdr:col>15</xdr:col>
      <xdr:colOff>887864</xdr:colOff>
      <xdr:row>76</xdr:row>
      <xdr:rowOff>190500</xdr:rowOff>
    </xdr:to>
    <xdr:cxnSp macro="">
      <xdr:nvCxnSpPr>
        <xdr:cNvPr id="77" name="Straight Connector 76"/>
        <xdr:cNvCxnSpPr/>
      </xdr:nvCxnSpPr>
      <xdr:spPr>
        <a:xfrm flipV="1">
          <a:off x="13428889" y="12639675"/>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95</xdr:row>
      <xdr:rowOff>17010</xdr:rowOff>
    </xdr:from>
    <xdr:to>
      <xdr:col>14</xdr:col>
      <xdr:colOff>903173</xdr:colOff>
      <xdr:row>96</xdr:row>
      <xdr:rowOff>192200</xdr:rowOff>
    </xdr:to>
    <xdr:cxnSp macro="">
      <xdr:nvCxnSpPr>
        <xdr:cNvPr id="78" name="Straight Connector 77"/>
        <xdr:cNvCxnSpPr/>
      </xdr:nvCxnSpPr>
      <xdr:spPr>
        <a:xfrm flipV="1">
          <a:off x="12498161"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88</xdr:row>
      <xdr:rowOff>3404</xdr:rowOff>
    </xdr:from>
    <xdr:to>
      <xdr:col>15</xdr:col>
      <xdr:colOff>5101</xdr:colOff>
      <xdr:row>89</xdr:row>
      <xdr:rowOff>178593</xdr:rowOff>
    </xdr:to>
    <xdr:cxnSp macro="">
      <xdr:nvCxnSpPr>
        <xdr:cNvPr id="79" name="Straight Connector 78"/>
        <xdr:cNvCxnSpPr/>
      </xdr:nvCxnSpPr>
      <xdr:spPr>
        <a:xfrm flipV="1">
          <a:off x="12525375" y="12639675"/>
          <a:ext cx="8814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86</xdr:row>
      <xdr:rowOff>17011</xdr:rowOff>
    </xdr:from>
    <xdr:to>
      <xdr:col>15</xdr:col>
      <xdr:colOff>5101</xdr:colOff>
      <xdr:row>87</xdr:row>
      <xdr:rowOff>192201</xdr:rowOff>
    </xdr:to>
    <xdr:cxnSp macro="">
      <xdr:nvCxnSpPr>
        <xdr:cNvPr id="80" name="Straight Connector 79"/>
        <xdr:cNvCxnSpPr/>
      </xdr:nvCxnSpPr>
      <xdr:spPr>
        <a:xfrm flipV="1">
          <a:off x="12525375" y="12639675"/>
          <a:ext cx="8814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84</xdr:row>
      <xdr:rowOff>17011</xdr:rowOff>
    </xdr:from>
    <xdr:to>
      <xdr:col>14</xdr:col>
      <xdr:colOff>916780</xdr:colOff>
      <xdr:row>85</xdr:row>
      <xdr:rowOff>192201</xdr:rowOff>
    </xdr:to>
    <xdr:cxnSp macro="">
      <xdr:nvCxnSpPr>
        <xdr:cNvPr id="81" name="Straight Connector 80"/>
        <xdr:cNvCxnSpPr/>
      </xdr:nvCxnSpPr>
      <xdr:spPr>
        <a:xfrm flipV="1">
          <a:off x="12511768" y="12639675"/>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81</xdr:row>
      <xdr:rowOff>17011</xdr:rowOff>
    </xdr:from>
    <xdr:to>
      <xdr:col>15</xdr:col>
      <xdr:colOff>32315</xdr:colOff>
      <xdr:row>82</xdr:row>
      <xdr:rowOff>192201</xdr:rowOff>
    </xdr:to>
    <xdr:cxnSp macro="">
      <xdr:nvCxnSpPr>
        <xdr:cNvPr id="82" name="Straight Connector 81"/>
        <xdr:cNvCxnSpPr/>
      </xdr:nvCxnSpPr>
      <xdr:spPr>
        <a:xfrm flipV="1">
          <a:off x="12552589" y="12639675"/>
          <a:ext cx="8814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79</xdr:row>
      <xdr:rowOff>17011</xdr:rowOff>
    </xdr:from>
    <xdr:to>
      <xdr:col>15</xdr:col>
      <xdr:colOff>32315</xdr:colOff>
      <xdr:row>80</xdr:row>
      <xdr:rowOff>192201</xdr:rowOff>
    </xdr:to>
    <xdr:cxnSp macro="">
      <xdr:nvCxnSpPr>
        <xdr:cNvPr id="83" name="Straight Connector 82"/>
        <xdr:cNvCxnSpPr/>
      </xdr:nvCxnSpPr>
      <xdr:spPr>
        <a:xfrm flipV="1">
          <a:off x="12552589" y="12639675"/>
          <a:ext cx="8814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77</xdr:row>
      <xdr:rowOff>3403</xdr:rowOff>
    </xdr:from>
    <xdr:to>
      <xdr:col>15</xdr:col>
      <xdr:colOff>18708</xdr:colOff>
      <xdr:row>78</xdr:row>
      <xdr:rowOff>178593</xdr:rowOff>
    </xdr:to>
    <xdr:cxnSp macro="">
      <xdr:nvCxnSpPr>
        <xdr:cNvPr id="84" name="Straight Connector 83"/>
        <xdr:cNvCxnSpPr/>
      </xdr:nvCxnSpPr>
      <xdr:spPr>
        <a:xfrm flipV="1">
          <a:off x="12538982" y="12639675"/>
          <a:ext cx="8814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46</xdr:row>
      <xdr:rowOff>27214</xdr:rowOff>
    </xdr:from>
    <xdr:to>
      <xdr:col>15</xdr:col>
      <xdr:colOff>898072</xdr:colOff>
      <xdr:row>47</xdr:row>
      <xdr:rowOff>149678</xdr:rowOff>
    </xdr:to>
    <xdr:cxnSp macro="">
      <xdr:nvCxnSpPr>
        <xdr:cNvPr id="85" name="Straight Connector 84"/>
        <xdr:cNvCxnSpPr/>
      </xdr:nvCxnSpPr>
      <xdr:spPr>
        <a:xfrm flipV="1">
          <a:off x="13428889" y="847725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46</xdr:row>
      <xdr:rowOff>13607</xdr:rowOff>
    </xdr:from>
    <xdr:to>
      <xdr:col>10</xdr:col>
      <xdr:colOff>911677</xdr:colOff>
      <xdr:row>48</xdr:row>
      <xdr:rowOff>0</xdr:rowOff>
    </xdr:to>
    <xdr:cxnSp macro="">
      <xdr:nvCxnSpPr>
        <xdr:cNvPr id="86" name="Straight Connector 85"/>
        <xdr:cNvCxnSpPr/>
      </xdr:nvCxnSpPr>
      <xdr:spPr>
        <a:xfrm flipV="1">
          <a:off x="8767082" y="847725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46</xdr:row>
      <xdr:rowOff>13608</xdr:rowOff>
    </xdr:from>
    <xdr:to>
      <xdr:col>12</xdr:col>
      <xdr:colOff>27214</xdr:colOff>
      <xdr:row>47</xdr:row>
      <xdr:rowOff>190502</xdr:rowOff>
    </xdr:to>
    <xdr:cxnSp macro="">
      <xdr:nvCxnSpPr>
        <xdr:cNvPr id="87" name="Straight Connector 86"/>
        <xdr:cNvCxnSpPr/>
      </xdr:nvCxnSpPr>
      <xdr:spPr>
        <a:xfrm flipV="1">
          <a:off x="9759042" y="847725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46</xdr:row>
      <xdr:rowOff>17011</xdr:rowOff>
    </xdr:from>
    <xdr:to>
      <xdr:col>12</xdr:col>
      <xdr:colOff>916780</xdr:colOff>
      <xdr:row>47</xdr:row>
      <xdr:rowOff>192201</xdr:rowOff>
    </xdr:to>
    <xdr:cxnSp macro="">
      <xdr:nvCxnSpPr>
        <xdr:cNvPr id="88" name="Straight Connector 87"/>
        <xdr:cNvCxnSpPr/>
      </xdr:nvCxnSpPr>
      <xdr:spPr>
        <a:xfrm flipV="1">
          <a:off x="10654393" y="847725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46</xdr:row>
      <xdr:rowOff>54428</xdr:rowOff>
    </xdr:from>
    <xdr:to>
      <xdr:col>14</xdr:col>
      <xdr:colOff>884463</xdr:colOff>
      <xdr:row>47</xdr:row>
      <xdr:rowOff>163285</xdr:rowOff>
    </xdr:to>
    <xdr:cxnSp macro="">
      <xdr:nvCxnSpPr>
        <xdr:cNvPr id="89" name="Straight Connector 88"/>
        <xdr:cNvCxnSpPr/>
      </xdr:nvCxnSpPr>
      <xdr:spPr>
        <a:xfrm flipV="1">
          <a:off x="12480469" y="847725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90" name="Straight Connector 89"/>
        <xdr:cNvCxnSpPr/>
      </xdr:nvCxnSpPr>
      <xdr:spPr>
        <a:xfrm flipV="1">
          <a:off x="13428889" y="847725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91" name="Straight Connector 90"/>
        <xdr:cNvCxnSpPr/>
      </xdr:nvCxnSpPr>
      <xdr:spPr>
        <a:xfrm flipV="1">
          <a:off x="8767082" y="847725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92" name="Straight Connector 91"/>
        <xdr:cNvCxnSpPr/>
      </xdr:nvCxnSpPr>
      <xdr:spPr>
        <a:xfrm flipV="1">
          <a:off x="9759042" y="847725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93" name="Straight Connector 92"/>
        <xdr:cNvCxnSpPr/>
      </xdr:nvCxnSpPr>
      <xdr:spPr>
        <a:xfrm flipV="1">
          <a:off x="10654393" y="847725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94" name="Straight Connector 93"/>
        <xdr:cNvCxnSpPr/>
      </xdr:nvCxnSpPr>
      <xdr:spPr>
        <a:xfrm flipV="1">
          <a:off x="12480469" y="847725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73</xdr:row>
      <xdr:rowOff>13610</xdr:rowOff>
    </xdr:from>
    <xdr:to>
      <xdr:col>15</xdr:col>
      <xdr:colOff>54429</xdr:colOff>
      <xdr:row>74</xdr:row>
      <xdr:rowOff>163286</xdr:rowOff>
    </xdr:to>
    <xdr:cxnSp macro="">
      <xdr:nvCxnSpPr>
        <xdr:cNvPr id="95" name="Straight Connector 94"/>
        <xdr:cNvCxnSpPr/>
      </xdr:nvCxnSpPr>
      <xdr:spPr>
        <a:xfrm flipV="1">
          <a:off x="12528777" y="12639675"/>
          <a:ext cx="92732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39</xdr:row>
      <xdr:rowOff>13607</xdr:rowOff>
    </xdr:from>
    <xdr:to>
      <xdr:col>10</xdr:col>
      <xdr:colOff>911677</xdr:colOff>
      <xdr:row>41</xdr:row>
      <xdr:rowOff>0</xdr:rowOff>
    </xdr:to>
    <xdr:cxnSp macro="">
      <xdr:nvCxnSpPr>
        <xdr:cNvPr id="96" name="Straight Connector 95"/>
        <xdr:cNvCxnSpPr/>
      </xdr:nvCxnSpPr>
      <xdr:spPr>
        <a:xfrm flipV="1">
          <a:off x="8767082" y="847725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39</xdr:row>
      <xdr:rowOff>13608</xdr:rowOff>
    </xdr:from>
    <xdr:to>
      <xdr:col>12</xdr:col>
      <xdr:colOff>27214</xdr:colOff>
      <xdr:row>40</xdr:row>
      <xdr:rowOff>190502</xdr:rowOff>
    </xdr:to>
    <xdr:cxnSp macro="">
      <xdr:nvCxnSpPr>
        <xdr:cNvPr id="97" name="Straight Connector 96"/>
        <xdr:cNvCxnSpPr/>
      </xdr:nvCxnSpPr>
      <xdr:spPr>
        <a:xfrm flipV="1">
          <a:off x="9759042" y="847725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39</xdr:row>
      <xdr:rowOff>17011</xdr:rowOff>
    </xdr:from>
    <xdr:to>
      <xdr:col>12</xdr:col>
      <xdr:colOff>916780</xdr:colOff>
      <xdr:row>40</xdr:row>
      <xdr:rowOff>192201</xdr:rowOff>
    </xdr:to>
    <xdr:cxnSp macro="">
      <xdr:nvCxnSpPr>
        <xdr:cNvPr id="98" name="Straight Connector 97"/>
        <xdr:cNvCxnSpPr/>
      </xdr:nvCxnSpPr>
      <xdr:spPr>
        <a:xfrm flipV="1">
          <a:off x="10654393" y="847725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39</xdr:row>
      <xdr:rowOff>54428</xdr:rowOff>
    </xdr:from>
    <xdr:to>
      <xdr:col>14</xdr:col>
      <xdr:colOff>884463</xdr:colOff>
      <xdr:row>40</xdr:row>
      <xdr:rowOff>163285</xdr:rowOff>
    </xdr:to>
    <xdr:cxnSp macro="">
      <xdr:nvCxnSpPr>
        <xdr:cNvPr id="99" name="Straight Connector 98"/>
        <xdr:cNvCxnSpPr/>
      </xdr:nvCxnSpPr>
      <xdr:spPr>
        <a:xfrm flipV="1">
          <a:off x="12480469" y="847725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43</xdr:row>
      <xdr:rowOff>27214</xdr:rowOff>
    </xdr:from>
    <xdr:to>
      <xdr:col>15</xdr:col>
      <xdr:colOff>898072</xdr:colOff>
      <xdr:row>44</xdr:row>
      <xdr:rowOff>149678</xdr:rowOff>
    </xdr:to>
    <xdr:cxnSp macro="">
      <xdr:nvCxnSpPr>
        <xdr:cNvPr id="100" name="Straight Connector 99"/>
        <xdr:cNvCxnSpPr/>
      </xdr:nvCxnSpPr>
      <xdr:spPr>
        <a:xfrm flipV="1">
          <a:off x="13428889" y="847725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43</xdr:row>
      <xdr:rowOff>13607</xdr:rowOff>
    </xdr:from>
    <xdr:to>
      <xdr:col>10</xdr:col>
      <xdr:colOff>911677</xdr:colOff>
      <xdr:row>45</xdr:row>
      <xdr:rowOff>0</xdr:rowOff>
    </xdr:to>
    <xdr:cxnSp macro="">
      <xdr:nvCxnSpPr>
        <xdr:cNvPr id="101" name="Straight Connector 100"/>
        <xdr:cNvCxnSpPr/>
      </xdr:nvCxnSpPr>
      <xdr:spPr>
        <a:xfrm flipV="1">
          <a:off x="8767082" y="847725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102" name="Straight Connector 101"/>
        <xdr:cNvCxnSpPr/>
      </xdr:nvCxnSpPr>
      <xdr:spPr>
        <a:xfrm flipV="1">
          <a:off x="9759042" y="847725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103" name="Straight Connector 102"/>
        <xdr:cNvCxnSpPr/>
      </xdr:nvCxnSpPr>
      <xdr:spPr>
        <a:xfrm flipV="1">
          <a:off x="10654393" y="847725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43</xdr:row>
      <xdr:rowOff>54428</xdr:rowOff>
    </xdr:from>
    <xdr:to>
      <xdr:col>14</xdr:col>
      <xdr:colOff>884463</xdr:colOff>
      <xdr:row>44</xdr:row>
      <xdr:rowOff>163285</xdr:rowOff>
    </xdr:to>
    <xdr:cxnSp macro="">
      <xdr:nvCxnSpPr>
        <xdr:cNvPr id="104" name="Straight Connector 103"/>
        <xdr:cNvCxnSpPr/>
      </xdr:nvCxnSpPr>
      <xdr:spPr>
        <a:xfrm flipV="1">
          <a:off x="12480469" y="847725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41</xdr:row>
      <xdr:rowOff>27214</xdr:rowOff>
    </xdr:from>
    <xdr:to>
      <xdr:col>15</xdr:col>
      <xdr:colOff>898072</xdr:colOff>
      <xdr:row>42</xdr:row>
      <xdr:rowOff>149678</xdr:rowOff>
    </xdr:to>
    <xdr:cxnSp macro="">
      <xdr:nvCxnSpPr>
        <xdr:cNvPr id="105" name="Straight Connector 104"/>
        <xdr:cNvCxnSpPr/>
      </xdr:nvCxnSpPr>
      <xdr:spPr>
        <a:xfrm flipV="1">
          <a:off x="13428889" y="847725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41</xdr:row>
      <xdr:rowOff>13607</xdr:rowOff>
    </xdr:from>
    <xdr:to>
      <xdr:col>10</xdr:col>
      <xdr:colOff>911677</xdr:colOff>
      <xdr:row>43</xdr:row>
      <xdr:rowOff>0</xdr:rowOff>
    </xdr:to>
    <xdr:cxnSp macro="">
      <xdr:nvCxnSpPr>
        <xdr:cNvPr id="106" name="Straight Connector 105"/>
        <xdr:cNvCxnSpPr/>
      </xdr:nvCxnSpPr>
      <xdr:spPr>
        <a:xfrm flipV="1">
          <a:off x="8767082" y="847725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41</xdr:row>
      <xdr:rowOff>13608</xdr:rowOff>
    </xdr:from>
    <xdr:to>
      <xdr:col>12</xdr:col>
      <xdr:colOff>27214</xdr:colOff>
      <xdr:row>42</xdr:row>
      <xdr:rowOff>190502</xdr:rowOff>
    </xdr:to>
    <xdr:cxnSp macro="">
      <xdr:nvCxnSpPr>
        <xdr:cNvPr id="107" name="Straight Connector 106"/>
        <xdr:cNvCxnSpPr/>
      </xdr:nvCxnSpPr>
      <xdr:spPr>
        <a:xfrm flipV="1">
          <a:off x="9759042" y="847725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41</xdr:row>
      <xdr:rowOff>17011</xdr:rowOff>
    </xdr:from>
    <xdr:to>
      <xdr:col>12</xdr:col>
      <xdr:colOff>916780</xdr:colOff>
      <xdr:row>42</xdr:row>
      <xdr:rowOff>192201</xdr:rowOff>
    </xdr:to>
    <xdr:cxnSp macro="">
      <xdr:nvCxnSpPr>
        <xdr:cNvPr id="108" name="Straight Connector 107"/>
        <xdr:cNvCxnSpPr/>
      </xdr:nvCxnSpPr>
      <xdr:spPr>
        <a:xfrm flipV="1">
          <a:off x="10654393" y="847725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41</xdr:row>
      <xdr:rowOff>54428</xdr:rowOff>
    </xdr:from>
    <xdr:to>
      <xdr:col>14</xdr:col>
      <xdr:colOff>884463</xdr:colOff>
      <xdr:row>42</xdr:row>
      <xdr:rowOff>163285</xdr:rowOff>
    </xdr:to>
    <xdr:cxnSp macro="">
      <xdr:nvCxnSpPr>
        <xdr:cNvPr id="109" name="Straight Connector 108"/>
        <xdr:cNvCxnSpPr/>
      </xdr:nvCxnSpPr>
      <xdr:spPr>
        <a:xfrm flipV="1">
          <a:off x="12480469" y="847725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104</xdr:row>
      <xdr:rowOff>0</xdr:rowOff>
    </xdr:from>
    <xdr:ext cx="17150072" cy="3743326"/>
    <xdr:pic>
      <xdr:nvPicPr>
        <xdr:cNvPr id="110" name="Picture 109"/>
        <xdr:cNvPicPr>
          <a:picLocks noChangeAspect="1" noChangeArrowheads="1"/>
          <a:extLst/>
        </xdr:cNvPicPr>
      </xdr:nvPicPr>
      <xdr:blipFill>
        <a:blip xmlns:r="http://schemas.openxmlformats.org/officeDocument/2006/relationships" r:embed="rId1"/>
        <a:srcRect/>
        <a:stretch>
          <a:fillRect/>
        </a:stretch>
      </xdr:blipFill>
      <xdr:spPr bwMode="auto">
        <a:xfrm>
          <a:off x="1038225" y="131445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120</xdr:row>
      <xdr:rowOff>176894</xdr:rowOff>
    </xdr:from>
    <xdr:ext cx="18008063" cy="3743325"/>
    <xdr:pic>
      <xdr:nvPicPr>
        <xdr:cNvPr id="111" name="Picture 110"/>
        <xdr:cNvPicPr>
          <a:picLocks noChangeAspect="1" noChangeArrowheads="1"/>
          <a:extLst/>
        </xdr:cNvPicPr>
      </xdr:nvPicPr>
      <xdr:blipFill>
        <a:blip xmlns:r="http://schemas.openxmlformats.org/officeDocument/2006/relationships" r:embed="rId2"/>
        <a:srcRect/>
        <a:stretch>
          <a:fillRect/>
        </a:stretch>
      </xdr:blipFill>
      <xdr:spPr bwMode="auto">
        <a:xfrm>
          <a:off x="1050471" y="16855169"/>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32</xdr:row>
      <xdr:rowOff>13608</xdr:rowOff>
    </xdr:from>
    <xdr:to>
      <xdr:col>12</xdr:col>
      <xdr:colOff>27214</xdr:colOff>
      <xdr:row>33</xdr:row>
      <xdr:rowOff>190502</xdr:rowOff>
    </xdr:to>
    <xdr:cxnSp macro="">
      <xdr:nvCxnSpPr>
        <xdr:cNvPr id="112" name="Straight Connector 111"/>
        <xdr:cNvCxnSpPr/>
      </xdr:nvCxnSpPr>
      <xdr:spPr>
        <a:xfrm flipV="1">
          <a:off x="9759042" y="69763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13" name="Straight Connector 112"/>
        <xdr:cNvCxnSpPr/>
      </xdr:nvCxnSpPr>
      <xdr:spPr>
        <a:xfrm flipV="1">
          <a:off x="10654393" y="69797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32</xdr:row>
      <xdr:rowOff>0</xdr:rowOff>
    </xdr:from>
    <xdr:to>
      <xdr:col>15</xdr:col>
      <xdr:colOff>0</xdr:colOff>
      <xdr:row>33</xdr:row>
      <xdr:rowOff>190501</xdr:rowOff>
    </xdr:to>
    <xdr:cxnSp macro="">
      <xdr:nvCxnSpPr>
        <xdr:cNvPr id="114" name="Straight Connector 113"/>
        <xdr:cNvCxnSpPr/>
      </xdr:nvCxnSpPr>
      <xdr:spPr>
        <a:xfrm flipV="1">
          <a:off x="12466864" y="6962775"/>
          <a:ext cx="934811" cy="390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27215</xdr:rowOff>
    </xdr:from>
    <xdr:to>
      <xdr:col>10</xdr:col>
      <xdr:colOff>911678</xdr:colOff>
      <xdr:row>34</xdr:row>
      <xdr:rowOff>0</xdr:rowOff>
    </xdr:to>
    <xdr:cxnSp macro="">
      <xdr:nvCxnSpPr>
        <xdr:cNvPr id="115" name="Straight Connector 114"/>
        <xdr:cNvCxnSpPr/>
      </xdr:nvCxnSpPr>
      <xdr:spPr>
        <a:xfrm flipV="1">
          <a:off x="8753475" y="6989990"/>
          <a:ext cx="911678" cy="37283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32</xdr:row>
      <xdr:rowOff>13607</xdr:rowOff>
    </xdr:from>
    <xdr:to>
      <xdr:col>16</xdr:col>
      <xdr:colOff>0</xdr:colOff>
      <xdr:row>34</xdr:row>
      <xdr:rowOff>0</xdr:rowOff>
    </xdr:to>
    <xdr:cxnSp macro="">
      <xdr:nvCxnSpPr>
        <xdr:cNvPr id="116" name="Straight Connector 115"/>
        <xdr:cNvCxnSpPr/>
      </xdr:nvCxnSpPr>
      <xdr:spPr>
        <a:xfrm flipV="1">
          <a:off x="13428889" y="6976382"/>
          <a:ext cx="934811" cy="38644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48</xdr:row>
      <xdr:rowOff>40821</xdr:rowOff>
    </xdr:from>
    <xdr:to>
      <xdr:col>15</xdr:col>
      <xdr:colOff>952500</xdr:colOff>
      <xdr:row>49</xdr:row>
      <xdr:rowOff>163285</xdr:rowOff>
    </xdr:to>
    <xdr:cxnSp macro="">
      <xdr:nvCxnSpPr>
        <xdr:cNvPr id="117" name="Straight Connector 116"/>
        <xdr:cNvCxnSpPr/>
      </xdr:nvCxnSpPr>
      <xdr:spPr>
        <a:xfrm flipV="1">
          <a:off x="13483317" y="847725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48</xdr:row>
      <xdr:rowOff>13607</xdr:rowOff>
    </xdr:from>
    <xdr:to>
      <xdr:col>10</xdr:col>
      <xdr:colOff>911677</xdr:colOff>
      <xdr:row>50</xdr:row>
      <xdr:rowOff>0</xdr:rowOff>
    </xdr:to>
    <xdr:cxnSp macro="">
      <xdr:nvCxnSpPr>
        <xdr:cNvPr id="118" name="Straight Connector 117"/>
        <xdr:cNvCxnSpPr/>
      </xdr:nvCxnSpPr>
      <xdr:spPr>
        <a:xfrm flipV="1">
          <a:off x="8767082" y="847725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48</xdr:row>
      <xdr:rowOff>13608</xdr:rowOff>
    </xdr:from>
    <xdr:to>
      <xdr:col>12</xdr:col>
      <xdr:colOff>27214</xdr:colOff>
      <xdr:row>49</xdr:row>
      <xdr:rowOff>190502</xdr:rowOff>
    </xdr:to>
    <xdr:cxnSp macro="">
      <xdr:nvCxnSpPr>
        <xdr:cNvPr id="119" name="Straight Connector 118"/>
        <xdr:cNvCxnSpPr/>
      </xdr:nvCxnSpPr>
      <xdr:spPr>
        <a:xfrm flipV="1">
          <a:off x="9759042" y="847725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48</xdr:row>
      <xdr:rowOff>17011</xdr:rowOff>
    </xdr:from>
    <xdr:to>
      <xdr:col>12</xdr:col>
      <xdr:colOff>916780</xdr:colOff>
      <xdr:row>49</xdr:row>
      <xdr:rowOff>192201</xdr:rowOff>
    </xdr:to>
    <xdr:cxnSp macro="">
      <xdr:nvCxnSpPr>
        <xdr:cNvPr id="120" name="Straight Connector 119"/>
        <xdr:cNvCxnSpPr/>
      </xdr:nvCxnSpPr>
      <xdr:spPr>
        <a:xfrm flipV="1">
          <a:off x="10654393" y="847725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48</xdr:row>
      <xdr:rowOff>54428</xdr:rowOff>
    </xdr:from>
    <xdr:to>
      <xdr:col>14</xdr:col>
      <xdr:colOff>884463</xdr:colOff>
      <xdr:row>49</xdr:row>
      <xdr:rowOff>163285</xdr:rowOff>
    </xdr:to>
    <xdr:cxnSp macro="">
      <xdr:nvCxnSpPr>
        <xdr:cNvPr id="121" name="Straight Connector 120"/>
        <xdr:cNvCxnSpPr/>
      </xdr:nvCxnSpPr>
      <xdr:spPr>
        <a:xfrm flipV="1">
          <a:off x="12480469" y="847725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50</xdr:row>
      <xdr:rowOff>27214</xdr:rowOff>
    </xdr:from>
    <xdr:to>
      <xdr:col>15</xdr:col>
      <xdr:colOff>898072</xdr:colOff>
      <xdr:row>51</xdr:row>
      <xdr:rowOff>149678</xdr:rowOff>
    </xdr:to>
    <xdr:cxnSp macro="">
      <xdr:nvCxnSpPr>
        <xdr:cNvPr id="122" name="Straight Connector 121"/>
        <xdr:cNvCxnSpPr/>
      </xdr:nvCxnSpPr>
      <xdr:spPr>
        <a:xfrm flipV="1">
          <a:off x="13428889" y="847725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50</xdr:row>
      <xdr:rowOff>13607</xdr:rowOff>
    </xdr:from>
    <xdr:to>
      <xdr:col>10</xdr:col>
      <xdr:colOff>911677</xdr:colOff>
      <xdr:row>52</xdr:row>
      <xdr:rowOff>0</xdr:rowOff>
    </xdr:to>
    <xdr:cxnSp macro="">
      <xdr:nvCxnSpPr>
        <xdr:cNvPr id="123" name="Straight Connector 122"/>
        <xdr:cNvCxnSpPr/>
      </xdr:nvCxnSpPr>
      <xdr:spPr>
        <a:xfrm flipV="1">
          <a:off x="8767082" y="847725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124" name="Straight Connector 123"/>
        <xdr:cNvCxnSpPr/>
      </xdr:nvCxnSpPr>
      <xdr:spPr>
        <a:xfrm flipV="1">
          <a:off x="9759042" y="847725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125" name="Straight Connector 124"/>
        <xdr:cNvCxnSpPr/>
      </xdr:nvCxnSpPr>
      <xdr:spPr>
        <a:xfrm flipV="1">
          <a:off x="10654393" y="847725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50</xdr:row>
      <xdr:rowOff>54428</xdr:rowOff>
    </xdr:from>
    <xdr:to>
      <xdr:col>14</xdr:col>
      <xdr:colOff>884463</xdr:colOff>
      <xdr:row>51</xdr:row>
      <xdr:rowOff>163285</xdr:rowOff>
    </xdr:to>
    <xdr:cxnSp macro="">
      <xdr:nvCxnSpPr>
        <xdr:cNvPr id="126" name="Straight Connector 125"/>
        <xdr:cNvCxnSpPr/>
      </xdr:nvCxnSpPr>
      <xdr:spPr>
        <a:xfrm flipV="1">
          <a:off x="12480469" y="847725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52</xdr:row>
      <xdr:rowOff>27214</xdr:rowOff>
    </xdr:from>
    <xdr:to>
      <xdr:col>15</xdr:col>
      <xdr:colOff>898072</xdr:colOff>
      <xdr:row>53</xdr:row>
      <xdr:rowOff>149678</xdr:rowOff>
    </xdr:to>
    <xdr:cxnSp macro="">
      <xdr:nvCxnSpPr>
        <xdr:cNvPr id="127" name="Straight Connector 126"/>
        <xdr:cNvCxnSpPr/>
      </xdr:nvCxnSpPr>
      <xdr:spPr>
        <a:xfrm flipV="1">
          <a:off x="13428889" y="847725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128" name="Straight Connector 127"/>
        <xdr:cNvCxnSpPr/>
      </xdr:nvCxnSpPr>
      <xdr:spPr>
        <a:xfrm flipV="1">
          <a:off x="8767082" y="847725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29" name="Straight Connector 128"/>
        <xdr:cNvCxnSpPr/>
      </xdr:nvCxnSpPr>
      <xdr:spPr>
        <a:xfrm flipV="1">
          <a:off x="9759042" y="847725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30" name="Straight Connector 129"/>
        <xdr:cNvCxnSpPr/>
      </xdr:nvCxnSpPr>
      <xdr:spPr>
        <a:xfrm flipV="1">
          <a:off x="10654393" y="847725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131" name="Straight Connector 130"/>
        <xdr:cNvCxnSpPr/>
      </xdr:nvCxnSpPr>
      <xdr:spPr>
        <a:xfrm flipV="1">
          <a:off x="12480469" y="847725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132" name="Straight Connector 131"/>
        <xdr:cNvCxnSpPr/>
      </xdr:nvCxnSpPr>
      <xdr:spPr>
        <a:xfrm flipV="1">
          <a:off x="13428889" y="847725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33" name="Straight Connector 132"/>
        <xdr:cNvCxnSpPr/>
      </xdr:nvCxnSpPr>
      <xdr:spPr>
        <a:xfrm flipV="1">
          <a:off x="8767082" y="847725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34" name="Straight Connector 133"/>
        <xdr:cNvCxnSpPr/>
      </xdr:nvCxnSpPr>
      <xdr:spPr>
        <a:xfrm flipV="1">
          <a:off x="9759042" y="847725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35" name="Straight Connector 134"/>
        <xdr:cNvCxnSpPr/>
      </xdr:nvCxnSpPr>
      <xdr:spPr>
        <a:xfrm flipV="1">
          <a:off x="10654393" y="847725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36" name="Straight Connector 135"/>
        <xdr:cNvCxnSpPr/>
      </xdr:nvCxnSpPr>
      <xdr:spPr>
        <a:xfrm flipV="1">
          <a:off x="12480469" y="847725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37" name="Straight Connector 136"/>
        <xdr:cNvCxnSpPr/>
      </xdr:nvCxnSpPr>
      <xdr:spPr>
        <a:xfrm flipV="1">
          <a:off x="9759042" y="657633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38" name="Straight Connector 137"/>
        <xdr:cNvCxnSpPr/>
      </xdr:nvCxnSpPr>
      <xdr:spPr>
        <a:xfrm flipV="1">
          <a:off x="10654393" y="65797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39" name="Straight Connector 138"/>
        <xdr:cNvCxnSpPr/>
      </xdr:nvCxnSpPr>
      <xdr:spPr>
        <a:xfrm flipV="1">
          <a:off x="12504963" y="660354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27215</xdr:rowOff>
    </xdr:from>
    <xdr:to>
      <xdr:col>10</xdr:col>
      <xdr:colOff>911678</xdr:colOff>
      <xdr:row>32</xdr:row>
      <xdr:rowOff>0</xdr:rowOff>
    </xdr:to>
    <xdr:cxnSp macro="">
      <xdr:nvCxnSpPr>
        <xdr:cNvPr id="140" name="Straight Connector 139"/>
        <xdr:cNvCxnSpPr/>
      </xdr:nvCxnSpPr>
      <xdr:spPr>
        <a:xfrm flipV="1">
          <a:off x="8753475" y="6589940"/>
          <a:ext cx="911678" cy="37283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30</xdr:row>
      <xdr:rowOff>13607</xdr:rowOff>
    </xdr:from>
    <xdr:to>
      <xdr:col>16</xdr:col>
      <xdr:colOff>0</xdr:colOff>
      <xdr:row>31</xdr:row>
      <xdr:rowOff>190500</xdr:rowOff>
    </xdr:to>
    <xdr:cxnSp macro="">
      <xdr:nvCxnSpPr>
        <xdr:cNvPr id="141" name="Straight Connector 140"/>
        <xdr:cNvCxnSpPr/>
      </xdr:nvCxnSpPr>
      <xdr:spPr>
        <a:xfrm flipV="1">
          <a:off x="13401675" y="6576332"/>
          <a:ext cx="962025" cy="37691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39</xdr:row>
      <xdr:rowOff>27216</xdr:rowOff>
    </xdr:from>
    <xdr:to>
      <xdr:col>16</xdr:col>
      <xdr:colOff>27215</xdr:colOff>
      <xdr:row>40</xdr:row>
      <xdr:rowOff>176893</xdr:rowOff>
    </xdr:to>
    <xdr:cxnSp macro="">
      <xdr:nvCxnSpPr>
        <xdr:cNvPr id="142" name="Straight Connector 141"/>
        <xdr:cNvCxnSpPr/>
      </xdr:nvCxnSpPr>
      <xdr:spPr>
        <a:xfrm flipV="1">
          <a:off x="13456103" y="8477250"/>
          <a:ext cx="93481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24</xdr:row>
      <xdr:rowOff>13608</xdr:rowOff>
    </xdr:from>
    <xdr:to>
      <xdr:col>12</xdr:col>
      <xdr:colOff>27214</xdr:colOff>
      <xdr:row>25</xdr:row>
      <xdr:rowOff>190502</xdr:rowOff>
    </xdr:to>
    <xdr:cxnSp macro="">
      <xdr:nvCxnSpPr>
        <xdr:cNvPr id="143" name="Straight Connector 142"/>
        <xdr:cNvCxnSpPr/>
      </xdr:nvCxnSpPr>
      <xdr:spPr>
        <a:xfrm flipV="1">
          <a:off x="9759042" y="577623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44" name="Straight Connector 143"/>
        <xdr:cNvCxnSpPr/>
      </xdr:nvCxnSpPr>
      <xdr:spPr>
        <a:xfrm flipV="1">
          <a:off x="10654393" y="57796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45" name="Straight Connector 144"/>
        <xdr:cNvCxnSpPr/>
      </xdr:nvCxnSpPr>
      <xdr:spPr>
        <a:xfrm flipV="1">
          <a:off x="12504963" y="580344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24</xdr:row>
      <xdr:rowOff>27216</xdr:rowOff>
    </xdr:from>
    <xdr:to>
      <xdr:col>10</xdr:col>
      <xdr:colOff>898071</xdr:colOff>
      <xdr:row>26</xdr:row>
      <xdr:rowOff>0</xdr:rowOff>
    </xdr:to>
    <xdr:cxnSp macro="">
      <xdr:nvCxnSpPr>
        <xdr:cNvPr id="146" name="Straight Connector 145"/>
        <xdr:cNvCxnSpPr/>
      </xdr:nvCxnSpPr>
      <xdr:spPr>
        <a:xfrm flipV="1">
          <a:off x="8753475" y="5789841"/>
          <a:ext cx="898071" cy="37283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47" name="Straight Connector 146"/>
        <xdr:cNvCxnSpPr/>
      </xdr:nvCxnSpPr>
      <xdr:spPr>
        <a:xfrm flipV="1">
          <a:off x="13456103" y="578984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898071</xdr:colOff>
      <xdr:row>4</xdr:row>
      <xdr:rowOff>0</xdr:rowOff>
    </xdr:from>
    <xdr:to>
      <xdr:col>16</xdr:col>
      <xdr:colOff>13607</xdr:colOff>
      <xdr:row>4</xdr:row>
      <xdr:rowOff>1</xdr:rowOff>
    </xdr:to>
    <xdr:cxnSp macro="">
      <xdr:nvCxnSpPr>
        <xdr:cNvPr id="148" name="Straight Connector 147"/>
        <xdr:cNvCxnSpPr/>
      </xdr:nvCxnSpPr>
      <xdr:spPr>
        <a:xfrm flipV="1">
          <a:off x="13375821" y="2162175"/>
          <a:ext cx="100148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49" name="Straight Connector 148"/>
        <xdr:cNvCxnSpPr/>
      </xdr:nvCxnSpPr>
      <xdr:spPr>
        <a:xfrm flipV="1">
          <a:off x="9759042" y="21757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0</xdr:colOff>
      <xdr:row>5</xdr:row>
      <xdr:rowOff>192202</xdr:rowOff>
    </xdr:to>
    <xdr:cxnSp macro="">
      <xdr:nvCxnSpPr>
        <xdr:cNvPr id="150" name="Straight Connector 149"/>
        <xdr:cNvCxnSpPr/>
      </xdr:nvCxnSpPr>
      <xdr:spPr>
        <a:xfrm flipV="1">
          <a:off x="10654393" y="2162175"/>
          <a:ext cx="928007" cy="39222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4</xdr:row>
      <xdr:rowOff>0</xdr:rowOff>
    </xdr:from>
    <xdr:to>
      <xdr:col>15</xdr:col>
      <xdr:colOff>13607</xdr:colOff>
      <xdr:row>5</xdr:row>
      <xdr:rowOff>190501</xdr:rowOff>
    </xdr:to>
    <xdr:cxnSp macro="">
      <xdr:nvCxnSpPr>
        <xdr:cNvPr id="151" name="Straight Connector 150"/>
        <xdr:cNvCxnSpPr/>
      </xdr:nvCxnSpPr>
      <xdr:spPr>
        <a:xfrm flipV="1">
          <a:off x="12504964" y="2162175"/>
          <a:ext cx="910318" cy="390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4</xdr:row>
      <xdr:rowOff>2</xdr:rowOff>
    </xdr:from>
    <xdr:to>
      <xdr:col>11</xdr:col>
      <xdr:colOff>40820</xdr:colOff>
      <xdr:row>5</xdr:row>
      <xdr:rowOff>176893</xdr:rowOff>
    </xdr:to>
    <xdr:cxnSp macro="">
      <xdr:nvCxnSpPr>
        <xdr:cNvPr id="152" name="Straight Connector 151"/>
        <xdr:cNvCxnSpPr/>
      </xdr:nvCxnSpPr>
      <xdr:spPr>
        <a:xfrm flipV="1">
          <a:off x="8821510" y="2162177"/>
          <a:ext cx="896710" cy="3769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13607</xdr:rowOff>
    </xdr:from>
    <xdr:to>
      <xdr:col>16</xdr:col>
      <xdr:colOff>27214</xdr:colOff>
      <xdr:row>5</xdr:row>
      <xdr:rowOff>176893</xdr:rowOff>
    </xdr:to>
    <xdr:cxnSp macro="">
      <xdr:nvCxnSpPr>
        <xdr:cNvPr id="153" name="Straight Connector 152"/>
        <xdr:cNvCxnSpPr/>
      </xdr:nvCxnSpPr>
      <xdr:spPr>
        <a:xfrm flipV="1">
          <a:off x="13456103" y="2175782"/>
          <a:ext cx="934811" cy="36331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154" name="Straight Connector 153"/>
        <xdr:cNvCxnSpPr/>
      </xdr:nvCxnSpPr>
      <xdr:spPr>
        <a:xfrm flipV="1">
          <a:off x="9759042" y="77764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55" name="Straight Connector 154"/>
        <xdr:cNvCxnSpPr/>
      </xdr:nvCxnSpPr>
      <xdr:spPr>
        <a:xfrm flipV="1">
          <a:off x="10654393" y="77798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36</xdr:row>
      <xdr:rowOff>40821</xdr:rowOff>
    </xdr:from>
    <xdr:to>
      <xdr:col>14</xdr:col>
      <xdr:colOff>911678</xdr:colOff>
      <xdr:row>37</xdr:row>
      <xdr:rowOff>149677</xdr:rowOff>
    </xdr:to>
    <xdr:cxnSp macro="">
      <xdr:nvCxnSpPr>
        <xdr:cNvPr id="156" name="Straight Connector 155"/>
        <xdr:cNvCxnSpPr/>
      </xdr:nvCxnSpPr>
      <xdr:spPr>
        <a:xfrm flipV="1">
          <a:off x="12504963" y="78036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157" name="Straight Connector 156"/>
        <xdr:cNvCxnSpPr/>
      </xdr:nvCxnSpPr>
      <xdr:spPr>
        <a:xfrm flipV="1">
          <a:off x="8753475" y="7790090"/>
          <a:ext cx="911678" cy="37283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158" name="Straight Connector 157"/>
        <xdr:cNvCxnSpPr/>
      </xdr:nvCxnSpPr>
      <xdr:spPr>
        <a:xfrm flipV="1">
          <a:off x="13456103" y="77900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22</xdr:row>
      <xdr:rowOff>13608</xdr:rowOff>
    </xdr:from>
    <xdr:to>
      <xdr:col>12</xdr:col>
      <xdr:colOff>27214</xdr:colOff>
      <xdr:row>23</xdr:row>
      <xdr:rowOff>190502</xdr:rowOff>
    </xdr:to>
    <xdr:cxnSp macro="">
      <xdr:nvCxnSpPr>
        <xdr:cNvPr id="160" name="Straight Connector 159"/>
        <xdr:cNvCxnSpPr/>
      </xdr:nvCxnSpPr>
      <xdr:spPr>
        <a:xfrm flipV="1">
          <a:off x="9759042" y="53761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161" name="Straight Connector 160"/>
        <xdr:cNvCxnSpPr/>
      </xdr:nvCxnSpPr>
      <xdr:spPr>
        <a:xfrm flipV="1">
          <a:off x="10654393" y="53795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162" name="Straight Connector 161"/>
        <xdr:cNvCxnSpPr/>
      </xdr:nvCxnSpPr>
      <xdr:spPr>
        <a:xfrm flipV="1">
          <a:off x="12504963" y="54033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13609</xdr:rowOff>
    </xdr:from>
    <xdr:to>
      <xdr:col>10</xdr:col>
      <xdr:colOff>911678</xdr:colOff>
      <xdr:row>23</xdr:row>
      <xdr:rowOff>190501</xdr:rowOff>
    </xdr:to>
    <xdr:cxnSp macro="">
      <xdr:nvCxnSpPr>
        <xdr:cNvPr id="163" name="Straight Connector 162"/>
        <xdr:cNvCxnSpPr/>
      </xdr:nvCxnSpPr>
      <xdr:spPr>
        <a:xfrm flipV="1">
          <a:off x="8767082" y="5376184"/>
          <a:ext cx="898071" cy="37691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164" name="Straight Connector 163"/>
        <xdr:cNvCxnSpPr/>
      </xdr:nvCxnSpPr>
      <xdr:spPr>
        <a:xfrm flipV="1">
          <a:off x="13456103" y="53897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34</xdr:row>
      <xdr:rowOff>13608</xdr:rowOff>
    </xdr:from>
    <xdr:to>
      <xdr:col>12</xdr:col>
      <xdr:colOff>27214</xdr:colOff>
      <xdr:row>35</xdr:row>
      <xdr:rowOff>190500</xdr:rowOff>
    </xdr:to>
    <xdr:cxnSp macro="">
      <xdr:nvCxnSpPr>
        <xdr:cNvPr id="165" name="Straight Connector 164"/>
        <xdr:cNvCxnSpPr/>
      </xdr:nvCxnSpPr>
      <xdr:spPr>
        <a:xfrm flipV="1">
          <a:off x="9704614" y="7376433"/>
          <a:ext cx="942975" cy="37691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66" name="Straight Connector 165"/>
        <xdr:cNvCxnSpPr/>
      </xdr:nvCxnSpPr>
      <xdr:spPr>
        <a:xfrm flipV="1">
          <a:off x="10654393" y="73798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33</xdr:row>
      <xdr:rowOff>190500</xdr:rowOff>
    </xdr:from>
    <xdr:to>
      <xdr:col>15</xdr:col>
      <xdr:colOff>27214</xdr:colOff>
      <xdr:row>35</xdr:row>
      <xdr:rowOff>176894</xdr:rowOff>
    </xdr:to>
    <xdr:cxnSp macro="">
      <xdr:nvCxnSpPr>
        <xdr:cNvPr id="167" name="Straight Connector 166"/>
        <xdr:cNvCxnSpPr/>
      </xdr:nvCxnSpPr>
      <xdr:spPr>
        <a:xfrm flipV="1">
          <a:off x="12504964" y="7353300"/>
          <a:ext cx="923925" cy="38644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34</xdr:row>
      <xdr:rowOff>0</xdr:rowOff>
    </xdr:from>
    <xdr:to>
      <xdr:col>11</xdr:col>
      <xdr:colOff>13607</xdr:colOff>
      <xdr:row>35</xdr:row>
      <xdr:rowOff>176892</xdr:rowOff>
    </xdr:to>
    <xdr:cxnSp macro="">
      <xdr:nvCxnSpPr>
        <xdr:cNvPr id="168" name="Straight Connector 167"/>
        <xdr:cNvCxnSpPr/>
      </xdr:nvCxnSpPr>
      <xdr:spPr>
        <a:xfrm flipV="1">
          <a:off x="8780690" y="7362825"/>
          <a:ext cx="910317" cy="37691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34</xdr:row>
      <xdr:rowOff>0</xdr:rowOff>
    </xdr:from>
    <xdr:to>
      <xdr:col>15</xdr:col>
      <xdr:colOff>952500</xdr:colOff>
      <xdr:row>35</xdr:row>
      <xdr:rowOff>190501</xdr:rowOff>
    </xdr:to>
    <xdr:cxnSp macro="">
      <xdr:nvCxnSpPr>
        <xdr:cNvPr id="169" name="Straight Connector 168"/>
        <xdr:cNvCxnSpPr/>
      </xdr:nvCxnSpPr>
      <xdr:spPr>
        <a:xfrm flipV="1">
          <a:off x="13389429" y="7362825"/>
          <a:ext cx="964746" cy="390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28</xdr:row>
      <xdr:rowOff>13608</xdr:rowOff>
    </xdr:from>
    <xdr:to>
      <xdr:col>12</xdr:col>
      <xdr:colOff>27214</xdr:colOff>
      <xdr:row>29</xdr:row>
      <xdr:rowOff>190502</xdr:rowOff>
    </xdr:to>
    <xdr:cxnSp macro="">
      <xdr:nvCxnSpPr>
        <xdr:cNvPr id="170" name="Straight Connector 169"/>
        <xdr:cNvCxnSpPr/>
      </xdr:nvCxnSpPr>
      <xdr:spPr>
        <a:xfrm flipV="1">
          <a:off x="9759042" y="61762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71" name="Straight Connector 170"/>
        <xdr:cNvCxnSpPr/>
      </xdr:nvCxnSpPr>
      <xdr:spPr>
        <a:xfrm flipV="1">
          <a:off x="10654393" y="61796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72" name="Straight Connector 171"/>
        <xdr:cNvCxnSpPr/>
      </xdr:nvCxnSpPr>
      <xdr:spPr>
        <a:xfrm flipV="1">
          <a:off x="12504963" y="62034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28</xdr:row>
      <xdr:rowOff>27216</xdr:rowOff>
    </xdr:from>
    <xdr:to>
      <xdr:col>10</xdr:col>
      <xdr:colOff>898071</xdr:colOff>
      <xdr:row>30</xdr:row>
      <xdr:rowOff>0</xdr:rowOff>
    </xdr:to>
    <xdr:cxnSp macro="">
      <xdr:nvCxnSpPr>
        <xdr:cNvPr id="173" name="Straight Connector 172"/>
        <xdr:cNvCxnSpPr/>
      </xdr:nvCxnSpPr>
      <xdr:spPr>
        <a:xfrm flipV="1">
          <a:off x="8753475" y="6189891"/>
          <a:ext cx="898071" cy="37283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74" name="Straight Connector 173"/>
        <xdr:cNvCxnSpPr/>
      </xdr:nvCxnSpPr>
      <xdr:spPr>
        <a:xfrm flipV="1">
          <a:off x="13456103" y="61898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175" name="Straight Connector 174"/>
        <xdr:cNvCxnSpPr/>
      </xdr:nvCxnSpPr>
      <xdr:spPr>
        <a:xfrm flipV="1">
          <a:off x="9759042" y="417603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76" name="Straight Connector 175"/>
        <xdr:cNvCxnSpPr/>
      </xdr:nvCxnSpPr>
      <xdr:spPr>
        <a:xfrm flipV="1">
          <a:off x="10654393" y="41794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77" name="Straight Connector 176"/>
        <xdr:cNvCxnSpPr/>
      </xdr:nvCxnSpPr>
      <xdr:spPr>
        <a:xfrm flipV="1">
          <a:off x="12504963" y="420324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178" name="Straight Connector 177"/>
        <xdr:cNvCxnSpPr/>
      </xdr:nvCxnSpPr>
      <xdr:spPr>
        <a:xfrm flipV="1">
          <a:off x="8821510" y="4162427"/>
          <a:ext cx="896710" cy="3769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79" name="Straight Connector 178"/>
        <xdr:cNvCxnSpPr/>
      </xdr:nvCxnSpPr>
      <xdr:spPr>
        <a:xfrm flipV="1">
          <a:off x="13456103" y="418964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80" name="Straight Connector 179"/>
        <xdr:cNvCxnSpPr/>
      </xdr:nvCxnSpPr>
      <xdr:spPr>
        <a:xfrm flipV="1">
          <a:off x="9691007" y="4976134"/>
          <a:ext cx="956582" cy="3864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81" name="Straight Connector 180"/>
        <xdr:cNvCxnSpPr/>
      </xdr:nvCxnSpPr>
      <xdr:spPr>
        <a:xfrm flipV="1">
          <a:off x="10654393" y="49795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82" name="Straight Connector 181"/>
        <xdr:cNvCxnSpPr/>
      </xdr:nvCxnSpPr>
      <xdr:spPr>
        <a:xfrm flipV="1">
          <a:off x="12504963" y="500334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83" name="Straight Connector 182"/>
        <xdr:cNvCxnSpPr/>
      </xdr:nvCxnSpPr>
      <xdr:spPr>
        <a:xfrm flipV="1">
          <a:off x="8767082" y="4962527"/>
          <a:ext cx="951138" cy="4000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184" name="Straight Connector 183"/>
        <xdr:cNvCxnSpPr/>
      </xdr:nvCxnSpPr>
      <xdr:spPr>
        <a:xfrm flipV="1">
          <a:off x="13456103" y="498974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90" name="Straight Connector 189"/>
        <xdr:cNvCxnSpPr/>
      </xdr:nvCxnSpPr>
      <xdr:spPr>
        <a:xfrm flipV="1">
          <a:off x="9691007" y="4576084"/>
          <a:ext cx="956582" cy="3864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91" name="Straight Connector 190"/>
        <xdr:cNvCxnSpPr/>
      </xdr:nvCxnSpPr>
      <xdr:spPr>
        <a:xfrm flipV="1">
          <a:off x="10654393" y="45794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92" name="Straight Connector 191"/>
        <xdr:cNvCxnSpPr/>
      </xdr:nvCxnSpPr>
      <xdr:spPr>
        <a:xfrm flipV="1">
          <a:off x="12504963" y="46032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3</xdr:rowOff>
    </xdr:from>
    <xdr:to>
      <xdr:col>11</xdr:col>
      <xdr:colOff>40820</xdr:colOff>
      <xdr:row>18</xdr:row>
      <xdr:rowOff>13607</xdr:rowOff>
    </xdr:to>
    <xdr:cxnSp macro="">
      <xdr:nvCxnSpPr>
        <xdr:cNvPr id="193" name="Straight Connector 192"/>
        <xdr:cNvCxnSpPr/>
      </xdr:nvCxnSpPr>
      <xdr:spPr>
        <a:xfrm flipV="1">
          <a:off x="8763000" y="5021039"/>
          <a:ext cx="952499" cy="42181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94" name="Straight Connector 193"/>
        <xdr:cNvCxnSpPr/>
      </xdr:nvCxnSpPr>
      <xdr:spPr>
        <a:xfrm flipV="1">
          <a:off x="13456103" y="45896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95" name="Straight Connector 194"/>
        <xdr:cNvCxnSpPr/>
      </xdr:nvCxnSpPr>
      <xdr:spPr>
        <a:xfrm flipV="1">
          <a:off x="9759042" y="29758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96" name="Straight Connector 195"/>
        <xdr:cNvCxnSpPr/>
      </xdr:nvCxnSpPr>
      <xdr:spPr>
        <a:xfrm flipV="1">
          <a:off x="10654393" y="29792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97" name="Straight Connector 196"/>
        <xdr:cNvCxnSpPr/>
      </xdr:nvCxnSpPr>
      <xdr:spPr>
        <a:xfrm flipV="1">
          <a:off x="12504963" y="30030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98" name="Straight Connector 197"/>
        <xdr:cNvCxnSpPr/>
      </xdr:nvCxnSpPr>
      <xdr:spPr>
        <a:xfrm flipV="1">
          <a:off x="8821510" y="2962277"/>
          <a:ext cx="896710" cy="3769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99" name="Straight Connector 198"/>
        <xdr:cNvCxnSpPr/>
      </xdr:nvCxnSpPr>
      <xdr:spPr>
        <a:xfrm flipV="1">
          <a:off x="13456103" y="29894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200" name="Straight Connector 199"/>
        <xdr:cNvCxnSpPr/>
      </xdr:nvCxnSpPr>
      <xdr:spPr>
        <a:xfrm flipV="1">
          <a:off x="9759042" y="337593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201" name="Straight Connector 200"/>
        <xdr:cNvCxnSpPr/>
      </xdr:nvCxnSpPr>
      <xdr:spPr>
        <a:xfrm flipV="1">
          <a:off x="10654393" y="33793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202" name="Straight Connector 201"/>
        <xdr:cNvCxnSpPr/>
      </xdr:nvCxnSpPr>
      <xdr:spPr>
        <a:xfrm flipV="1">
          <a:off x="12504963" y="340314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203" name="Straight Connector 202"/>
        <xdr:cNvCxnSpPr/>
      </xdr:nvCxnSpPr>
      <xdr:spPr>
        <a:xfrm flipV="1">
          <a:off x="8821510" y="3362327"/>
          <a:ext cx="896710" cy="3769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204" name="Straight Connector 203"/>
        <xdr:cNvCxnSpPr/>
      </xdr:nvCxnSpPr>
      <xdr:spPr>
        <a:xfrm flipV="1">
          <a:off x="13456103" y="338954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205" name="Straight Connector 204"/>
        <xdr:cNvCxnSpPr/>
      </xdr:nvCxnSpPr>
      <xdr:spPr>
        <a:xfrm flipV="1">
          <a:off x="9759042" y="37759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206" name="Straight Connector 205"/>
        <xdr:cNvCxnSpPr/>
      </xdr:nvCxnSpPr>
      <xdr:spPr>
        <a:xfrm flipV="1">
          <a:off x="10654393" y="37793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207" name="Straight Connector 206"/>
        <xdr:cNvCxnSpPr/>
      </xdr:nvCxnSpPr>
      <xdr:spPr>
        <a:xfrm flipV="1">
          <a:off x="12504963" y="38031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208" name="Straight Connector 207"/>
        <xdr:cNvCxnSpPr/>
      </xdr:nvCxnSpPr>
      <xdr:spPr>
        <a:xfrm flipV="1">
          <a:off x="8821510" y="3762377"/>
          <a:ext cx="896710" cy="3769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09" name="Straight Connector 208"/>
        <xdr:cNvCxnSpPr/>
      </xdr:nvCxnSpPr>
      <xdr:spPr>
        <a:xfrm flipV="1">
          <a:off x="13456103" y="37895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26</xdr:row>
      <xdr:rowOff>13608</xdr:rowOff>
    </xdr:from>
    <xdr:to>
      <xdr:col>12</xdr:col>
      <xdr:colOff>27214</xdr:colOff>
      <xdr:row>27</xdr:row>
      <xdr:rowOff>190502</xdr:rowOff>
    </xdr:to>
    <xdr:cxnSp macro="">
      <xdr:nvCxnSpPr>
        <xdr:cNvPr id="210" name="Straight Connector 209"/>
        <xdr:cNvCxnSpPr/>
      </xdr:nvCxnSpPr>
      <xdr:spPr>
        <a:xfrm flipV="1">
          <a:off x="9756321" y="6667501"/>
          <a:ext cx="884464" cy="38100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211" name="Straight Connector 210"/>
        <xdr:cNvCxnSpPr/>
      </xdr:nvCxnSpPr>
      <xdr:spPr>
        <a:xfrm flipV="1">
          <a:off x="10647589" y="6670904"/>
          <a:ext cx="882762" cy="37929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212" name="Straight Connector 211"/>
        <xdr:cNvCxnSpPr/>
      </xdr:nvCxnSpPr>
      <xdr:spPr>
        <a:xfrm flipV="1">
          <a:off x="12504963" y="6694714"/>
          <a:ext cx="884465" cy="312963"/>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26</xdr:row>
      <xdr:rowOff>27216</xdr:rowOff>
    </xdr:from>
    <xdr:to>
      <xdr:col>10</xdr:col>
      <xdr:colOff>898071</xdr:colOff>
      <xdr:row>28</xdr:row>
      <xdr:rowOff>0</xdr:rowOff>
    </xdr:to>
    <xdr:cxnSp macro="">
      <xdr:nvCxnSpPr>
        <xdr:cNvPr id="213" name="Straight Connector 212"/>
        <xdr:cNvCxnSpPr/>
      </xdr:nvCxnSpPr>
      <xdr:spPr>
        <a:xfrm flipV="1">
          <a:off x="8749393" y="6681109"/>
          <a:ext cx="898071"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214" name="Straight Connector 213"/>
        <xdr:cNvCxnSpPr/>
      </xdr:nvCxnSpPr>
      <xdr:spPr>
        <a:xfrm flipV="1">
          <a:off x="13457464" y="6681109"/>
          <a:ext cx="938894" cy="353784"/>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215" name="Straight Connector 214"/>
        <xdr:cNvCxnSpPr/>
      </xdr:nvCxnSpPr>
      <xdr:spPr>
        <a:xfrm flipV="1">
          <a:off x="9756321" y="2993572"/>
          <a:ext cx="884464"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0</xdr:rowOff>
    </xdr:from>
    <xdr:to>
      <xdr:col>13</xdr:col>
      <xdr:colOff>13607</xdr:colOff>
      <xdr:row>7</xdr:row>
      <xdr:rowOff>192202</xdr:rowOff>
    </xdr:to>
    <xdr:cxnSp macro="">
      <xdr:nvCxnSpPr>
        <xdr:cNvPr id="216" name="Straight Connector 215"/>
        <xdr:cNvCxnSpPr/>
      </xdr:nvCxnSpPr>
      <xdr:spPr>
        <a:xfrm flipV="1">
          <a:off x="10647589" y="2979964"/>
          <a:ext cx="945697" cy="39630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217" name="Straight Connector 216"/>
        <xdr:cNvCxnSpPr/>
      </xdr:nvCxnSpPr>
      <xdr:spPr>
        <a:xfrm flipV="1">
          <a:off x="12504963" y="3020785"/>
          <a:ext cx="884465" cy="31296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6</xdr:row>
      <xdr:rowOff>13609</xdr:rowOff>
    </xdr:from>
    <xdr:to>
      <xdr:col>11</xdr:col>
      <xdr:colOff>13606</xdr:colOff>
      <xdr:row>7</xdr:row>
      <xdr:rowOff>190500</xdr:rowOff>
    </xdr:to>
    <xdr:cxnSp macro="">
      <xdr:nvCxnSpPr>
        <xdr:cNvPr id="218" name="Straight Connector 217"/>
        <xdr:cNvCxnSpPr/>
      </xdr:nvCxnSpPr>
      <xdr:spPr>
        <a:xfrm flipV="1">
          <a:off x="8790214" y="2993573"/>
          <a:ext cx="898071"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219" name="Straight Connector 218"/>
        <xdr:cNvCxnSpPr/>
      </xdr:nvCxnSpPr>
      <xdr:spPr>
        <a:xfrm flipV="1">
          <a:off x="13457464" y="3007180"/>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231" name="Straight Connector 230"/>
        <xdr:cNvCxnSpPr/>
      </xdr:nvCxnSpPr>
      <xdr:spPr>
        <a:xfrm flipV="1">
          <a:off x="9688286" y="5851073"/>
          <a:ext cx="952499" cy="3946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232" name="Straight Connector 231"/>
        <xdr:cNvCxnSpPr/>
      </xdr:nvCxnSpPr>
      <xdr:spPr>
        <a:xfrm flipV="1">
          <a:off x="10647589" y="5854475"/>
          <a:ext cx="882762" cy="37929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233" name="Straight Connector 232"/>
        <xdr:cNvCxnSpPr/>
      </xdr:nvCxnSpPr>
      <xdr:spPr>
        <a:xfrm flipV="1">
          <a:off x="12504963" y="5878285"/>
          <a:ext cx="884465" cy="31296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234" name="Straight Connector 233"/>
        <xdr:cNvCxnSpPr/>
      </xdr:nvCxnSpPr>
      <xdr:spPr>
        <a:xfrm flipV="1">
          <a:off x="8763000" y="5837466"/>
          <a:ext cx="952499" cy="40821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235" name="Straight Connector 234"/>
        <xdr:cNvCxnSpPr/>
      </xdr:nvCxnSpPr>
      <xdr:spPr>
        <a:xfrm flipV="1">
          <a:off x="13457464" y="5864680"/>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13607</xdr:colOff>
      <xdr:row>66</xdr:row>
      <xdr:rowOff>13608</xdr:rowOff>
    </xdr:from>
    <xdr:to>
      <xdr:col>11</xdr:col>
      <xdr:colOff>898071</xdr:colOff>
      <xdr:row>67</xdr:row>
      <xdr:rowOff>190502</xdr:rowOff>
    </xdr:to>
    <xdr:cxnSp macro="">
      <xdr:nvCxnSpPr>
        <xdr:cNvPr id="2" name="Straight Connector 1"/>
        <xdr:cNvCxnSpPr/>
      </xdr:nvCxnSpPr>
      <xdr:spPr>
        <a:xfrm flipV="1">
          <a:off x="6719207" y="12586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66</xdr:row>
      <xdr:rowOff>40824</xdr:rowOff>
    </xdr:from>
    <xdr:to>
      <xdr:col>12</xdr:col>
      <xdr:colOff>898072</xdr:colOff>
      <xdr:row>67</xdr:row>
      <xdr:rowOff>190500</xdr:rowOff>
    </xdr:to>
    <xdr:cxnSp macro="">
      <xdr:nvCxnSpPr>
        <xdr:cNvPr id="3" name="Straight Connector 2"/>
        <xdr:cNvCxnSpPr/>
      </xdr:nvCxnSpPr>
      <xdr:spPr>
        <a:xfrm flipV="1">
          <a:off x="7315200" y="12613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66</xdr:row>
      <xdr:rowOff>40824</xdr:rowOff>
    </xdr:from>
    <xdr:to>
      <xdr:col>14</xdr:col>
      <xdr:colOff>884465</xdr:colOff>
      <xdr:row>67</xdr:row>
      <xdr:rowOff>176893</xdr:rowOff>
    </xdr:to>
    <xdr:cxnSp macro="">
      <xdr:nvCxnSpPr>
        <xdr:cNvPr id="4" name="Straight Connector 3"/>
        <xdr:cNvCxnSpPr/>
      </xdr:nvCxnSpPr>
      <xdr:spPr>
        <a:xfrm flipV="1">
          <a:off x="8561614" y="12613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66</xdr:row>
      <xdr:rowOff>27214</xdr:rowOff>
    </xdr:from>
    <xdr:to>
      <xdr:col>16</xdr:col>
      <xdr:colOff>0</xdr:colOff>
      <xdr:row>68</xdr:row>
      <xdr:rowOff>0</xdr:rowOff>
    </xdr:to>
    <xdr:cxnSp macro="">
      <xdr:nvCxnSpPr>
        <xdr:cNvPr id="5" name="Straight Connector 4"/>
        <xdr:cNvCxnSpPr/>
      </xdr:nvCxnSpPr>
      <xdr:spPr>
        <a:xfrm flipV="1">
          <a:off x="9144001" y="12600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66</xdr:row>
      <xdr:rowOff>1</xdr:rowOff>
    </xdr:from>
    <xdr:to>
      <xdr:col>11</xdr:col>
      <xdr:colOff>13607</xdr:colOff>
      <xdr:row>67</xdr:row>
      <xdr:rowOff>176895</xdr:rowOff>
    </xdr:to>
    <xdr:cxnSp macro="">
      <xdr:nvCxnSpPr>
        <xdr:cNvPr id="6" name="Straight Connector 5"/>
        <xdr:cNvCxnSpPr/>
      </xdr:nvCxnSpPr>
      <xdr:spPr>
        <a:xfrm flipV="1">
          <a:off x="6150429" y="12573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72</xdr:row>
      <xdr:rowOff>13608</xdr:rowOff>
    </xdr:from>
    <xdr:to>
      <xdr:col>11</xdr:col>
      <xdr:colOff>898071</xdr:colOff>
      <xdr:row>73</xdr:row>
      <xdr:rowOff>190502</xdr:rowOff>
    </xdr:to>
    <xdr:cxnSp macro="">
      <xdr:nvCxnSpPr>
        <xdr:cNvPr id="7" name="Straight Connector 6"/>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8" name="Straight Connector 7"/>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9" name="Straight Connector 8"/>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72</xdr:row>
      <xdr:rowOff>13608</xdr:rowOff>
    </xdr:from>
    <xdr:to>
      <xdr:col>10</xdr:col>
      <xdr:colOff>884464</xdr:colOff>
      <xdr:row>74</xdr:row>
      <xdr:rowOff>0</xdr:rowOff>
    </xdr:to>
    <xdr:cxnSp macro="">
      <xdr:nvCxnSpPr>
        <xdr:cNvPr id="10" name="Straight Connector 9"/>
        <xdr:cNvCxnSpPr/>
      </xdr:nvCxnSpPr>
      <xdr:spPr>
        <a:xfrm flipV="1">
          <a:off x="6097361" y="13729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72</xdr:row>
      <xdr:rowOff>27217</xdr:rowOff>
    </xdr:from>
    <xdr:to>
      <xdr:col>15</xdr:col>
      <xdr:colOff>938894</xdr:colOff>
      <xdr:row>73</xdr:row>
      <xdr:rowOff>163286</xdr:rowOff>
    </xdr:to>
    <xdr:cxnSp macro="">
      <xdr:nvCxnSpPr>
        <xdr:cNvPr id="11" name="Straight Connector 10"/>
        <xdr:cNvCxnSpPr/>
      </xdr:nvCxnSpPr>
      <xdr:spPr>
        <a:xfrm flipV="1">
          <a:off x="9225643" y="13743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70</xdr:row>
      <xdr:rowOff>13608</xdr:rowOff>
    </xdr:from>
    <xdr:to>
      <xdr:col>11</xdr:col>
      <xdr:colOff>898071</xdr:colOff>
      <xdr:row>71</xdr:row>
      <xdr:rowOff>190502</xdr:rowOff>
    </xdr:to>
    <xdr:cxnSp macro="">
      <xdr:nvCxnSpPr>
        <xdr:cNvPr id="12" name="Straight Connector 11"/>
        <xdr:cNvCxnSpPr/>
      </xdr:nvCxnSpPr>
      <xdr:spPr>
        <a:xfrm flipV="1">
          <a:off x="6719207" y="13348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13" name="Straight Connector 12"/>
        <xdr:cNvCxnSpPr/>
      </xdr:nvCxnSpPr>
      <xdr:spPr>
        <a:xfrm flipV="1">
          <a:off x="7315200" y="13375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14" name="Straight Connector 13"/>
        <xdr:cNvCxnSpPr/>
      </xdr:nvCxnSpPr>
      <xdr:spPr>
        <a:xfrm flipV="1">
          <a:off x="8561614" y="13375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70</xdr:row>
      <xdr:rowOff>13608</xdr:rowOff>
    </xdr:from>
    <xdr:to>
      <xdr:col>10</xdr:col>
      <xdr:colOff>884464</xdr:colOff>
      <xdr:row>72</xdr:row>
      <xdr:rowOff>0</xdr:rowOff>
    </xdr:to>
    <xdr:cxnSp macro="">
      <xdr:nvCxnSpPr>
        <xdr:cNvPr id="15" name="Straight Connector 14"/>
        <xdr:cNvCxnSpPr/>
      </xdr:nvCxnSpPr>
      <xdr:spPr>
        <a:xfrm flipV="1">
          <a:off x="6097361" y="13348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70</xdr:row>
      <xdr:rowOff>27217</xdr:rowOff>
    </xdr:from>
    <xdr:to>
      <xdr:col>15</xdr:col>
      <xdr:colOff>938894</xdr:colOff>
      <xdr:row>71</xdr:row>
      <xdr:rowOff>163286</xdr:rowOff>
    </xdr:to>
    <xdr:cxnSp macro="">
      <xdr:nvCxnSpPr>
        <xdr:cNvPr id="16" name="Straight Connector 15"/>
        <xdr:cNvCxnSpPr/>
      </xdr:nvCxnSpPr>
      <xdr:spPr>
        <a:xfrm flipV="1">
          <a:off x="9225643" y="13362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68</xdr:row>
      <xdr:rowOff>13608</xdr:rowOff>
    </xdr:from>
    <xdr:to>
      <xdr:col>11</xdr:col>
      <xdr:colOff>898071</xdr:colOff>
      <xdr:row>69</xdr:row>
      <xdr:rowOff>190502</xdr:rowOff>
    </xdr:to>
    <xdr:cxnSp macro="">
      <xdr:nvCxnSpPr>
        <xdr:cNvPr id="17" name="Straight Connector 16"/>
        <xdr:cNvCxnSpPr/>
      </xdr:nvCxnSpPr>
      <xdr:spPr>
        <a:xfrm flipV="1">
          <a:off x="6719207" y="12967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68</xdr:row>
      <xdr:rowOff>40824</xdr:rowOff>
    </xdr:from>
    <xdr:to>
      <xdr:col>12</xdr:col>
      <xdr:colOff>898072</xdr:colOff>
      <xdr:row>69</xdr:row>
      <xdr:rowOff>190500</xdr:rowOff>
    </xdr:to>
    <xdr:cxnSp macro="">
      <xdr:nvCxnSpPr>
        <xdr:cNvPr id="18" name="Straight Connector 17"/>
        <xdr:cNvCxnSpPr/>
      </xdr:nvCxnSpPr>
      <xdr:spPr>
        <a:xfrm flipV="1">
          <a:off x="7315200" y="12994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68</xdr:row>
      <xdr:rowOff>13608</xdr:rowOff>
    </xdr:from>
    <xdr:to>
      <xdr:col>14</xdr:col>
      <xdr:colOff>911679</xdr:colOff>
      <xdr:row>69</xdr:row>
      <xdr:rowOff>204107</xdr:rowOff>
    </xdr:to>
    <xdr:cxnSp macro="">
      <xdr:nvCxnSpPr>
        <xdr:cNvPr id="19" name="Straight Connector 18"/>
        <xdr:cNvCxnSpPr/>
      </xdr:nvCxnSpPr>
      <xdr:spPr>
        <a:xfrm flipV="1">
          <a:off x="8533039" y="12967608"/>
          <a:ext cx="608240" cy="37147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68</xdr:row>
      <xdr:rowOff>13608</xdr:rowOff>
    </xdr:from>
    <xdr:to>
      <xdr:col>10</xdr:col>
      <xdr:colOff>884464</xdr:colOff>
      <xdr:row>70</xdr:row>
      <xdr:rowOff>0</xdr:rowOff>
    </xdr:to>
    <xdr:cxnSp macro="">
      <xdr:nvCxnSpPr>
        <xdr:cNvPr id="20" name="Straight Connector 19"/>
        <xdr:cNvCxnSpPr/>
      </xdr:nvCxnSpPr>
      <xdr:spPr>
        <a:xfrm flipV="1">
          <a:off x="6097361" y="12967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68</xdr:row>
      <xdr:rowOff>27217</xdr:rowOff>
    </xdr:from>
    <xdr:to>
      <xdr:col>15</xdr:col>
      <xdr:colOff>938894</xdr:colOff>
      <xdr:row>69</xdr:row>
      <xdr:rowOff>163286</xdr:rowOff>
    </xdr:to>
    <xdr:cxnSp macro="">
      <xdr:nvCxnSpPr>
        <xdr:cNvPr id="21" name="Straight Connector 20"/>
        <xdr:cNvCxnSpPr/>
      </xdr:nvCxnSpPr>
      <xdr:spPr>
        <a:xfrm flipV="1">
          <a:off x="9225643" y="12981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22" name="Straight Connector 21"/>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23" name="Straight Connector 22"/>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24" name="Straight Connector 23"/>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25" name="Straight Connector 24"/>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26" name="Straight Connector 25"/>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27" name="Straight Connector 26"/>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28" name="Straight Connector 27"/>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29" name="Straight Connector 28"/>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86</xdr:row>
      <xdr:rowOff>13608</xdr:rowOff>
    </xdr:from>
    <xdr:to>
      <xdr:col>12</xdr:col>
      <xdr:colOff>27214</xdr:colOff>
      <xdr:row>87</xdr:row>
      <xdr:rowOff>190502</xdr:rowOff>
    </xdr:to>
    <xdr:cxnSp macro="">
      <xdr:nvCxnSpPr>
        <xdr:cNvPr id="30" name="Straight Connector 29"/>
        <xdr:cNvCxnSpPr/>
      </xdr:nvCxnSpPr>
      <xdr:spPr>
        <a:xfrm flipV="1">
          <a:off x="6787242" y="1639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86</xdr:row>
      <xdr:rowOff>13608</xdr:rowOff>
    </xdr:from>
    <xdr:to>
      <xdr:col>11</xdr:col>
      <xdr:colOff>51026</xdr:colOff>
      <xdr:row>88</xdr:row>
      <xdr:rowOff>0</xdr:rowOff>
    </xdr:to>
    <xdr:cxnSp macro="">
      <xdr:nvCxnSpPr>
        <xdr:cNvPr id="31" name="Straight Connector 30"/>
        <xdr:cNvCxnSpPr/>
      </xdr:nvCxnSpPr>
      <xdr:spPr>
        <a:xfrm flipV="1">
          <a:off x="6109607" y="16396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86</xdr:row>
      <xdr:rowOff>17011</xdr:rowOff>
    </xdr:from>
    <xdr:to>
      <xdr:col>12</xdr:col>
      <xdr:colOff>916780</xdr:colOff>
      <xdr:row>87</xdr:row>
      <xdr:rowOff>192201</xdr:rowOff>
    </xdr:to>
    <xdr:cxnSp macro="">
      <xdr:nvCxnSpPr>
        <xdr:cNvPr id="32" name="Straight Connector 31"/>
        <xdr:cNvCxnSpPr/>
      </xdr:nvCxnSpPr>
      <xdr:spPr>
        <a:xfrm flipV="1">
          <a:off x="7349218" y="1640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86</xdr:row>
      <xdr:rowOff>18714</xdr:rowOff>
    </xdr:from>
    <xdr:to>
      <xdr:col>15</xdr:col>
      <xdr:colOff>887864</xdr:colOff>
      <xdr:row>87</xdr:row>
      <xdr:rowOff>190500</xdr:rowOff>
    </xdr:to>
    <xdr:cxnSp macro="">
      <xdr:nvCxnSpPr>
        <xdr:cNvPr id="33" name="Straight Connector 32"/>
        <xdr:cNvCxnSpPr/>
      </xdr:nvCxnSpPr>
      <xdr:spPr>
        <a:xfrm flipV="1">
          <a:off x="9171214" y="16401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34" name="Straight Connector 33"/>
        <xdr:cNvCxnSpPr/>
      </xdr:nvCxnSpPr>
      <xdr:spPr>
        <a:xfrm flipV="1">
          <a:off x="6787242" y="1677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35" name="Straight Connector 34"/>
        <xdr:cNvCxnSpPr/>
      </xdr:nvCxnSpPr>
      <xdr:spPr>
        <a:xfrm flipV="1">
          <a:off x="6109607" y="1677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36" name="Straight Connector 35"/>
        <xdr:cNvCxnSpPr/>
      </xdr:nvCxnSpPr>
      <xdr:spPr>
        <a:xfrm flipV="1">
          <a:off x="73492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37" name="Straight Connector 36"/>
        <xdr:cNvCxnSpPr/>
      </xdr:nvCxnSpPr>
      <xdr:spPr>
        <a:xfrm flipV="1">
          <a:off x="9171214" y="1678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38" name="Straight Connector 37"/>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39" name="Straight Connector 38"/>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40" name="Straight Connector 39"/>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41" name="Straight Connector 40"/>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42" name="Straight Connector 41"/>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43" name="Straight Connector 42"/>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44" name="Straight Connector 43"/>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92</xdr:row>
      <xdr:rowOff>3</xdr:rowOff>
    </xdr:from>
    <xdr:to>
      <xdr:col>15</xdr:col>
      <xdr:colOff>40822</xdr:colOff>
      <xdr:row>93</xdr:row>
      <xdr:rowOff>149679</xdr:rowOff>
    </xdr:to>
    <xdr:cxnSp macro="">
      <xdr:nvCxnSpPr>
        <xdr:cNvPr id="45" name="Straight Connector 44"/>
        <xdr:cNvCxnSpPr/>
      </xdr:nvCxnSpPr>
      <xdr:spPr>
        <a:xfrm flipV="1">
          <a:off x="8571820" y="17526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46" name="Straight Connector 45"/>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95</xdr:row>
      <xdr:rowOff>13608</xdr:rowOff>
    </xdr:from>
    <xdr:to>
      <xdr:col>12</xdr:col>
      <xdr:colOff>27214</xdr:colOff>
      <xdr:row>96</xdr:row>
      <xdr:rowOff>190502</xdr:rowOff>
    </xdr:to>
    <xdr:cxnSp macro="">
      <xdr:nvCxnSpPr>
        <xdr:cNvPr id="47" name="Straight Connector 46"/>
        <xdr:cNvCxnSpPr/>
      </xdr:nvCxnSpPr>
      <xdr:spPr>
        <a:xfrm flipV="1">
          <a:off x="6787242" y="1811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95</xdr:row>
      <xdr:rowOff>13608</xdr:rowOff>
    </xdr:from>
    <xdr:to>
      <xdr:col>11</xdr:col>
      <xdr:colOff>51026</xdr:colOff>
      <xdr:row>97</xdr:row>
      <xdr:rowOff>0</xdr:rowOff>
    </xdr:to>
    <xdr:cxnSp macro="">
      <xdr:nvCxnSpPr>
        <xdr:cNvPr id="48" name="Straight Connector 47"/>
        <xdr:cNvCxnSpPr/>
      </xdr:nvCxnSpPr>
      <xdr:spPr>
        <a:xfrm flipV="1">
          <a:off x="6109607" y="1811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95</xdr:row>
      <xdr:rowOff>17011</xdr:rowOff>
    </xdr:from>
    <xdr:to>
      <xdr:col>12</xdr:col>
      <xdr:colOff>916780</xdr:colOff>
      <xdr:row>96</xdr:row>
      <xdr:rowOff>192201</xdr:rowOff>
    </xdr:to>
    <xdr:cxnSp macro="">
      <xdr:nvCxnSpPr>
        <xdr:cNvPr id="49" name="Straight Connector 48"/>
        <xdr:cNvCxnSpPr/>
      </xdr:nvCxnSpPr>
      <xdr:spPr>
        <a:xfrm flipV="1">
          <a:off x="7349218" y="1811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95</xdr:row>
      <xdr:rowOff>18714</xdr:rowOff>
    </xdr:from>
    <xdr:to>
      <xdr:col>15</xdr:col>
      <xdr:colOff>887864</xdr:colOff>
      <xdr:row>96</xdr:row>
      <xdr:rowOff>190500</xdr:rowOff>
    </xdr:to>
    <xdr:cxnSp macro="">
      <xdr:nvCxnSpPr>
        <xdr:cNvPr id="50" name="Straight Connector 49"/>
        <xdr:cNvCxnSpPr/>
      </xdr:nvCxnSpPr>
      <xdr:spPr>
        <a:xfrm flipV="1">
          <a:off x="9171214" y="1811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51" name="Straight Connector 50"/>
        <xdr:cNvCxnSpPr/>
      </xdr:nvCxnSpPr>
      <xdr:spPr>
        <a:xfrm flipV="1">
          <a:off x="6787242" y="1849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52" name="Straight Connector 51"/>
        <xdr:cNvCxnSpPr/>
      </xdr:nvCxnSpPr>
      <xdr:spPr>
        <a:xfrm flipV="1">
          <a:off x="6109607" y="1849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53" name="Straight Connector 52"/>
        <xdr:cNvCxnSpPr/>
      </xdr:nvCxnSpPr>
      <xdr:spPr>
        <a:xfrm flipV="1">
          <a:off x="7349218" y="1849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54" name="Straight Connector 53"/>
        <xdr:cNvCxnSpPr/>
      </xdr:nvCxnSpPr>
      <xdr:spPr>
        <a:xfrm flipV="1">
          <a:off x="9171214" y="1849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55" name="Straight Connector 54"/>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56" name="Straight Connector 55"/>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57" name="Straight Connector 56"/>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99</xdr:row>
      <xdr:rowOff>3</xdr:rowOff>
    </xdr:from>
    <xdr:to>
      <xdr:col>15</xdr:col>
      <xdr:colOff>40822</xdr:colOff>
      <xdr:row>100</xdr:row>
      <xdr:rowOff>149679</xdr:rowOff>
    </xdr:to>
    <xdr:cxnSp macro="">
      <xdr:nvCxnSpPr>
        <xdr:cNvPr id="58" name="Straight Connector 57"/>
        <xdr:cNvCxnSpPr/>
      </xdr:nvCxnSpPr>
      <xdr:spPr>
        <a:xfrm flipV="1">
          <a:off x="8571820" y="18859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59" name="Straight Connector 58"/>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60" name="Straight Connector 59"/>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61" name="Straight Connector 60"/>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62" name="Straight Connector 61"/>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101</xdr:row>
      <xdr:rowOff>3</xdr:rowOff>
    </xdr:from>
    <xdr:to>
      <xdr:col>15</xdr:col>
      <xdr:colOff>40822</xdr:colOff>
      <xdr:row>102</xdr:row>
      <xdr:rowOff>149679</xdr:rowOff>
    </xdr:to>
    <xdr:cxnSp macro="">
      <xdr:nvCxnSpPr>
        <xdr:cNvPr id="63" name="Straight Connector 62"/>
        <xdr:cNvCxnSpPr/>
      </xdr:nvCxnSpPr>
      <xdr:spPr>
        <a:xfrm flipV="1">
          <a:off x="8571820" y="19240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64" name="Straight Connector 63"/>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75</xdr:row>
      <xdr:rowOff>13608</xdr:rowOff>
    </xdr:from>
    <xdr:to>
      <xdr:col>12</xdr:col>
      <xdr:colOff>27214</xdr:colOff>
      <xdr:row>76</xdr:row>
      <xdr:rowOff>190502</xdr:rowOff>
    </xdr:to>
    <xdr:cxnSp macro="">
      <xdr:nvCxnSpPr>
        <xdr:cNvPr id="65" name="Straight Connector 64"/>
        <xdr:cNvCxnSpPr/>
      </xdr:nvCxnSpPr>
      <xdr:spPr>
        <a:xfrm flipV="1">
          <a:off x="6787242" y="1430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75</xdr:row>
      <xdr:rowOff>13608</xdr:rowOff>
    </xdr:from>
    <xdr:to>
      <xdr:col>11</xdr:col>
      <xdr:colOff>51026</xdr:colOff>
      <xdr:row>77</xdr:row>
      <xdr:rowOff>0</xdr:rowOff>
    </xdr:to>
    <xdr:cxnSp macro="">
      <xdr:nvCxnSpPr>
        <xdr:cNvPr id="66" name="Straight Connector 65"/>
        <xdr:cNvCxnSpPr/>
      </xdr:nvCxnSpPr>
      <xdr:spPr>
        <a:xfrm flipV="1">
          <a:off x="6109607" y="1430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75</xdr:row>
      <xdr:rowOff>17011</xdr:rowOff>
    </xdr:from>
    <xdr:to>
      <xdr:col>12</xdr:col>
      <xdr:colOff>916780</xdr:colOff>
      <xdr:row>76</xdr:row>
      <xdr:rowOff>192201</xdr:rowOff>
    </xdr:to>
    <xdr:cxnSp macro="">
      <xdr:nvCxnSpPr>
        <xdr:cNvPr id="67" name="Straight Connector 66"/>
        <xdr:cNvCxnSpPr/>
      </xdr:nvCxnSpPr>
      <xdr:spPr>
        <a:xfrm flipV="1">
          <a:off x="7349218" y="1430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77</xdr:row>
      <xdr:rowOff>40825</xdr:rowOff>
    </xdr:from>
    <xdr:to>
      <xdr:col>15</xdr:col>
      <xdr:colOff>54429</xdr:colOff>
      <xdr:row>78</xdr:row>
      <xdr:rowOff>190501</xdr:rowOff>
    </xdr:to>
    <xdr:cxnSp macro="">
      <xdr:nvCxnSpPr>
        <xdr:cNvPr id="68" name="Straight Connector 67"/>
        <xdr:cNvCxnSpPr/>
      </xdr:nvCxnSpPr>
      <xdr:spPr>
        <a:xfrm flipV="1">
          <a:off x="8585427" y="14709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75</xdr:row>
      <xdr:rowOff>18714</xdr:rowOff>
    </xdr:from>
    <xdr:to>
      <xdr:col>15</xdr:col>
      <xdr:colOff>887864</xdr:colOff>
      <xdr:row>76</xdr:row>
      <xdr:rowOff>190500</xdr:rowOff>
    </xdr:to>
    <xdr:cxnSp macro="">
      <xdr:nvCxnSpPr>
        <xdr:cNvPr id="69" name="Straight Connector 68"/>
        <xdr:cNvCxnSpPr/>
      </xdr:nvCxnSpPr>
      <xdr:spPr>
        <a:xfrm flipV="1">
          <a:off x="9171214" y="1430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70" name="Straight Connector 69"/>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71" name="Straight Connector 70"/>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72" name="Straight Connector 71"/>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73" name="Straight Connector 72"/>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74" name="Straight Connector 73"/>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75" name="Straight Connector 74"/>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76" name="Straight Connector 75"/>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77" name="Straight Connector 76"/>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97</xdr:row>
      <xdr:rowOff>17010</xdr:rowOff>
    </xdr:from>
    <xdr:to>
      <xdr:col>14</xdr:col>
      <xdr:colOff>903173</xdr:colOff>
      <xdr:row>98</xdr:row>
      <xdr:rowOff>192200</xdr:rowOff>
    </xdr:to>
    <xdr:cxnSp macro="">
      <xdr:nvCxnSpPr>
        <xdr:cNvPr id="78" name="Straight Connector 77"/>
        <xdr:cNvCxnSpPr/>
      </xdr:nvCxnSpPr>
      <xdr:spPr>
        <a:xfrm flipV="1">
          <a:off x="8554811" y="18495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90</xdr:row>
      <xdr:rowOff>3404</xdr:rowOff>
    </xdr:from>
    <xdr:to>
      <xdr:col>15</xdr:col>
      <xdr:colOff>5101</xdr:colOff>
      <xdr:row>91</xdr:row>
      <xdr:rowOff>178593</xdr:rowOff>
    </xdr:to>
    <xdr:cxnSp macro="">
      <xdr:nvCxnSpPr>
        <xdr:cNvPr id="79" name="Straight Connector 78"/>
        <xdr:cNvCxnSpPr/>
      </xdr:nvCxnSpPr>
      <xdr:spPr>
        <a:xfrm flipV="1">
          <a:off x="8582025" y="17148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88</xdr:row>
      <xdr:rowOff>17011</xdr:rowOff>
    </xdr:from>
    <xdr:to>
      <xdr:col>15</xdr:col>
      <xdr:colOff>5101</xdr:colOff>
      <xdr:row>89</xdr:row>
      <xdr:rowOff>192201</xdr:rowOff>
    </xdr:to>
    <xdr:cxnSp macro="">
      <xdr:nvCxnSpPr>
        <xdr:cNvPr id="80" name="Straight Connector 79"/>
        <xdr:cNvCxnSpPr/>
      </xdr:nvCxnSpPr>
      <xdr:spPr>
        <a:xfrm flipV="1">
          <a:off x="8582025" y="16781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86</xdr:row>
      <xdr:rowOff>17011</xdr:rowOff>
    </xdr:from>
    <xdr:to>
      <xdr:col>14</xdr:col>
      <xdr:colOff>916780</xdr:colOff>
      <xdr:row>87</xdr:row>
      <xdr:rowOff>192201</xdr:rowOff>
    </xdr:to>
    <xdr:cxnSp macro="">
      <xdr:nvCxnSpPr>
        <xdr:cNvPr id="81" name="Straight Connector 80"/>
        <xdr:cNvCxnSpPr/>
      </xdr:nvCxnSpPr>
      <xdr:spPr>
        <a:xfrm flipV="1">
          <a:off x="8568418" y="1640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83</xdr:row>
      <xdr:rowOff>17011</xdr:rowOff>
    </xdr:from>
    <xdr:to>
      <xdr:col>15</xdr:col>
      <xdr:colOff>32315</xdr:colOff>
      <xdr:row>84</xdr:row>
      <xdr:rowOff>192201</xdr:rowOff>
    </xdr:to>
    <xdr:cxnSp macro="">
      <xdr:nvCxnSpPr>
        <xdr:cNvPr id="82" name="Straight Connector 81"/>
        <xdr:cNvCxnSpPr/>
      </xdr:nvCxnSpPr>
      <xdr:spPr>
        <a:xfrm flipV="1">
          <a:off x="8609239" y="15828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81</xdr:row>
      <xdr:rowOff>17011</xdr:rowOff>
    </xdr:from>
    <xdr:to>
      <xdr:col>15</xdr:col>
      <xdr:colOff>32315</xdr:colOff>
      <xdr:row>82</xdr:row>
      <xdr:rowOff>192201</xdr:rowOff>
    </xdr:to>
    <xdr:cxnSp macro="">
      <xdr:nvCxnSpPr>
        <xdr:cNvPr id="83" name="Straight Connector 82"/>
        <xdr:cNvCxnSpPr/>
      </xdr:nvCxnSpPr>
      <xdr:spPr>
        <a:xfrm flipV="1">
          <a:off x="8609239" y="15447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79</xdr:row>
      <xdr:rowOff>3403</xdr:rowOff>
    </xdr:from>
    <xdr:to>
      <xdr:col>15</xdr:col>
      <xdr:colOff>18708</xdr:colOff>
      <xdr:row>80</xdr:row>
      <xdr:rowOff>178593</xdr:rowOff>
    </xdr:to>
    <xdr:cxnSp macro="">
      <xdr:nvCxnSpPr>
        <xdr:cNvPr id="84" name="Straight Connector 83"/>
        <xdr:cNvCxnSpPr/>
      </xdr:nvCxnSpPr>
      <xdr:spPr>
        <a:xfrm flipV="1">
          <a:off x="8595632" y="15052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48</xdr:row>
      <xdr:rowOff>27214</xdr:rowOff>
    </xdr:from>
    <xdr:to>
      <xdr:col>15</xdr:col>
      <xdr:colOff>898072</xdr:colOff>
      <xdr:row>49</xdr:row>
      <xdr:rowOff>149678</xdr:rowOff>
    </xdr:to>
    <xdr:cxnSp macro="">
      <xdr:nvCxnSpPr>
        <xdr:cNvPr id="85" name="Straight Connector 84"/>
        <xdr:cNvCxnSpPr/>
      </xdr:nvCxnSpPr>
      <xdr:spPr>
        <a:xfrm flipV="1">
          <a:off x="9171214" y="9171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48</xdr:row>
      <xdr:rowOff>13607</xdr:rowOff>
    </xdr:from>
    <xdr:to>
      <xdr:col>10</xdr:col>
      <xdr:colOff>911677</xdr:colOff>
      <xdr:row>50</xdr:row>
      <xdr:rowOff>0</xdr:rowOff>
    </xdr:to>
    <xdr:cxnSp macro="">
      <xdr:nvCxnSpPr>
        <xdr:cNvPr id="86" name="Straight Connector 85"/>
        <xdr:cNvCxnSpPr/>
      </xdr:nvCxnSpPr>
      <xdr:spPr>
        <a:xfrm flipV="1">
          <a:off x="6109607" y="9157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48</xdr:row>
      <xdr:rowOff>13608</xdr:rowOff>
    </xdr:from>
    <xdr:to>
      <xdr:col>12</xdr:col>
      <xdr:colOff>27214</xdr:colOff>
      <xdr:row>49</xdr:row>
      <xdr:rowOff>190502</xdr:rowOff>
    </xdr:to>
    <xdr:cxnSp macro="">
      <xdr:nvCxnSpPr>
        <xdr:cNvPr id="87" name="Straight Connector 86"/>
        <xdr:cNvCxnSpPr/>
      </xdr:nvCxnSpPr>
      <xdr:spPr>
        <a:xfrm flipV="1">
          <a:off x="6787242" y="915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48</xdr:row>
      <xdr:rowOff>17011</xdr:rowOff>
    </xdr:from>
    <xdr:to>
      <xdr:col>12</xdr:col>
      <xdr:colOff>916780</xdr:colOff>
      <xdr:row>49</xdr:row>
      <xdr:rowOff>192201</xdr:rowOff>
    </xdr:to>
    <xdr:cxnSp macro="">
      <xdr:nvCxnSpPr>
        <xdr:cNvPr id="88" name="Straight Connector 87"/>
        <xdr:cNvCxnSpPr/>
      </xdr:nvCxnSpPr>
      <xdr:spPr>
        <a:xfrm flipV="1">
          <a:off x="7349218" y="916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48</xdr:row>
      <xdr:rowOff>54428</xdr:rowOff>
    </xdr:from>
    <xdr:to>
      <xdr:col>14</xdr:col>
      <xdr:colOff>884463</xdr:colOff>
      <xdr:row>49</xdr:row>
      <xdr:rowOff>163285</xdr:rowOff>
    </xdr:to>
    <xdr:cxnSp macro="">
      <xdr:nvCxnSpPr>
        <xdr:cNvPr id="89" name="Straight Connector 88"/>
        <xdr:cNvCxnSpPr/>
      </xdr:nvCxnSpPr>
      <xdr:spPr>
        <a:xfrm flipV="1">
          <a:off x="8537119" y="9198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90" name="Straight Connector 89"/>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91" name="Straight Connector 90"/>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92" name="Straight Connector 91"/>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93" name="Straight Connector 92"/>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94" name="Straight Connector 93"/>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75</xdr:row>
      <xdr:rowOff>13610</xdr:rowOff>
    </xdr:from>
    <xdr:to>
      <xdr:col>15</xdr:col>
      <xdr:colOff>54429</xdr:colOff>
      <xdr:row>76</xdr:row>
      <xdr:rowOff>163286</xdr:rowOff>
    </xdr:to>
    <xdr:cxnSp macro="">
      <xdr:nvCxnSpPr>
        <xdr:cNvPr id="95" name="Straight Connector 94"/>
        <xdr:cNvCxnSpPr/>
      </xdr:nvCxnSpPr>
      <xdr:spPr>
        <a:xfrm flipV="1">
          <a:off x="8585427" y="14301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41</xdr:row>
      <xdr:rowOff>13607</xdr:rowOff>
    </xdr:from>
    <xdr:to>
      <xdr:col>10</xdr:col>
      <xdr:colOff>911677</xdr:colOff>
      <xdr:row>43</xdr:row>
      <xdr:rowOff>0</xdr:rowOff>
    </xdr:to>
    <xdr:cxnSp macro="">
      <xdr:nvCxnSpPr>
        <xdr:cNvPr id="96" name="Straight Connector 95"/>
        <xdr:cNvCxnSpPr/>
      </xdr:nvCxnSpPr>
      <xdr:spPr>
        <a:xfrm flipV="1">
          <a:off x="6109607" y="7824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41</xdr:row>
      <xdr:rowOff>13608</xdr:rowOff>
    </xdr:from>
    <xdr:to>
      <xdr:col>12</xdr:col>
      <xdr:colOff>27214</xdr:colOff>
      <xdr:row>42</xdr:row>
      <xdr:rowOff>190502</xdr:rowOff>
    </xdr:to>
    <xdr:cxnSp macro="">
      <xdr:nvCxnSpPr>
        <xdr:cNvPr id="97" name="Straight Connector 96"/>
        <xdr:cNvCxnSpPr/>
      </xdr:nvCxnSpPr>
      <xdr:spPr>
        <a:xfrm flipV="1">
          <a:off x="6787242" y="782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41</xdr:row>
      <xdr:rowOff>17011</xdr:rowOff>
    </xdr:from>
    <xdr:to>
      <xdr:col>12</xdr:col>
      <xdr:colOff>916780</xdr:colOff>
      <xdr:row>42</xdr:row>
      <xdr:rowOff>192201</xdr:rowOff>
    </xdr:to>
    <xdr:cxnSp macro="">
      <xdr:nvCxnSpPr>
        <xdr:cNvPr id="98" name="Straight Connector 97"/>
        <xdr:cNvCxnSpPr/>
      </xdr:nvCxnSpPr>
      <xdr:spPr>
        <a:xfrm flipV="1">
          <a:off x="7349218" y="782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41</xdr:row>
      <xdr:rowOff>54428</xdr:rowOff>
    </xdr:from>
    <xdr:to>
      <xdr:col>14</xdr:col>
      <xdr:colOff>884463</xdr:colOff>
      <xdr:row>42</xdr:row>
      <xdr:rowOff>163285</xdr:rowOff>
    </xdr:to>
    <xdr:cxnSp macro="">
      <xdr:nvCxnSpPr>
        <xdr:cNvPr id="99" name="Straight Connector 98"/>
        <xdr:cNvCxnSpPr/>
      </xdr:nvCxnSpPr>
      <xdr:spPr>
        <a:xfrm flipV="1">
          <a:off x="8537119" y="7864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45</xdr:row>
      <xdr:rowOff>27214</xdr:rowOff>
    </xdr:from>
    <xdr:to>
      <xdr:col>15</xdr:col>
      <xdr:colOff>898072</xdr:colOff>
      <xdr:row>46</xdr:row>
      <xdr:rowOff>149678</xdr:rowOff>
    </xdr:to>
    <xdr:cxnSp macro="">
      <xdr:nvCxnSpPr>
        <xdr:cNvPr id="100" name="Straight Connector 99"/>
        <xdr:cNvCxnSpPr/>
      </xdr:nvCxnSpPr>
      <xdr:spPr>
        <a:xfrm flipV="1">
          <a:off x="9171214" y="8599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45</xdr:row>
      <xdr:rowOff>13607</xdr:rowOff>
    </xdr:from>
    <xdr:to>
      <xdr:col>10</xdr:col>
      <xdr:colOff>911677</xdr:colOff>
      <xdr:row>47</xdr:row>
      <xdr:rowOff>0</xdr:rowOff>
    </xdr:to>
    <xdr:cxnSp macro="">
      <xdr:nvCxnSpPr>
        <xdr:cNvPr id="101" name="Straight Connector 100"/>
        <xdr:cNvCxnSpPr/>
      </xdr:nvCxnSpPr>
      <xdr:spPr>
        <a:xfrm flipV="1">
          <a:off x="6109607" y="8586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102" name="Straight Connector 101"/>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103" name="Straight Connector 102"/>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45</xdr:row>
      <xdr:rowOff>54428</xdr:rowOff>
    </xdr:from>
    <xdr:to>
      <xdr:col>14</xdr:col>
      <xdr:colOff>884463</xdr:colOff>
      <xdr:row>46</xdr:row>
      <xdr:rowOff>163285</xdr:rowOff>
    </xdr:to>
    <xdr:cxnSp macro="">
      <xdr:nvCxnSpPr>
        <xdr:cNvPr id="104" name="Straight Connector 103"/>
        <xdr:cNvCxnSpPr/>
      </xdr:nvCxnSpPr>
      <xdr:spPr>
        <a:xfrm flipV="1">
          <a:off x="8537119" y="8626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43</xdr:row>
      <xdr:rowOff>27214</xdr:rowOff>
    </xdr:from>
    <xdr:to>
      <xdr:col>15</xdr:col>
      <xdr:colOff>898072</xdr:colOff>
      <xdr:row>44</xdr:row>
      <xdr:rowOff>149678</xdr:rowOff>
    </xdr:to>
    <xdr:cxnSp macro="">
      <xdr:nvCxnSpPr>
        <xdr:cNvPr id="105" name="Straight Connector 104"/>
        <xdr:cNvCxnSpPr/>
      </xdr:nvCxnSpPr>
      <xdr:spPr>
        <a:xfrm flipV="1">
          <a:off x="9171214" y="8218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43</xdr:row>
      <xdr:rowOff>13607</xdr:rowOff>
    </xdr:from>
    <xdr:to>
      <xdr:col>10</xdr:col>
      <xdr:colOff>911677</xdr:colOff>
      <xdr:row>45</xdr:row>
      <xdr:rowOff>0</xdr:rowOff>
    </xdr:to>
    <xdr:cxnSp macro="">
      <xdr:nvCxnSpPr>
        <xdr:cNvPr id="106" name="Straight Connector 105"/>
        <xdr:cNvCxnSpPr/>
      </xdr:nvCxnSpPr>
      <xdr:spPr>
        <a:xfrm flipV="1">
          <a:off x="6109607" y="8205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107" name="Straight Connector 106"/>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108" name="Straight Connector 107"/>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43</xdr:row>
      <xdr:rowOff>54428</xdr:rowOff>
    </xdr:from>
    <xdr:to>
      <xdr:col>14</xdr:col>
      <xdr:colOff>884463</xdr:colOff>
      <xdr:row>44</xdr:row>
      <xdr:rowOff>163285</xdr:rowOff>
    </xdr:to>
    <xdr:cxnSp macro="">
      <xdr:nvCxnSpPr>
        <xdr:cNvPr id="109" name="Straight Connector 108"/>
        <xdr:cNvCxnSpPr/>
      </xdr:nvCxnSpPr>
      <xdr:spPr>
        <a:xfrm flipV="1">
          <a:off x="8537119" y="8245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106</xdr:row>
      <xdr:rowOff>0</xdr:rowOff>
    </xdr:from>
    <xdr:ext cx="17150072" cy="3743326"/>
    <xdr:pic>
      <xdr:nvPicPr>
        <xdr:cNvPr id="110" name="Picture 109"/>
        <xdr:cNvPicPr>
          <a:picLocks noChangeAspect="1" noChangeArrowheads="1"/>
          <a:extLst/>
        </xdr:cNvPicPr>
      </xdr:nvPicPr>
      <xdr:blipFill>
        <a:blip xmlns:r="http://schemas.openxmlformats.org/officeDocument/2006/relationships" r:embed="rId1"/>
        <a:srcRect/>
        <a:stretch>
          <a:fillRect/>
        </a:stretch>
      </xdr:blipFill>
      <xdr:spPr bwMode="auto">
        <a:xfrm>
          <a:off x="609600" y="20193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122</xdr:row>
      <xdr:rowOff>176894</xdr:rowOff>
    </xdr:from>
    <xdr:ext cx="18008063" cy="3743325"/>
    <xdr:pic>
      <xdr:nvPicPr>
        <xdr:cNvPr id="111" name="Picture 110"/>
        <xdr:cNvPicPr>
          <a:picLocks noChangeAspect="1" noChangeArrowheads="1"/>
          <a:extLst/>
        </xdr:cNvPicPr>
      </xdr:nvPicPr>
      <xdr:blipFill>
        <a:blip xmlns:r="http://schemas.openxmlformats.org/officeDocument/2006/relationships" r:embed="rId2"/>
        <a:srcRect/>
        <a:stretch>
          <a:fillRect/>
        </a:stretch>
      </xdr:blipFill>
      <xdr:spPr bwMode="auto">
        <a:xfrm>
          <a:off x="621846" y="23417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32</xdr:row>
      <xdr:rowOff>13608</xdr:rowOff>
    </xdr:from>
    <xdr:to>
      <xdr:col>12</xdr:col>
      <xdr:colOff>27214</xdr:colOff>
      <xdr:row>33</xdr:row>
      <xdr:rowOff>190502</xdr:rowOff>
    </xdr:to>
    <xdr:cxnSp macro="">
      <xdr:nvCxnSpPr>
        <xdr:cNvPr id="112" name="Straight Connector 111"/>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13" name="Straight Connector 112"/>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32</xdr:row>
      <xdr:rowOff>0</xdr:rowOff>
    </xdr:from>
    <xdr:to>
      <xdr:col>15</xdr:col>
      <xdr:colOff>0</xdr:colOff>
      <xdr:row>33</xdr:row>
      <xdr:rowOff>190501</xdr:rowOff>
    </xdr:to>
    <xdr:cxnSp macro="">
      <xdr:nvCxnSpPr>
        <xdr:cNvPr id="114" name="Straight Connector 113"/>
        <xdr:cNvCxnSpPr/>
      </xdr:nvCxnSpPr>
      <xdr:spPr>
        <a:xfrm flipV="1">
          <a:off x="8533039" y="6096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27215</xdr:rowOff>
    </xdr:from>
    <xdr:to>
      <xdr:col>10</xdr:col>
      <xdr:colOff>911678</xdr:colOff>
      <xdr:row>34</xdr:row>
      <xdr:rowOff>0</xdr:rowOff>
    </xdr:to>
    <xdr:cxnSp macro="">
      <xdr:nvCxnSpPr>
        <xdr:cNvPr id="115" name="Straight Connector 114"/>
        <xdr:cNvCxnSpPr/>
      </xdr:nvCxnSpPr>
      <xdr:spPr>
        <a:xfrm flipV="1">
          <a:off x="6096000" y="6123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32</xdr:row>
      <xdr:rowOff>13607</xdr:rowOff>
    </xdr:from>
    <xdr:to>
      <xdr:col>16</xdr:col>
      <xdr:colOff>0</xdr:colOff>
      <xdr:row>34</xdr:row>
      <xdr:rowOff>0</xdr:rowOff>
    </xdr:to>
    <xdr:cxnSp macro="">
      <xdr:nvCxnSpPr>
        <xdr:cNvPr id="116" name="Straight Connector 115"/>
        <xdr:cNvCxnSpPr/>
      </xdr:nvCxnSpPr>
      <xdr:spPr>
        <a:xfrm flipV="1">
          <a:off x="9171214" y="6109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50</xdr:row>
      <xdr:rowOff>40821</xdr:rowOff>
    </xdr:from>
    <xdr:to>
      <xdr:col>15</xdr:col>
      <xdr:colOff>952500</xdr:colOff>
      <xdr:row>51</xdr:row>
      <xdr:rowOff>163285</xdr:rowOff>
    </xdr:to>
    <xdr:cxnSp macro="">
      <xdr:nvCxnSpPr>
        <xdr:cNvPr id="117" name="Straight Connector 116"/>
        <xdr:cNvCxnSpPr/>
      </xdr:nvCxnSpPr>
      <xdr:spPr>
        <a:xfrm flipV="1">
          <a:off x="9225642" y="9565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50</xdr:row>
      <xdr:rowOff>13607</xdr:rowOff>
    </xdr:from>
    <xdr:to>
      <xdr:col>10</xdr:col>
      <xdr:colOff>911677</xdr:colOff>
      <xdr:row>52</xdr:row>
      <xdr:rowOff>0</xdr:rowOff>
    </xdr:to>
    <xdr:cxnSp macro="">
      <xdr:nvCxnSpPr>
        <xdr:cNvPr id="118" name="Straight Connector 117"/>
        <xdr:cNvCxnSpPr/>
      </xdr:nvCxnSpPr>
      <xdr:spPr>
        <a:xfrm flipV="1">
          <a:off x="6109607" y="9538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119" name="Straight Connector 118"/>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120" name="Straight Connector 119"/>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50</xdr:row>
      <xdr:rowOff>54428</xdr:rowOff>
    </xdr:from>
    <xdr:to>
      <xdr:col>14</xdr:col>
      <xdr:colOff>884463</xdr:colOff>
      <xdr:row>51</xdr:row>
      <xdr:rowOff>163285</xdr:rowOff>
    </xdr:to>
    <xdr:cxnSp macro="">
      <xdr:nvCxnSpPr>
        <xdr:cNvPr id="121" name="Straight Connector 120"/>
        <xdr:cNvCxnSpPr/>
      </xdr:nvCxnSpPr>
      <xdr:spPr>
        <a:xfrm flipV="1">
          <a:off x="8537119" y="9579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52</xdr:row>
      <xdr:rowOff>27214</xdr:rowOff>
    </xdr:from>
    <xdr:to>
      <xdr:col>15</xdr:col>
      <xdr:colOff>898072</xdr:colOff>
      <xdr:row>53</xdr:row>
      <xdr:rowOff>149678</xdr:rowOff>
    </xdr:to>
    <xdr:cxnSp macro="">
      <xdr:nvCxnSpPr>
        <xdr:cNvPr id="122" name="Straight Connector 121"/>
        <xdr:cNvCxnSpPr/>
      </xdr:nvCxnSpPr>
      <xdr:spPr>
        <a:xfrm flipV="1">
          <a:off x="9171214" y="9933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123" name="Straight Connector 122"/>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24" name="Straight Connector 123"/>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25" name="Straight Connector 124"/>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126" name="Straight Connector 125"/>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127" name="Straight Connector 126"/>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28" name="Straight Connector 127"/>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29" name="Straight Connector 128"/>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30" name="Straight Connector 129"/>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31" name="Straight Connector 130"/>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132" name="Straight Connector 131"/>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33" name="Straight Connector 132"/>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34" name="Straight Connector 133"/>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35" name="Straight Connector 134"/>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36" name="Straight Connector 135"/>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37" name="Straight Connector 136"/>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38" name="Straight Connector 137"/>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39" name="Straight Connector 138"/>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27215</xdr:rowOff>
    </xdr:from>
    <xdr:to>
      <xdr:col>10</xdr:col>
      <xdr:colOff>911678</xdr:colOff>
      <xdr:row>32</xdr:row>
      <xdr:rowOff>0</xdr:rowOff>
    </xdr:to>
    <xdr:cxnSp macro="">
      <xdr:nvCxnSpPr>
        <xdr:cNvPr id="140" name="Straight Connector 139"/>
        <xdr:cNvCxnSpPr/>
      </xdr:nvCxnSpPr>
      <xdr:spPr>
        <a:xfrm flipV="1">
          <a:off x="6096000" y="5742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30</xdr:row>
      <xdr:rowOff>13607</xdr:rowOff>
    </xdr:from>
    <xdr:to>
      <xdr:col>16</xdr:col>
      <xdr:colOff>0</xdr:colOff>
      <xdr:row>31</xdr:row>
      <xdr:rowOff>190500</xdr:rowOff>
    </xdr:to>
    <xdr:cxnSp macro="">
      <xdr:nvCxnSpPr>
        <xdr:cNvPr id="141" name="Straight Connector 140"/>
        <xdr:cNvCxnSpPr/>
      </xdr:nvCxnSpPr>
      <xdr:spPr>
        <a:xfrm flipV="1">
          <a:off x="9144000" y="5728607"/>
          <a:ext cx="60960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41</xdr:row>
      <xdr:rowOff>27216</xdr:rowOff>
    </xdr:from>
    <xdr:to>
      <xdr:col>16</xdr:col>
      <xdr:colOff>27215</xdr:colOff>
      <xdr:row>42</xdr:row>
      <xdr:rowOff>176893</xdr:rowOff>
    </xdr:to>
    <xdr:cxnSp macro="">
      <xdr:nvCxnSpPr>
        <xdr:cNvPr id="142" name="Straight Connector 141"/>
        <xdr:cNvCxnSpPr/>
      </xdr:nvCxnSpPr>
      <xdr:spPr>
        <a:xfrm flipV="1">
          <a:off x="9198428" y="7837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898071</xdr:colOff>
      <xdr:row>4</xdr:row>
      <xdr:rowOff>0</xdr:rowOff>
    </xdr:from>
    <xdr:to>
      <xdr:col>16</xdr:col>
      <xdr:colOff>13607</xdr:colOff>
      <xdr:row>4</xdr:row>
      <xdr:rowOff>1</xdr:rowOff>
    </xdr:to>
    <xdr:cxnSp macro="">
      <xdr:nvCxnSpPr>
        <xdr:cNvPr id="143" name="Straight Connector 142"/>
        <xdr:cNvCxnSpPr/>
      </xdr:nvCxnSpPr>
      <xdr:spPr>
        <a:xfrm flipV="1">
          <a:off x="9146721" y="762000"/>
          <a:ext cx="62048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44" name="Straight Connector 143"/>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0</xdr:colOff>
      <xdr:row>5</xdr:row>
      <xdr:rowOff>192202</xdr:rowOff>
    </xdr:to>
    <xdr:cxnSp macro="">
      <xdr:nvCxnSpPr>
        <xdr:cNvPr id="145" name="Straight Connector 144"/>
        <xdr:cNvCxnSpPr/>
      </xdr:nvCxnSpPr>
      <xdr:spPr>
        <a:xfrm flipV="1">
          <a:off x="7349218" y="762000"/>
          <a:ext cx="575582"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4</xdr:row>
      <xdr:rowOff>0</xdr:rowOff>
    </xdr:from>
    <xdr:to>
      <xdr:col>15</xdr:col>
      <xdr:colOff>13607</xdr:colOff>
      <xdr:row>5</xdr:row>
      <xdr:rowOff>190501</xdr:rowOff>
    </xdr:to>
    <xdr:cxnSp macro="">
      <xdr:nvCxnSpPr>
        <xdr:cNvPr id="146" name="Straight Connector 145"/>
        <xdr:cNvCxnSpPr/>
      </xdr:nvCxnSpPr>
      <xdr:spPr>
        <a:xfrm flipV="1">
          <a:off x="8561614" y="762000"/>
          <a:ext cx="595993"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4</xdr:row>
      <xdr:rowOff>2</xdr:rowOff>
    </xdr:from>
    <xdr:to>
      <xdr:col>11</xdr:col>
      <xdr:colOff>40820</xdr:colOff>
      <xdr:row>5</xdr:row>
      <xdr:rowOff>176893</xdr:rowOff>
    </xdr:to>
    <xdr:cxnSp macro="">
      <xdr:nvCxnSpPr>
        <xdr:cNvPr id="147" name="Straight Connector 146"/>
        <xdr:cNvCxnSpPr/>
      </xdr:nvCxnSpPr>
      <xdr:spPr>
        <a:xfrm flipV="1">
          <a:off x="6164035" y="762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13607</xdr:rowOff>
    </xdr:from>
    <xdr:to>
      <xdr:col>16</xdr:col>
      <xdr:colOff>27214</xdr:colOff>
      <xdr:row>5</xdr:row>
      <xdr:rowOff>176893</xdr:rowOff>
    </xdr:to>
    <xdr:cxnSp macro="">
      <xdr:nvCxnSpPr>
        <xdr:cNvPr id="148" name="Straight Connector 147"/>
        <xdr:cNvCxnSpPr/>
      </xdr:nvCxnSpPr>
      <xdr:spPr>
        <a:xfrm flipV="1">
          <a:off x="9198428" y="775607"/>
          <a:ext cx="582386"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38</xdr:row>
      <xdr:rowOff>13608</xdr:rowOff>
    </xdr:from>
    <xdr:to>
      <xdr:col>12</xdr:col>
      <xdr:colOff>27214</xdr:colOff>
      <xdr:row>39</xdr:row>
      <xdr:rowOff>190502</xdr:rowOff>
    </xdr:to>
    <xdr:cxnSp macro="">
      <xdr:nvCxnSpPr>
        <xdr:cNvPr id="149" name="Straight Connector 148"/>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150" name="Straight Connector 149"/>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38</xdr:row>
      <xdr:rowOff>40821</xdr:rowOff>
    </xdr:from>
    <xdr:to>
      <xdr:col>14</xdr:col>
      <xdr:colOff>911678</xdr:colOff>
      <xdr:row>39</xdr:row>
      <xdr:rowOff>149677</xdr:rowOff>
    </xdr:to>
    <xdr:cxnSp macro="">
      <xdr:nvCxnSpPr>
        <xdr:cNvPr id="151" name="Straight Connector 150"/>
        <xdr:cNvCxnSpPr/>
      </xdr:nvCxnSpPr>
      <xdr:spPr>
        <a:xfrm flipV="1">
          <a:off x="8561613" y="727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152" name="Straight Connector 151"/>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153" name="Straight Connector 152"/>
        <xdr:cNvCxnSpPr/>
      </xdr:nvCxnSpPr>
      <xdr:spPr>
        <a:xfrm flipV="1">
          <a:off x="9198428" y="726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26</xdr:row>
      <xdr:rowOff>13608</xdr:rowOff>
    </xdr:from>
    <xdr:to>
      <xdr:col>12</xdr:col>
      <xdr:colOff>27214</xdr:colOff>
      <xdr:row>27</xdr:row>
      <xdr:rowOff>190502</xdr:rowOff>
    </xdr:to>
    <xdr:cxnSp macro="">
      <xdr:nvCxnSpPr>
        <xdr:cNvPr id="155" name="Straight Connector 154"/>
        <xdr:cNvCxnSpPr/>
      </xdr:nvCxnSpPr>
      <xdr:spPr>
        <a:xfrm flipV="1">
          <a:off x="6787242" y="496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56" name="Straight Connector 155"/>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57" name="Straight Connector 156"/>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13609</xdr:rowOff>
    </xdr:from>
    <xdr:to>
      <xdr:col>10</xdr:col>
      <xdr:colOff>911678</xdr:colOff>
      <xdr:row>27</xdr:row>
      <xdr:rowOff>190501</xdr:rowOff>
    </xdr:to>
    <xdr:cxnSp macro="">
      <xdr:nvCxnSpPr>
        <xdr:cNvPr id="158" name="Straight Connector 157"/>
        <xdr:cNvCxnSpPr/>
      </xdr:nvCxnSpPr>
      <xdr:spPr>
        <a:xfrm flipV="1">
          <a:off x="6109607" y="4966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59" name="Straight Connector 158"/>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34</xdr:row>
      <xdr:rowOff>13608</xdr:rowOff>
    </xdr:from>
    <xdr:to>
      <xdr:col>12</xdr:col>
      <xdr:colOff>27214</xdr:colOff>
      <xdr:row>35</xdr:row>
      <xdr:rowOff>190500</xdr:rowOff>
    </xdr:to>
    <xdr:cxnSp macro="">
      <xdr:nvCxnSpPr>
        <xdr:cNvPr id="160" name="Straight Connector 159"/>
        <xdr:cNvCxnSpPr/>
      </xdr:nvCxnSpPr>
      <xdr:spPr>
        <a:xfrm flipV="1">
          <a:off x="6732814" y="6490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61" name="Straight Connector 160"/>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33</xdr:row>
      <xdr:rowOff>190500</xdr:rowOff>
    </xdr:from>
    <xdr:to>
      <xdr:col>15</xdr:col>
      <xdr:colOff>27214</xdr:colOff>
      <xdr:row>35</xdr:row>
      <xdr:rowOff>176894</xdr:rowOff>
    </xdr:to>
    <xdr:cxnSp macro="">
      <xdr:nvCxnSpPr>
        <xdr:cNvPr id="162" name="Straight Connector 161"/>
        <xdr:cNvCxnSpPr/>
      </xdr:nvCxnSpPr>
      <xdr:spPr>
        <a:xfrm flipV="1">
          <a:off x="8561614" y="6477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34</xdr:row>
      <xdr:rowOff>0</xdr:rowOff>
    </xdr:from>
    <xdr:to>
      <xdr:col>11</xdr:col>
      <xdr:colOff>13607</xdr:colOff>
      <xdr:row>35</xdr:row>
      <xdr:rowOff>176892</xdr:rowOff>
    </xdr:to>
    <xdr:cxnSp macro="">
      <xdr:nvCxnSpPr>
        <xdr:cNvPr id="163" name="Straight Connector 162"/>
        <xdr:cNvCxnSpPr/>
      </xdr:nvCxnSpPr>
      <xdr:spPr>
        <a:xfrm flipV="1">
          <a:off x="6123215" y="6477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34</xdr:row>
      <xdr:rowOff>0</xdr:rowOff>
    </xdr:from>
    <xdr:to>
      <xdr:col>15</xdr:col>
      <xdr:colOff>952500</xdr:colOff>
      <xdr:row>35</xdr:row>
      <xdr:rowOff>190501</xdr:rowOff>
    </xdr:to>
    <xdr:cxnSp macro="">
      <xdr:nvCxnSpPr>
        <xdr:cNvPr id="164" name="Straight Connector 163"/>
        <xdr:cNvCxnSpPr/>
      </xdr:nvCxnSpPr>
      <xdr:spPr>
        <a:xfrm flipV="1">
          <a:off x="9141279" y="6477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28</xdr:row>
      <xdr:rowOff>13608</xdr:rowOff>
    </xdr:from>
    <xdr:to>
      <xdr:col>12</xdr:col>
      <xdr:colOff>27214</xdr:colOff>
      <xdr:row>29</xdr:row>
      <xdr:rowOff>190502</xdr:rowOff>
    </xdr:to>
    <xdr:cxnSp macro="">
      <xdr:nvCxnSpPr>
        <xdr:cNvPr id="165" name="Straight Connector 164"/>
        <xdr:cNvCxnSpPr/>
      </xdr:nvCxnSpPr>
      <xdr:spPr>
        <a:xfrm flipV="1">
          <a:off x="6787242" y="534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66" name="Straight Connector 165"/>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67" name="Straight Connector 166"/>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28</xdr:row>
      <xdr:rowOff>27216</xdr:rowOff>
    </xdr:from>
    <xdr:to>
      <xdr:col>10</xdr:col>
      <xdr:colOff>898071</xdr:colOff>
      <xdr:row>30</xdr:row>
      <xdr:rowOff>0</xdr:rowOff>
    </xdr:to>
    <xdr:cxnSp macro="">
      <xdr:nvCxnSpPr>
        <xdr:cNvPr id="168" name="Straight Connector 167"/>
        <xdr:cNvCxnSpPr/>
      </xdr:nvCxnSpPr>
      <xdr:spPr>
        <a:xfrm flipV="1">
          <a:off x="6096000" y="5361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69" name="Straight Connector 168"/>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170" name="Straight Connector 169"/>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71" name="Straight Connector 170"/>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72" name="Straight Connector 171"/>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173" name="Straight Connector 172"/>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74" name="Straight Connector 173"/>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75" name="Straight Connector 174"/>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76" name="Straight Connector 175"/>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77" name="Straight Connector 176"/>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31750</xdr:colOff>
      <xdr:row>16</xdr:row>
      <xdr:rowOff>3</xdr:rowOff>
    </xdr:from>
    <xdr:to>
      <xdr:col>11</xdr:col>
      <xdr:colOff>40820</xdr:colOff>
      <xdr:row>18</xdr:row>
      <xdr:rowOff>15875</xdr:rowOff>
    </xdr:to>
    <xdr:cxnSp macro="">
      <xdr:nvCxnSpPr>
        <xdr:cNvPr id="178" name="Straight Connector 177"/>
        <xdr:cNvCxnSpPr/>
      </xdr:nvCxnSpPr>
      <xdr:spPr>
        <a:xfrm flipV="1">
          <a:off x="6127750" y="3048003"/>
          <a:ext cx="618670" cy="39687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79" name="Straight Connector 178"/>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80" name="Straight Connector 179"/>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81" name="Straight Connector 180"/>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82" name="Straight Connector 181"/>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83" name="Straight Connector 182"/>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84" name="Straight Connector 183"/>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185" name="Straight Connector 184"/>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86" name="Straight Connector 185"/>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87" name="Straight Connector 186"/>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188" name="Straight Connector 187"/>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89" name="Straight Connector 188"/>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190" name="Straight Connector 189"/>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191" name="Straight Connector 190"/>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192" name="Straight Connector 191"/>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193" name="Straight Connector 192"/>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194" name="Straight Connector 193"/>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95" name="Straight Connector 194"/>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0</xdr:rowOff>
    </xdr:from>
    <xdr:to>
      <xdr:col>13</xdr:col>
      <xdr:colOff>13607</xdr:colOff>
      <xdr:row>7</xdr:row>
      <xdr:rowOff>192202</xdr:rowOff>
    </xdr:to>
    <xdr:cxnSp macro="">
      <xdr:nvCxnSpPr>
        <xdr:cNvPr id="196" name="Straight Connector 195"/>
        <xdr:cNvCxnSpPr/>
      </xdr:nvCxnSpPr>
      <xdr:spPr>
        <a:xfrm flipV="1">
          <a:off x="7349218" y="1143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97" name="Straight Connector 196"/>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6</xdr:row>
      <xdr:rowOff>13609</xdr:rowOff>
    </xdr:from>
    <xdr:to>
      <xdr:col>11</xdr:col>
      <xdr:colOff>13606</xdr:colOff>
      <xdr:row>7</xdr:row>
      <xdr:rowOff>190500</xdr:rowOff>
    </xdr:to>
    <xdr:cxnSp macro="">
      <xdr:nvCxnSpPr>
        <xdr:cNvPr id="198" name="Straight Connector 197"/>
        <xdr:cNvCxnSpPr/>
      </xdr:nvCxnSpPr>
      <xdr:spPr>
        <a:xfrm flipV="1">
          <a:off x="6136821" y="1156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99" name="Straight Connector 198"/>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200" name="Straight Connector 199"/>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201" name="Straight Connector 200"/>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202" name="Straight Connector 201"/>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203" name="Straight Connector 202"/>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04" name="Straight Connector 203"/>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205" name="Straight Connector 204"/>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206" name="Straight Connector 205"/>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36</xdr:row>
      <xdr:rowOff>40821</xdr:rowOff>
    </xdr:from>
    <xdr:to>
      <xdr:col>14</xdr:col>
      <xdr:colOff>911678</xdr:colOff>
      <xdr:row>37</xdr:row>
      <xdr:rowOff>149677</xdr:rowOff>
    </xdr:to>
    <xdr:cxnSp macro="">
      <xdr:nvCxnSpPr>
        <xdr:cNvPr id="207" name="Straight Connector 206"/>
        <xdr:cNvCxnSpPr/>
      </xdr:nvCxnSpPr>
      <xdr:spPr>
        <a:xfrm flipV="1">
          <a:off x="8561613" y="689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208" name="Straight Connector 207"/>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209" name="Straight Connector 208"/>
        <xdr:cNvCxnSpPr/>
      </xdr:nvCxnSpPr>
      <xdr:spPr>
        <a:xfrm flipV="1">
          <a:off x="9198428" y="688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210" name="Straight Connector 209"/>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211" name="Straight Connector 210"/>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212" name="Straight Connector 211"/>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213" name="Straight Connector 212"/>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214" name="Straight Connector 213"/>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215" name="Straight Connector 214"/>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216" name="Straight Connector 215"/>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217" name="Straight Connector 216"/>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218" name="Straight Connector 217"/>
        <xdr:cNvCxnSpPr/>
      </xdr:nvCxnSpPr>
      <xdr:spPr>
        <a:xfrm flipV="1">
          <a:off x="6109607" y="3429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219" name="Straight Connector 218"/>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220" name="Straight Connector 219"/>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221" name="Straight Connector 220"/>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222" name="Straight Connector 221"/>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223" name="Straight Connector 222"/>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24" name="Straight Connector 223"/>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13607</xdr:colOff>
      <xdr:row>53</xdr:row>
      <xdr:rowOff>13608</xdr:rowOff>
    </xdr:from>
    <xdr:to>
      <xdr:col>11</xdr:col>
      <xdr:colOff>898071</xdr:colOff>
      <xdr:row>54</xdr:row>
      <xdr:rowOff>190502</xdr:rowOff>
    </xdr:to>
    <xdr:cxnSp macro="">
      <xdr:nvCxnSpPr>
        <xdr:cNvPr id="2" name="Straight Connector 1"/>
        <xdr:cNvCxnSpPr/>
      </xdr:nvCxnSpPr>
      <xdr:spPr>
        <a:xfrm flipV="1">
          <a:off x="6719207" y="101101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53</xdr:row>
      <xdr:rowOff>40824</xdr:rowOff>
    </xdr:from>
    <xdr:to>
      <xdr:col>12</xdr:col>
      <xdr:colOff>898072</xdr:colOff>
      <xdr:row>54</xdr:row>
      <xdr:rowOff>190500</xdr:rowOff>
    </xdr:to>
    <xdr:cxnSp macro="">
      <xdr:nvCxnSpPr>
        <xdr:cNvPr id="3" name="Straight Connector 2"/>
        <xdr:cNvCxnSpPr/>
      </xdr:nvCxnSpPr>
      <xdr:spPr>
        <a:xfrm flipV="1">
          <a:off x="7315200" y="101373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53</xdr:row>
      <xdr:rowOff>40824</xdr:rowOff>
    </xdr:from>
    <xdr:to>
      <xdr:col>14</xdr:col>
      <xdr:colOff>884465</xdr:colOff>
      <xdr:row>54</xdr:row>
      <xdr:rowOff>176893</xdr:rowOff>
    </xdr:to>
    <xdr:cxnSp macro="">
      <xdr:nvCxnSpPr>
        <xdr:cNvPr id="4" name="Straight Connector 3"/>
        <xdr:cNvCxnSpPr/>
      </xdr:nvCxnSpPr>
      <xdr:spPr>
        <a:xfrm flipV="1">
          <a:off x="8561614" y="101373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53</xdr:row>
      <xdr:rowOff>27214</xdr:rowOff>
    </xdr:from>
    <xdr:to>
      <xdr:col>16</xdr:col>
      <xdr:colOff>0</xdr:colOff>
      <xdr:row>55</xdr:row>
      <xdr:rowOff>0</xdr:rowOff>
    </xdr:to>
    <xdr:cxnSp macro="">
      <xdr:nvCxnSpPr>
        <xdr:cNvPr id="5" name="Straight Connector 4"/>
        <xdr:cNvCxnSpPr/>
      </xdr:nvCxnSpPr>
      <xdr:spPr>
        <a:xfrm flipV="1">
          <a:off x="9144001" y="101237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53</xdr:row>
      <xdr:rowOff>1</xdr:rowOff>
    </xdr:from>
    <xdr:to>
      <xdr:col>11</xdr:col>
      <xdr:colOff>13607</xdr:colOff>
      <xdr:row>54</xdr:row>
      <xdr:rowOff>176895</xdr:rowOff>
    </xdr:to>
    <xdr:cxnSp macro="">
      <xdr:nvCxnSpPr>
        <xdr:cNvPr id="6" name="Straight Connector 5"/>
        <xdr:cNvCxnSpPr/>
      </xdr:nvCxnSpPr>
      <xdr:spPr>
        <a:xfrm flipV="1">
          <a:off x="6150429" y="100965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57</xdr:row>
      <xdr:rowOff>13608</xdr:rowOff>
    </xdr:from>
    <xdr:to>
      <xdr:col>11</xdr:col>
      <xdr:colOff>898071</xdr:colOff>
      <xdr:row>58</xdr:row>
      <xdr:rowOff>190502</xdr:rowOff>
    </xdr:to>
    <xdr:cxnSp macro="">
      <xdr:nvCxnSpPr>
        <xdr:cNvPr id="7" name="Straight Connector 6"/>
        <xdr:cNvCxnSpPr/>
      </xdr:nvCxnSpPr>
      <xdr:spPr>
        <a:xfrm flipV="1">
          <a:off x="6719207" y="108721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57</xdr:row>
      <xdr:rowOff>40824</xdr:rowOff>
    </xdr:from>
    <xdr:to>
      <xdr:col>12</xdr:col>
      <xdr:colOff>898072</xdr:colOff>
      <xdr:row>58</xdr:row>
      <xdr:rowOff>190500</xdr:rowOff>
    </xdr:to>
    <xdr:cxnSp macro="">
      <xdr:nvCxnSpPr>
        <xdr:cNvPr id="8" name="Straight Connector 7"/>
        <xdr:cNvCxnSpPr/>
      </xdr:nvCxnSpPr>
      <xdr:spPr>
        <a:xfrm flipV="1">
          <a:off x="7315200" y="108993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57</xdr:row>
      <xdr:rowOff>40824</xdr:rowOff>
    </xdr:from>
    <xdr:to>
      <xdr:col>14</xdr:col>
      <xdr:colOff>884465</xdr:colOff>
      <xdr:row>58</xdr:row>
      <xdr:rowOff>176893</xdr:rowOff>
    </xdr:to>
    <xdr:cxnSp macro="">
      <xdr:nvCxnSpPr>
        <xdr:cNvPr id="9" name="Straight Connector 8"/>
        <xdr:cNvCxnSpPr/>
      </xdr:nvCxnSpPr>
      <xdr:spPr>
        <a:xfrm flipV="1">
          <a:off x="8561614" y="108993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57</xdr:row>
      <xdr:rowOff>13608</xdr:rowOff>
    </xdr:from>
    <xdr:to>
      <xdr:col>10</xdr:col>
      <xdr:colOff>884464</xdr:colOff>
      <xdr:row>59</xdr:row>
      <xdr:rowOff>0</xdr:rowOff>
    </xdr:to>
    <xdr:cxnSp macro="">
      <xdr:nvCxnSpPr>
        <xdr:cNvPr id="10" name="Straight Connector 9"/>
        <xdr:cNvCxnSpPr/>
      </xdr:nvCxnSpPr>
      <xdr:spPr>
        <a:xfrm flipV="1">
          <a:off x="6097361" y="108721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57</xdr:row>
      <xdr:rowOff>27217</xdr:rowOff>
    </xdr:from>
    <xdr:to>
      <xdr:col>15</xdr:col>
      <xdr:colOff>938894</xdr:colOff>
      <xdr:row>58</xdr:row>
      <xdr:rowOff>163286</xdr:rowOff>
    </xdr:to>
    <xdr:cxnSp macro="">
      <xdr:nvCxnSpPr>
        <xdr:cNvPr id="11" name="Straight Connector 10"/>
        <xdr:cNvCxnSpPr/>
      </xdr:nvCxnSpPr>
      <xdr:spPr>
        <a:xfrm flipV="1">
          <a:off x="9225643" y="108857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55</xdr:row>
      <xdr:rowOff>13608</xdr:rowOff>
    </xdr:from>
    <xdr:to>
      <xdr:col>11</xdr:col>
      <xdr:colOff>898071</xdr:colOff>
      <xdr:row>56</xdr:row>
      <xdr:rowOff>190502</xdr:rowOff>
    </xdr:to>
    <xdr:cxnSp macro="">
      <xdr:nvCxnSpPr>
        <xdr:cNvPr id="12" name="Straight Connector 11"/>
        <xdr:cNvCxnSpPr/>
      </xdr:nvCxnSpPr>
      <xdr:spPr>
        <a:xfrm flipV="1">
          <a:off x="6719207" y="104911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55</xdr:row>
      <xdr:rowOff>40824</xdr:rowOff>
    </xdr:from>
    <xdr:to>
      <xdr:col>12</xdr:col>
      <xdr:colOff>898072</xdr:colOff>
      <xdr:row>56</xdr:row>
      <xdr:rowOff>190500</xdr:rowOff>
    </xdr:to>
    <xdr:cxnSp macro="">
      <xdr:nvCxnSpPr>
        <xdr:cNvPr id="13" name="Straight Connector 12"/>
        <xdr:cNvCxnSpPr/>
      </xdr:nvCxnSpPr>
      <xdr:spPr>
        <a:xfrm flipV="1">
          <a:off x="7315200" y="105183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55</xdr:row>
      <xdr:rowOff>13608</xdr:rowOff>
    </xdr:from>
    <xdr:to>
      <xdr:col>14</xdr:col>
      <xdr:colOff>911679</xdr:colOff>
      <xdr:row>56</xdr:row>
      <xdr:rowOff>204107</xdr:rowOff>
    </xdr:to>
    <xdr:cxnSp macro="">
      <xdr:nvCxnSpPr>
        <xdr:cNvPr id="14" name="Straight Connector 13"/>
        <xdr:cNvCxnSpPr/>
      </xdr:nvCxnSpPr>
      <xdr:spPr>
        <a:xfrm flipV="1">
          <a:off x="8533039" y="10491108"/>
          <a:ext cx="608240" cy="37147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55</xdr:row>
      <xdr:rowOff>13608</xdr:rowOff>
    </xdr:from>
    <xdr:to>
      <xdr:col>10</xdr:col>
      <xdr:colOff>884464</xdr:colOff>
      <xdr:row>57</xdr:row>
      <xdr:rowOff>0</xdr:rowOff>
    </xdr:to>
    <xdr:cxnSp macro="">
      <xdr:nvCxnSpPr>
        <xdr:cNvPr id="15" name="Straight Connector 14"/>
        <xdr:cNvCxnSpPr/>
      </xdr:nvCxnSpPr>
      <xdr:spPr>
        <a:xfrm flipV="1">
          <a:off x="6097361" y="104911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55</xdr:row>
      <xdr:rowOff>27217</xdr:rowOff>
    </xdr:from>
    <xdr:to>
      <xdr:col>15</xdr:col>
      <xdr:colOff>938894</xdr:colOff>
      <xdr:row>56</xdr:row>
      <xdr:rowOff>163286</xdr:rowOff>
    </xdr:to>
    <xdr:cxnSp macro="">
      <xdr:nvCxnSpPr>
        <xdr:cNvPr id="16" name="Straight Connector 15"/>
        <xdr:cNvCxnSpPr/>
      </xdr:nvCxnSpPr>
      <xdr:spPr>
        <a:xfrm flipV="1">
          <a:off x="9225643" y="105047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66</xdr:row>
      <xdr:rowOff>13608</xdr:rowOff>
    </xdr:from>
    <xdr:to>
      <xdr:col>12</xdr:col>
      <xdr:colOff>27214</xdr:colOff>
      <xdr:row>67</xdr:row>
      <xdr:rowOff>190502</xdr:rowOff>
    </xdr:to>
    <xdr:cxnSp macro="">
      <xdr:nvCxnSpPr>
        <xdr:cNvPr id="17" name="Straight Connector 16"/>
        <xdr:cNvCxnSpPr/>
      </xdr:nvCxnSpPr>
      <xdr:spPr>
        <a:xfrm flipV="1">
          <a:off x="6787242" y="1258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66</xdr:row>
      <xdr:rowOff>13608</xdr:rowOff>
    </xdr:from>
    <xdr:to>
      <xdr:col>11</xdr:col>
      <xdr:colOff>51026</xdr:colOff>
      <xdr:row>68</xdr:row>
      <xdr:rowOff>0</xdr:rowOff>
    </xdr:to>
    <xdr:cxnSp macro="">
      <xdr:nvCxnSpPr>
        <xdr:cNvPr id="18" name="Straight Connector 17"/>
        <xdr:cNvCxnSpPr/>
      </xdr:nvCxnSpPr>
      <xdr:spPr>
        <a:xfrm flipV="1">
          <a:off x="6109607" y="12586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66</xdr:row>
      <xdr:rowOff>17011</xdr:rowOff>
    </xdr:from>
    <xdr:to>
      <xdr:col>12</xdr:col>
      <xdr:colOff>916780</xdr:colOff>
      <xdr:row>67</xdr:row>
      <xdr:rowOff>192201</xdr:rowOff>
    </xdr:to>
    <xdr:cxnSp macro="">
      <xdr:nvCxnSpPr>
        <xdr:cNvPr id="19" name="Straight Connector 18"/>
        <xdr:cNvCxnSpPr/>
      </xdr:nvCxnSpPr>
      <xdr:spPr>
        <a:xfrm flipV="1">
          <a:off x="7349218" y="1259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66</xdr:row>
      <xdr:rowOff>18714</xdr:rowOff>
    </xdr:from>
    <xdr:to>
      <xdr:col>15</xdr:col>
      <xdr:colOff>887864</xdr:colOff>
      <xdr:row>67</xdr:row>
      <xdr:rowOff>190500</xdr:rowOff>
    </xdr:to>
    <xdr:cxnSp macro="">
      <xdr:nvCxnSpPr>
        <xdr:cNvPr id="20" name="Straight Connector 19"/>
        <xdr:cNvCxnSpPr/>
      </xdr:nvCxnSpPr>
      <xdr:spPr>
        <a:xfrm flipV="1">
          <a:off x="9171214" y="12591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68</xdr:row>
      <xdr:rowOff>13608</xdr:rowOff>
    </xdr:from>
    <xdr:to>
      <xdr:col>12</xdr:col>
      <xdr:colOff>27214</xdr:colOff>
      <xdr:row>69</xdr:row>
      <xdr:rowOff>190502</xdr:rowOff>
    </xdr:to>
    <xdr:cxnSp macro="">
      <xdr:nvCxnSpPr>
        <xdr:cNvPr id="21" name="Straight Connector 20"/>
        <xdr:cNvCxnSpPr/>
      </xdr:nvCxnSpPr>
      <xdr:spPr>
        <a:xfrm flipV="1">
          <a:off x="6787242" y="1296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68</xdr:row>
      <xdr:rowOff>13608</xdr:rowOff>
    </xdr:from>
    <xdr:to>
      <xdr:col>11</xdr:col>
      <xdr:colOff>51026</xdr:colOff>
      <xdr:row>70</xdr:row>
      <xdr:rowOff>0</xdr:rowOff>
    </xdr:to>
    <xdr:cxnSp macro="">
      <xdr:nvCxnSpPr>
        <xdr:cNvPr id="22" name="Straight Connector 21"/>
        <xdr:cNvCxnSpPr/>
      </xdr:nvCxnSpPr>
      <xdr:spPr>
        <a:xfrm flipV="1">
          <a:off x="6109607" y="1296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68</xdr:row>
      <xdr:rowOff>17011</xdr:rowOff>
    </xdr:from>
    <xdr:to>
      <xdr:col>12</xdr:col>
      <xdr:colOff>916780</xdr:colOff>
      <xdr:row>69</xdr:row>
      <xdr:rowOff>192201</xdr:rowOff>
    </xdr:to>
    <xdr:cxnSp macro="">
      <xdr:nvCxnSpPr>
        <xdr:cNvPr id="23" name="Straight Connector 22"/>
        <xdr:cNvCxnSpPr/>
      </xdr:nvCxnSpPr>
      <xdr:spPr>
        <a:xfrm flipV="1">
          <a:off x="7349218" y="1297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68</xdr:row>
      <xdr:rowOff>18714</xdr:rowOff>
    </xdr:from>
    <xdr:to>
      <xdr:col>15</xdr:col>
      <xdr:colOff>887864</xdr:colOff>
      <xdr:row>69</xdr:row>
      <xdr:rowOff>190500</xdr:rowOff>
    </xdr:to>
    <xdr:cxnSp macro="">
      <xdr:nvCxnSpPr>
        <xdr:cNvPr id="24" name="Straight Connector 23"/>
        <xdr:cNvCxnSpPr/>
      </xdr:nvCxnSpPr>
      <xdr:spPr>
        <a:xfrm flipV="1">
          <a:off x="9171214" y="1297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71</xdr:row>
      <xdr:rowOff>13608</xdr:rowOff>
    </xdr:from>
    <xdr:to>
      <xdr:col>12</xdr:col>
      <xdr:colOff>27214</xdr:colOff>
      <xdr:row>72</xdr:row>
      <xdr:rowOff>190502</xdr:rowOff>
    </xdr:to>
    <xdr:cxnSp macro="">
      <xdr:nvCxnSpPr>
        <xdr:cNvPr id="25" name="Straight Connector 24"/>
        <xdr:cNvCxnSpPr/>
      </xdr:nvCxnSpPr>
      <xdr:spPr>
        <a:xfrm flipV="1">
          <a:off x="6787242" y="13539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71</xdr:row>
      <xdr:rowOff>13608</xdr:rowOff>
    </xdr:from>
    <xdr:to>
      <xdr:col>11</xdr:col>
      <xdr:colOff>51026</xdr:colOff>
      <xdr:row>73</xdr:row>
      <xdr:rowOff>0</xdr:rowOff>
    </xdr:to>
    <xdr:cxnSp macro="">
      <xdr:nvCxnSpPr>
        <xdr:cNvPr id="26" name="Straight Connector 25"/>
        <xdr:cNvCxnSpPr/>
      </xdr:nvCxnSpPr>
      <xdr:spPr>
        <a:xfrm flipV="1">
          <a:off x="6109607" y="13539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71</xdr:row>
      <xdr:rowOff>17011</xdr:rowOff>
    </xdr:from>
    <xdr:to>
      <xdr:col>12</xdr:col>
      <xdr:colOff>916780</xdr:colOff>
      <xdr:row>72</xdr:row>
      <xdr:rowOff>192201</xdr:rowOff>
    </xdr:to>
    <xdr:cxnSp macro="">
      <xdr:nvCxnSpPr>
        <xdr:cNvPr id="27" name="Straight Connector 26"/>
        <xdr:cNvCxnSpPr/>
      </xdr:nvCxnSpPr>
      <xdr:spPr>
        <a:xfrm flipV="1">
          <a:off x="7349218" y="13542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71</xdr:row>
      <xdr:rowOff>18714</xdr:rowOff>
    </xdr:from>
    <xdr:to>
      <xdr:col>15</xdr:col>
      <xdr:colOff>887864</xdr:colOff>
      <xdr:row>72</xdr:row>
      <xdr:rowOff>190500</xdr:rowOff>
    </xdr:to>
    <xdr:cxnSp macro="">
      <xdr:nvCxnSpPr>
        <xdr:cNvPr id="28" name="Straight Connector 27"/>
        <xdr:cNvCxnSpPr/>
      </xdr:nvCxnSpPr>
      <xdr:spPr>
        <a:xfrm flipV="1">
          <a:off x="9171214" y="13544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73</xdr:row>
      <xdr:rowOff>13608</xdr:rowOff>
    </xdr:from>
    <xdr:to>
      <xdr:col>12</xdr:col>
      <xdr:colOff>27214</xdr:colOff>
      <xdr:row>74</xdr:row>
      <xdr:rowOff>190502</xdr:rowOff>
    </xdr:to>
    <xdr:cxnSp macro="">
      <xdr:nvCxnSpPr>
        <xdr:cNvPr id="29" name="Straight Connector 28"/>
        <xdr:cNvCxnSpPr/>
      </xdr:nvCxnSpPr>
      <xdr:spPr>
        <a:xfrm flipV="1">
          <a:off x="6787242" y="13920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73</xdr:row>
      <xdr:rowOff>13608</xdr:rowOff>
    </xdr:from>
    <xdr:to>
      <xdr:col>11</xdr:col>
      <xdr:colOff>51026</xdr:colOff>
      <xdr:row>75</xdr:row>
      <xdr:rowOff>0</xdr:rowOff>
    </xdr:to>
    <xdr:cxnSp macro="">
      <xdr:nvCxnSpPr>
        <xdr:cNvPr id="30" name="Straight Connector 29"/>
        <xdr:cNvCxnSpPr/>
      </xdr:nvCxnSpPr>
      <xdr:spPr>
        <a:xfrm flipV="1">
          <a:off x="6109607" y="13920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73</xdr:row>
      <xdr:rowOff>17011</xdr:rowOff>
    </xdr:from>
    <xdr:to>
      <xdr:col>12</xdr:col>
      <xdr:colOff>916780</xdr:colOff>
      <xdr:row>74</xdr:row>
      <xdr:rowOff>192201</xdr:rowOff>
    </xdr:to>
    <xdr:cxnSp macro="">
      <xdr:nvCxnSpPr>
        <xdr:cNvPr id="31" name="Straight Connector 30"/>
        <xdr:cNvCxnSpPr/>
      </xdr:nvCxnSpPr>
      <xdr:spPr>
        <a:xfrm flipV="1">
          <a:off x="7349218" y="13923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73</xdr:row>
      <xdr:rowOff>18714</xdr:rowOff>
    </xdr:from>
    <xdr:to>
      <xdr:col>15</xdr:col>
      <xdr:colOff>887864</xdr:colOff>
      <xdr:row>74</xdr:row>
      <xdr:rowOff>190500</xdr:rowOff>
    </xdr:to>
    <xdr:cxnSp macro="">
      <xdr:nvCxnSpPr>
        <xdr:cNvPr id="32" name="Straight Connector 31"/>
        <xdr:cNvCxnSpPr/>
      </xdr:nvCxnSpPr>
      <xdr:spPr>
        <a:xfrm flipV="1">
          <a:off x="9171214" y="13925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75</xdr:row>
      <xdr:rowOff>13608</xdr:rowOff>
    </xdr:from>
    <xdr:to>
      <xdr:col>12</xdr:col>
      <xdr:colOff>27214</xdr:colOff>
      <xdr:row>76</xdr:row>
      <xdr:rowOff>190502</xdr:rowOff>
    </xdr:to>
    <xdr:cxnSp macro="">
      <xdr:nvCxnSpPr>
        <xdr:cNvPr id="33" name="Straight Connector 32"/>
        <xdr:cNvCxnSpPr/>
      </xdr:nvCxnSpPr>
      <xdr:spPr>
        <a:xfrm flipV="1">
          <a:off x="6787242" y="1430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75</xdr:row>
      <xdr:rowOff>13608</xdr:rowOff>
    </xdr:from>
    <xdr:to>
      <xdr:col>11</xdr:col>
      <xdr:colOff>51026</xdr:colOff>
      <xdr:row>77</xdr:row>
      <xdr:rowOff>0</xdr:rowOff>
    </xdr:to>
    <xdr:cxnSp macro="">
      <xdr:nvCxnSpPr>
        <xdr:cNvPr id="34" name="Straight Connector 33"/>
        <xdr:cNvCxnSpPr/>
      </xdr:nvCxnSpPr>
      <xdr:spPr>
        <a:xfrm flipV="1">
          <a:off x="6109607" y="1430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75</xdr:row>
      <xdr:rowOff>17011</xdr:rowOff>
    </xdr:from>
    <xdr:to>
      <xdr:col>12</xdr:col>
      <xdr:colOff>916780</xdr:colOff>
      <xdr:row>76</xdr:row>
      <xdr:rowOff>192201</xdr:rowOff>
    </xdr:to>
    <xdr:cxnSp macro="">
      <xdr:nvCxnSpPr>
        <xdr:cNvPr id="35" name="Straight Connector 34"/>
        <xdr:cNvCxnSpPr/>
      </xdr:nvCxnSpPr>
      <xdr:spPr>
        <a:xfrm flipV="1">
          <a:off x="7349218" y="1430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75</xdr:row>
      <xdr:rowOff>18714</xdr:rowOff>
    </xdr:from>
    <xdr:to>
      <xdr:col>15</xdr:col>
      <xdr:colOff>887864</xdr:colOff>
      <xdr:row>76</xdr:row>
      <xdr:rowOff>190500</xdr:rowOff>
    </xdr:to>
    <xdr:cxnSp macro="">
      <xdr:nvCxnSpPr>
        <xdr:cNvPr id="36" name="Straight Connector 35"/>
        <xdr:cNvCxnSpPr/>
      </xdr:nvCxnSpPr>
      <xdr:spPr>
        <a:xfrm flipV="1">
          <a:off x="9171214" y="1430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37" name="Straight Connector 36"/>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38" name="Straight Connector 37"/>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39" name="Straight Connector 38"/>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77</xdr:row>
      <xdr:rowOff>3</xdr:rowOff>
    </xdr:from>
    <xdr:to>
      <xdr:col>15</xdr:col>
      <xdr:colOff>40822</xdr:colOff>
      <xdr:row>78</xdr:row>
      <xdr:rowOff>149679</xdr:rowOff>
    </xdr:to>
    <xdr:cxnSp macro="">
      <xdr:nvCxnSpPr>
        <xdr:cNvPr id="40" name="Straight Connector 39"/>
        <xdr:cNvCxnSpPr/>
      </xdr:nvCxnSpPr>
      <xdr:spPr>
        <a:xfrm flipV="1">
          <a:off x="8571820" y="14668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41" name="Straight Connector 40"/>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80</xdr:row>
      <xdr:rowOff>13608</xdr:rowOff>
    </xdr:from>
    <xdr:to>
      <xdr:col>12</xdr:col>
      <xdr:colOff>27214</xdr:colOff>
      <xdr:row>81</xdr:row>
      <xdr:rowOff>190502</xdr:rowOff>
    </xdr:to>
    <xdr:cxnSp macro="">
      <xdr:nvCxnSpPr>
        <xdr:cNvPr id="42" name="Straight Connector 41"/>
        <xdr:cNvCxnSpPr/>
      </xdr:nvCxnSpPr>
      <xdr:spPr>
        <a:xfrm flipV="1">
          <a:off x="6787242" y="1525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80</xdr:row>
      <xdr:rowOff>13608</xdr:rowOff>
    </xdr:from>
    <xdr:to>
      <xdr:col>11</xdr:col>
      <xdr:colOff>51026</xdr:colOff>
      <xdr:row>82</xdr:row>
      <xdr:rowOff>0</xdr:rowOff>
    </xdr:to>
    <xdr:cxnSp macro="">
      <xdr:nvCxnSpPr>
        <xdr:cNvPr id="43" name="Straight Connector 42"/>
        <xdr:cNvCxnSpPr/>
      </xdr:nvCxnSpPr>
      <xdr:spPr>
        <a:xfrm flipV="1">
          <a:off x="6109607" y="15253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80</xdr:row>
      <xdr:rowOff>17011</xdr:rowOff>
    </xdr:from>
    <xdr:to>
      <xdr:col>12</xdr:col>
      <xdr:colOff>916780</xdr:colOff>
      <xdr:row>81</xdr:row>
      <xdr:rowOff>192201</xdr:rowOff>
    </xdr:to>
    <xdr:cxnSp macro="">
      <xdr:nvCxnSpPr>
        <xdr:cNvPr id="44" name="Straight Connector 43"/>
        <xdr:cNvCxnSpPr/>
      </xdr:nvCxnSpPr>
      <xdr:spPr>
        <a:xfrm flipV="1">
          <a:off x="7349218" y="1525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80</xdr:row>
      <xdr:rowOff>18714</xdr:rowOff>
    </xdr:from>
    <xdr:to>
      <xdr:col>15</xdr:col>
      <xdr:colOff>887864</xdr:colOff>
      <xdr:row>81</xdr:row>
      <xdr:rowOff>190500</xdr:rowOff>
    </xdr:to>
    <xdr:cxnSp macro="">
      <xdr:nvCxnSpPr>
        <xdr:cNvPr id="45" name="Straight Connector 44"/>
        <xdr:cNvCxnSpPr/>
      </xdr:nvCxnSpPr>
      <xdr:spPr>
        <a:xfrm flipV="1">
          <a:off x="9171214" y="15258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82</xdr:row>
      <xdr:rowOff>13608</xdr:rowOff>
    </xdr:from>
    <xdr:to>
      <xdr:col>12</xdr:col>
      <xdr:colOff>27214</xdr:colOff>
      <xdr:row>83</xdr:row>
      <xdr:rowOff>190502</xdr:rowOff>
    </xdr:to>
    <xdr:cxnSp macro="">
      <xdr:nvCxnSpPr>
        <xdr:cNvPr id="46" name="Straight Connector 45"/>
        <xdr:cNvCxnSpPr/>
      </xdr:nvCxnSpPr>
      <xdr:spPr>
        <a:xfrm flipV="1">
          <a:off x="6787242" y="1563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82</xdr:row>
      <xdr:rowOff>13608</xdr:rowOff>
    </xdr:from>
    <xdr:to>
      <xdr:col>11</xdr:col>
      <xdr:colOff>51026</xdr:colOff>
      <xdr:row>84</xdr:row>
      <xdr:rowOff>0</xdr:rowOff>
    </xdr:to>
    <xdr:cxnSp macro="">
      <xdr:nvCxnSpPr>
        <xdr:cNvPr id="47" name="Straight Connector 46"/>
        <xdr:cNvCxnSpPr/>
      </xdr:nvCxnSpPr>
      <xdr:spPr>
        <a:xfrm flipV="1">
          <a:off x="6109607" y="15634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82</xdr:row>
      <xdr:rowOff>17011</xdr:rowOff>
    </xdr:from>
    <xdr:to>
      <xdr:col>12</xdr:col>
      <xdr:colOff>916780</xdr:colOff>
      <xdr:row>83</xdr:row>
      <xdr:rowOff>192201</xdr:rowOff>
    </xdr:to>
    <xdr:cxnSp macro="">
      <xdr:nvCxnSpPr>
        <xdr:cNvPr id="48" name="Straight Connector 47"/>
        <xdr:cNvCxnSpPr/>
      </xdr:nvCxnSpPr>
      <xdr:spPr>
        <a:xfrm flipV="1">
          <a:off x="7349218" y="1563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82</xdr:row>
      <xdr:rowOff>18714</xdr:rowOff>
    </xdr:from>
    <xdr:to>
      <xdr:col>15</xdr:col>
      <xdr:colOff>887864</xdr:colOff>
      <xdr:row>83</xdr:row>
      <xdr:rowOff>190500</xdr:rowOff>
    </xdr:to>
    <xdr:cxnSp macro="">
      <xdr:nvCxnSpPr>
        <xdr:cNvPr id="49" name="Straight Connector 48"/>
        <xdr:cNvCxnSpPr/>
      </xdr:nvCxnSpPr>
      <xdr:spPr>
        <a:xfrm flipV="1">
          <a:off x="9171214" y="15639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84</xdr:row>
      <xdr:rowOff>13608</xdr:rowOff>
    </xdr:from>
    <xdr:to>
      <xdr:col>12</xdr:col>
      <xdr:colOff>27214</xdr:colOff>
      <xdr:row>85</xdr:row>
      <xdr:rowOff>190502</xdr:rowOff>
    </xdr:to>
    <xdr:cxnSp macro="">
      <xdr:nvCxnSpPr>
        <xdr:cNvPr id="50" name="Straight Connector 49"/>
        <xdr:cNvCxnSpPr/>
      </xdr:nvCxnSpPr>
      <xdr:spPr>
        <a:xfrm flipV="1">
          <a:off x="6787242" y="1601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84</xdr:row>
      <xdr:rowOff>13608</xdr:rowOff>
    </xdr:from>
    <xdr:to>
      <xdr:col>11</xdr:col>
      <xdr:colOff>51026</xdr:colOff>
      <xdr:row>86</xdr:row>
      <xdr:rowOff>0</xdr:rowOff>
    </xdr:to>
    <xdr:cxnSp macro="">
      <xdr:nvCxnSpPr>
        <xdr:cNvPr id="51" name="Straight Connector 50"/>
        <xdr:cNvCxnSpPr/>
      </xdr:nvCxnSpPr>
      <xdr:spPr>
        <a:xfrm flipV="1">
          <a:off x="6109607" y="16015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84</xdr:row>
      <xdr:rowOff>17011</xdr:rowOff>
    </xdr:from>
    <xdr:to>
      <xdr:col>12</xdr:col>
      <xdr:colOff>916780</xdr:colOff>
      <xdr:row>85</xdr:row>
      <xdr:rowOff>192201</xdr:rowOff>
    </xdr:to>
    <xdr:cxnSp macro="">
      <xdr:nvCxnSpPr>
        <xdr:cNvPr id="52" name="Straight Connector 51"/>
        <xdr:cNvCxnSpPr/>
      </xdr:nvCxnSpPr>
      <xdr:spPr>
        <a:xfrm flipV="1">
          <a:off x="7349218" y="1601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84</xdr:row>
      <xdr:rowOff>3</xdr:rowOff>
    </xdr:from>
    <xdr:to>
      <xdr:col>15</xdr:col>
      <xdr:colOff>40822</xdr:colOff>
      <xdr:row>85</xdr:row>
      <xdr:rowOff>149679</xdr:rowOff>
    </xdr:to>
    <xdr:cxnSp macro="">
      <xdr:nvCxnSpPr>
        <xdr:cNvPr id="53" name="Straight Connector 52"/>
        <xdr:cNvCxnSpPr/>
      </xdr:nvCxnSpPr>
      <xdr:spPr>
        <a:xfrm flipV="1">
          <a:off x="8571820" y="16002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84</xdr:row>
      <xdr:rowOff>18714</xdr:rowOff>
    </xdr:from>
    <xdr:to>
      <xdr:col>15</xdr:col>
      <xdr:colOff>887864</xdr:colOff>
      <xdr:row>85</xdr:row>
      <xdr:rowOff>190500</xdr:rowOff>
    </xdr:to>
    <xdr:cxnSp macro="">
      <xdr:nvCxnSpPr>
        <xdr:cNvPr id="54" name="Straight Connector 53"/>
        <xdr:cNvCxnSpPr/>
      </xdr:nvCxnSpPr>
      <xdr:spPr>
        <a:xfrm flipV="1">
          <a:off x="9171214" y="16020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86</xdr:row>
      <xdr:rowOff>13608</xdr:rowOff>
    </xdr:from>
    <xdr:to>
      <xdr:col>12</xdr:col>
      <xdr:colOff>27214</xdr:colOff>
      <xdr:row>87</xdr:row>
      <xdr:rowOff>190502</xdr:rowOff>
    </xdr:to>
    <xdr:cxnSp macro="">
      <xdr:nvCxnSpPr>
        <xdr:cNvPr id="55" name="Straight Connector 54"/>
        <xdr:cNvCxnSpPr/>
      </xdr:nvCxnSpPr>
      <xdr:spPr>
        <a:xfrm flipV="1">
          <a:off x="6787242" y="1639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86</xdr:row>
      <xdr:rowOff>13608</xdr:rowOff>
    </xdr:from>
    <xdr:to>
      <xdr:col>11</xdr:col>
      <xdr:colOff>51026</xdr:colOff>
      <xdr:row>88</xdr:row>
      <xdr:rowOff>0</xdr:rowOff>
    </xdr:to>
    <xdr:cxnSp macro="">
      <xdr:nvCxnSpPr>
        <xdr:cNvPr id="56" name="Straight Connector 55"/>
        <xdr:cNvCxnSpPr/>
      </xdr:nvCxnSpPr>
      <xdr:spPr>
        <a:xfrm flipV="1">
          <a:off x="6109607" y="16396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86</xdr:row>
      <xdr:rowOff>17011</xdr:rowOff>
    </xdr:from>
    <xdr:to>
      <xdr:col>12</xdr:col>
      <xdr:colOff>916780</xdr:colOff>
      <xdr:row>87</xdr:row>
      <xdr:rowOff>192201</xdr:rowOff>
    </xdr:to>
    <xdr:cxnSp macro="">
      <xdr:nvCxnSpPr>
        <xdr:cNvPr id="57" name="Straight Connector 56"/>
        <xdr:cNvCxnSpPr/>
      </xdr:nvCxnSpPr>
      <xdr:spPr>
        <a:xfrm flipV="1">
          <a:off x="7349218" y="1640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86</xdr:row>
      <xdr:rowOff>3</xdr:rowOff>
    </xdr:from>
    <xdr:to>
      <xdr:col>15</xdr:col>
      <xdr:colOff>40822</xdr:colOff>
      <xdr:row>87</xdr:row>
      <xdr:rowOff>149679</xdr:rowOff>
    </xdr:to>
    <xdr:cxnSp macro="">
      <xdr:nvCxnSpPr>
        <xdr:cNvPr id="58" name="Straight Connector 57"/>
        <xdr:cNvCxnSpPr/>
      </xdr:nvCxnSpPr>
      <xdr:spPr>
        <a:xfrm flipV="1">
          <a:off x="8571820" y="16383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86</xdr:row>
      <xdr:rowOff>18714</xdr:rowOff>
    </xdr:from>
    <xdr:to>
      <xdr:col>15</xdr:col>
      <xdr:colOff>887864</xdr:colOff>
      <xdr:row>87</xdr:row>
      <xdr:rowOff>190500</xdr:rowOff>
    </xdr:to>
    <xdr:cxnSp macro="">
      <xdr:nvCxnSpPr>
        <xdr:cNvPr id="59" name="Straight Connector 58"/>
        <xdr:cNvCxnSpPr/>
      </xdr:nvCxnSpPr>
      <xdr:spPr>
        <a:xfrm flipV="1">
          <a:off x="9171214" y="16401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60" name="Straight Connector 59"/>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13608</xdr:rowOff>
    </xdr:from>
    <xdr:to>
      <xdr:col>11</xdr:col>
      <xdr:colOff>51026</xdr:colOff>
      <xdr:row>62</xdr:row>
      <xdr:rowOff>0</xdr:rowOff>
    </xdr:to>
    <xdr:cxnSp macro="">
      <xdr:nvCxnSpPr>
        <xdr:cNvPr id="61" name="Straight Connector 60"/>
        <xdr:cNvCxnSpPr/>
      </xdr:nvCxnSpPr>
      <xdr:spPr>
        <a:xfrm flipV="1">
          <a:off x="6109607" y="11443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62" name="Straight Connector 61"/>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62</xdr:row>
      <xdr:rowOff>40825</xdr:rowOff>
    </xdr:from>
    <xdr:to>
      <xdr:col>15</xdr:col>
      <xdr:colOff>54429</xdr:colOff>
      <xdr:row>63</xdr:row>
      <xdr:rowOff>190501</xdr:rowOff>
    </xdr:to>
    <xdr:cxnSp macro="">
      <xdr:nvCxnSpPr>
        <xdr:cNvPr id="63" name="Straight Connector 62"/>
        <xdr:cNvCxnSpPr/>
      </xdr:nvCxnSpPr>
      <xdr:spPr>
        <a:xfrm flipV="1">
          <a:off x="8585427" y="118518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18714</xdr:rowOff>
    </xdr:from>
    <xdr:to>
      <xdr:col>15</xdr:col>
      <xdr:colOff>887864</xdr:colOff>
      <xdr:row>61</xdr:row>
      <xdr:rowOff>190500</xdr:rowOff>
    </xdr:to>
    <xdr:cxnSp macro="">
      <xdr:nvCxnSpPr>
        <xdr:cNvPr id="64" name="Straight Connector 63"/>
        <xdr:cNvCxnSpPr/>
      </xdr:nvCxnSpPr>
      <xdr:spPr>
        <a:xfrm flipV="1">
          <a:off x="9171214" y="11448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64</xdr:row>
      <xdr:rowOff>13608</xdr:rowOff>
    </xdr:from>
    <xdr:to>
      <xdr:col>12</xdr:col>
      <xdr:colOff>27214</xdr:colOff>
      <xdr:row>65</xdr:row>
      <xdr:rowOff>190502</xdr:rowOff>
    </xdr:to>
    <xdr:cxnSp macro="">
      <xdr:nvCxnSpPr>
        <xdr:cNvPr id="65" name="Straight Connector 64"/>
        <xdr:cNvCxnSpPr/>
      </xdr:nvCxnSpPr>
      <xdr:spPr>
        <a:xfrm flipV="1">
          <a:off x="6787242" y="1220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64</xdr:row>
      <xdr:rowOff>13608</xdr:rowOff>
    </xdr:from>
    <xdr:to>
      <xdr:col>11</xdr:col>
      <xdr:colOff>51026</xdr:colOff>
      <xdr:row>66</xdr:row>
      <xdr:rowOff>0</xdr:rowOff>
    </xdr:to>
    <xdr:cxnSp macro="">
      <xdr:nvCxnSpPr>
        <xdr:cNvPr id="66" name="Straight Connector 65"/>
        <xdr:cNvCxnSpPr/>
      </xdr:nvCxnSpPr>
      <xdr:spPr>
        <a:xfrm flipV="1">
          <a:off x="6109607" y="12205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64</xdr:row>
      <xdr:rowOff>17011</xdr:rowOff>
    </xdr:from>
    <xdr:to>
      <xdr:col>12</xdr:col>
      <xdr:colOff>916780</xdr:colOff>
      <xdr:row>65</xdr:row>
      <xdr:rowOff>192201</xdr:rowOff>
    </xdr:to>
    <xdr:cxnSp macro="">
      <xdr:nvCxnSpPr>
        <xdr:cNvPr id="67" name="Straight Connector 66"/>
        <xdr:cNvCxnSpPr/>
      </xdr:nvCxnSpPr>
      <xdr:spPr>
        <a:xfrm flipV="1">
          <a:off x="7349218" y="1220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64</xdr:row>
      <xdr:rowOff>18714</xdr:rowOff>
    </xdr:from>
    <xdr:to>
      <xdr:col>15</xdr:col>
      <xdr:colOff>887864</xdr:colOff>
      <xdr:row>65</xdr:row>
      <xdr:rowOff>190500</xdr:rowOff>
    </xdr:to>
    <xdr:cxnSp macro="">
      <xdr:nvCxnSpPr>
        <xdr:cNvPr id="68" name="Straight Connector 67"/>
        <xdr:cNvCxnSpPr/>
      </xdr:nvCxnSpPr>
      <xdr:spPr>
        <a:xfrm flipV="1">
          <a:off x="9171214" y="12210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62</xdr:row>
      <xdr:rowOff>13608</xdr:rowOff>
    </xdr:from>
    <xdr:to>
      <xdr:col>12</xdr:col>
      <xdr:colOff>27214</xdr:colOff>
      <xdr:row>63</xdr:row>
      <xdr:rowOff>190502</xdr:rowOff>
    </xdr:to>
    <xdr:cxnSp macro="">
      <xdr:nvCxnSpPr>
        <xdr:cNvPr id="69" name="Straight Connector 68"/>
        <xdr:cNvCxnSpPr/>
      </xdr:nvCxnSpPr>
      <xdr:spPr>
        <a:xfrm flipV="1">
          <a:off x="6787242" y="1182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62</xdr:row>
      <xdr:rowOff>13608</xdr:rowOff>
    </xdr:from>
    <xdr:to>
      <xdr:col>11</xdr:col>
      <xdr:colOff>51026</xdr:colOff>
      <xdr:row>64</xdr:row>
      <xdr:rowOff>0</xdr:rowOff>
    </xdr:to>
    <xdr:cxnSp macro="">
      <xdr:nvCxnSpPr>
        <xdr:cNvPr id="70" name="Straight Connector 69"/>
        <xdr:cNvCxnSpPr/>
      </xdr:nvCxnSpPr>
      <xdr:spPr>
        <a:xfrm flipV="1">
          <a:off x="6109607" y="11824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62</xdr:row>
      <xdr:rowOff>17011</xdr:rowOff>
    </xdr:from>
    <xdr:to>
      <xdr:col>12</xdr:col>
      <xdr:colOff>916780</xdr:colOff>
      <xdr:row>63</xdr:row>
      <xdr:rowOff>192201</xdr:rowOff>
    </xdr:to>
    <xdr:cxnSp macro="">
      <xdr:nvCxnSpPr>
        <xdr:cNvPr id="71" name="Straight Connector 70"/>
        <xdr:cNvCxnSpPr/>
      </xdr:nvCxnSpPr>
      <xdr:spPr>
        <a:xfrm flipV="1">
          <a:off x="7349218" y="1182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62</xdr:row>
      <xdr:rowOff>18714</xdr:rowOff>
    </xdr:from>
    <xdr:to>
      <xdr:col>15</xdr:col>
      <xdr:colOff>887864</xdr:colOff>
      <xdr:row>63</xdr:row>
      <xdr:rowOff>190500</xdr:rowOff>
    </xdr:to>
    <xdr:cxnSp macro="">
      <xdr:nvCxnSpPr>
        <xdr:cNvPr id="72" name="Straight Connector 71"/>
        <xdr:cNvCxnSpPr/>
      </xdr:nvCxnSpPr>
      <xdr:spPr>
        <a:xfrm flipV="1">
          <a:off x="9171214" y="11829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82</xdr:row>
      <xdr:rowOff>17010</xdr:rowOff>
    </xdr:from>
    <xdr:to>
      <xdr:col>14</xdr:col>
      <xdr:colOff>903173</xdr:colOff>
      <xdr:row>83</xdr:row>
      <xdr:rowOff>192200</xdr:rowOff>
    </xdr:to>
    <xdr:cxnSp macro="">
      <xdr:nvCxnSpPr>
        <xdr:cNvPr id="73" name="Straight Connector 72"/>
        <xdr:cNvCxnSpPr/>
      </xdr:nvCxnSpPr>
      <xdr:spPr>
        <a:xfrm flipV="1">
          <a:off x="8554811" y="156380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75</xdr:row>
      <xdr:rowOff>3404</xdr:rowOff>
    </xdr:from>
    <xdr:to>
      <xdr:col>15</xdr:col>
      <xdr:colOff>5101</xdr:colOff>
      <xdr:row>76</xdr:row>
      <xdr:rowOff>178593</xdr:rowOff>
    </xdr:to>
    <xdr:cxnSp macro="">
      <xdr:nvCxnSpPr>
        <xdr:cNvPr id="74" name="Straight Connector 73"/>
        <xdr:cNvCxnSpPr/>
      </xdr:nvCxnSpPr>
      <xdr:spPr>
        <a:xfrm flipV="1">
          <a:off x="8582025" y="142909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73</xdr:row>
      <xdr:rowOff>17011</xdr:rowOff>
    </xdr:from>
    <xdr:to>
      <xdr:col>15</xdr:col>
      <xdr:colOff>5101</xdr:colOff>
      <xdr:row>74</xdr:row>
      <xdr:rowOff>192201</xdr:rowOff>
    </xdr:to>
    <xdr:cxnSp macro="">
      <xdr:nvCxnSpPr>
        <xdr:cNvPr id="75" name="Straight Connector 74"/>
        <xdr:cNvCxnSpPr/>
      </xdr:nvCxnSpPr>
      <xdr:spPr>
        <a:xfrm flipV="1">
          <a:off x="8582025" y="13923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71</xdr:row>
      <xdr:rowOff>17011</xdr:rowOff>
    </xdr:from>
    <xdr:to>
      <xdr:col>14</xdr:col>
      <xdr:colOff>916780</xdr:colOff>
      <xdr:row>72</xdr:row>
      <xdr:rowOff>192201</xdr:rowOff>
    </xdr:to>
    <xdr:cxnSp macro="">
      <xdr:nvCxnSpPr>
        <xdr:cNvPr id="76" name="Straight Connector 75"/>
        <xdr:cNvCxnSpPr/>
      </xdr:nvCxnSpPr>
      <xdr:spPr>
        <a:xfrm flipV="1">
          <a:off x="8568418" y="13542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68</xdr:row>
      <xdr:rowOff>17011</xdr:rowOff>
    </xdr:from>
    <xdr:to>
      <xdr:col>15</xdr:col>
      <xdr:colOff>32315</xdr:colOff>
      <xdr:row>69</xdr:row>
      <xdr:rowOff>192201</xdr:rowOff>
    </xdr:to>
    <xdr:cxnSp macro="">
      <xdr:nvCxnSpPr>
        <xdr:cNvPr id="77" name="Straight Connector 76"/>
        <xdr:cNvCxnSpPr/>
      </xdr:nvCxnSpPr>
      <xdr:spPr>
        <a:xfrm flipV="1">
          <a:off x="8609239" y="12971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66</xdr:row>
      <xdr:rowOff>17011</xdr:rowOff>
    </xdr:from>
    <xdr:to>
      <xdr:col>15</xdr:col>
      <xdr:colOff>32315</xdr:colOff>
      <xdr:row>67</xdr:row>
      <xdr:rowOff>192201</xdr:rowOff>
    </xdr:to>
    <xdr:cxnSp macro="">
      <xdr:nvCxnSpPr>
        <xdr:cNvPr id="78" name="Straight Connector 77"/>
        <xdr:cNvCxnSpPr/>
      </xdr:nvCxnSpPr>
      <xdr:spPr>
        <a:xfrm flipV="1">
          <a:off x="8609239" y="12590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64</xdr:row>
      <xdr:rowOff>3403</xdr:rowOff>
    </xdr:from>
    <xdr:to>
      <xdr:col>15</xdr:col>
      <xdr:colOff>18708</xdr:colOff>
      <xdr:row>65</xdr:row>
      <xdr:rowOff>178593</xdr:rowOff>
    </xdr:to>
    <xdr:cxnSp macro="">
      <xdr:nvCxnSpPr>
        <xdr:cNvPr id="79" name="Straight Connector 78"/>
        <xdr:cNvCxnSpPr/>
      </xdr:nvCxnSpPr>
      <xdr:spPr>
        <a:xfrm flipV="1">
          <a:off x="8595632" y="121954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60</xdr:row>
      <xdr:rowOff>13610</xdr:rowOff>
    </xdr:from>
    <xdr:to>
      <xdr:col>15</xdr:col>
      <xdr:colOff>54429</xdr:colOff>
      <xdr:row>61</xdr:row>
      <xdr:rowOff>163286</xdr:rowOff>
    </xdr:to>
    <xdr:cxnSp macro="">
      <xdr:nvCxnSpPr>
        <xdr:cNvPr id="80" name="Straight Connector 79"/>
        <xdr:cNvCxnSpPr/>
      </xdr:nvCxnSpPr>
      <xdr:spPr>
        <a:xfrm flipV="1">
          <a:off x="8585427" y="114436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41</xdr:row>
      <xdr:rowOff>13607</xdr:rowOff>
    </xdr:from>
    <xdr:to>
      <xdr:col>10</xdr:col>
      <xdr:colOff>911677</xdr:colOff>
      <xdr:row>43</xdr:row>
      <xdr:rowOff>0</xdr:rowOff>
    </xdr:to>
    <xdr:cxnSp macro="">
      <xdr:nvCxnSpPr>
        <xdr:cNvPr id="81" name="Straight Connector 80"/>
        <xdr:cNvCxnSpPr/>
      </xdr:nvCxnSpPr>
      <xdr:spPr>
        <a:xfrm flipV="1">
          <a:off x="6109607" y="7824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41</xdr:row>
      <xdr:rowOff>13608</xdr:rowOff>
    </xdr:from>
    <xdr:to>
      <xdr:col>12</xdr:col>
      <xdr:colOff>27214</xdr:colOff>
      <xdr:row>42</xdr:row>
      <xdr:rowOff>190502</xdr:rowOff>
    </xdr:to>
    <xdr:cxnSp macro="">
      <xdr:nvCxnSpPr>
        <xdr:cNvPr id="82" name="Straight Connector 81"/>
        <xdr:cNvCxnSpPr/>
      </xdr:nvCxnSpPr>
      <xdr:spPr>
        <a:xfrm flipV="1">
          <a:off x="6787242" y="782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41</xdr:row>
      <xdr:rowOff>17011</xdr:rowOff>
    </xdr:from>
    <xdr:to>
      <xdr:col>12</xdr:col>
      <xdr:colOff>916780</xdr:colOff>
      <xdr:row>42</xdr:row>
      <xdr:rowOff>192201</xdr:rowOff>
    </xdr:to>
    <xdr:cxnSp macro="">
      <xdr:nvCxnSpPr>
        <xdr:cNvPr id="83" name="Straight Connector 82"/>
        <xdr:cNvCxnSpPr/>
      </xdr:nvCxnSpPr>
      <xdr:spPr>
        <a:xfrm flipV="1">
          <a:off x="7349218" y="782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41</xdr:row>
      <xdr:rowOff>54428</xdr:rowOff>
    </xdr:from>
    <xdr:to>
      <xdr:col>14</xdr:col>
      <xdr:colOff>884463</xdr:colOff>
      <xdr:row>42</xdr:row>
      <xdr:rowOff>163285</xdr:rowOff>
    </xdr:to>
    <xdr:cxnSp macro="">
      <xdr:nvCxnSpPr>
        <xdr:cNvPr id="84" name="Straight Connector 83"/>
        <xdr:cNvCxnSpPr/>
      </xdr:nvCxnSpPr>
      <xdr:spPr>
        <a:xfrm flipV="1">
          <a:off x="8537119" y="7864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45</xdr:row>
      <xdr:rowOff>27214</xdr:rowOff>
    </xdr:from>
    <xdr:to>
      <xdr:col>15</xdr:col>
      <xdr:colOff>898072</xdr:colOff>
      <xdr:row>46</xdr:row>
      <xdr:rowOff>149678</xdr:rowOff>
    </xdr:to>
    <xdr:cxnSp macro="">
      <xdr:nvCxnSpPr>
        <xdr:cNvPr id="85" name="Straight Connector 84"/>
        <xdr:cNvCxnSpPr/>
      </xdr:nvCxnSpPr>
      <xdr:spPr>
        <a:xfrm flipV="1">
          <a:off x="9171214" y="8599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45</xdr:row>
      <xdr:rowOff>13607</xdr:rowOff>
    </xdr:from>
    <xdr:to>
      <xdr:col>10</xdr:col>
      <xdr:colOff>911677</xdr:colOff>
      <xdr:row>47</xdr:row>
      <xdr:rowOff>0</xdr:rowOff>
    </xdr:to>
    <xdr:cxnSp macro="">
      <xdr:nvCxnSpPr>
        <xdr:cNvPr id="86" name="Straight Connector 85"/>
        <xdr:cNvCxnSpPr/>
      </xdr:nvCxnSpPr>
      <xdr:spPr>
        <a:xfrm flipV="1">
          <a:off x="6109607" y="8586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87" name="Straight Connector 86"/>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88" name="Straight Connector 87"/>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45</xdr:row>
      <xdr:rowOff>54428</xdr:rowOff>
    </xdr:from>
    <xdr:to>
      <xdr:col>14</xdr:col>
      <xdr:colOff>884463</xdr:colOff>
      <xdr:row>46</xdr:row>
      <xdr:rowOff>163285</xdr:rowOff>
    </xdr:to>
    <xdr:cxnSp macro="">
      <xdr:nvCxnSpPr>
        <xdr:cNvPr id="89" name="Straight Connector 88"/>
        <xdr:cNvCxnSpPr/>
      </xdr:nvCxnSpPr>
      <xdr:spPr>
        <a:xfrm flipV="1">
          <a:off x="8537119" y="8626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43</xdr:row>
      <xdr:rowOff>27214</xdr:rowOff>
    </xdr:from>
    <xdr:to>
      <xdr:col>15</xdr:col>
      <xdr:colOff>898072</xdr:colOff>
      <xdr:row>44</xdr:row>
      <xdr:rowOff>149678</xdr:rowOff>
    </xdr:to>
    <xdr:cxnSp macro="">
      <xdr:nvCxnSpPr>
        <xdr:cNvPr id="90" name="Straight Connector 89"/>
        <xdr:cNvCxnSpPr/>
      </xdr:nvCxnSpPr>
      <xdr:spPr>
        <a:xfrm flipV="1">
          <a:off x="9171214" y="8218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43</xdr:row>
      <xdr:rowOff>13607</xdr:rowOff>
    </xdr:from>
    <xdr:to>
      <xdr:col>10</xdr:col>
      <xdr:colOff>911677</xdr:colOff>
      <xdr:row>45</xdr:row>
      <xdr:rowOff>0</xdr:rowOff>
    </xdr:to>
    <xdr:cxnSp macro="">
      <xdr:nvCxnSpPr>
        <xdr:cNvPr id="91" name="Straight Connector 90"/>
        <xdr:cNvCxnSpPr/>
      </xdr:nvCxnSpPr>
      <xdr:spPr>
        <a:xfrm flipV="1">
          <a:off x="6109607" y="8205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92" name="Straight Connector 91"/>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93" name="Straight Connector 92"/>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43</xdr:row>
      <xdr:rowOff>54428</xdr:rowOff>
    </xdr:from>
    <xdr:to>
      <xdr:col>14</xdr:col>
      <xdr:colOff>884463</xdr:colOff>
      <xdr:row>44</xdr:row>
      <xdr:rowOff>163285</xdr:rowOff>
    </xdr:to>
    <xdr:cxnSp macro="">
      <xdr:nvCxnSpPr>
        <xdr:cNvPr id="94" name="Straight Connector 93"/>
        <xdr:cNvCxnSpPr/>
      </xdr:nvCxnSpPr>
      <xdr:spPr>
        <a:xfrm flipV="1">
          <a:off x="8537119" y="8245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91</xdr:row>
      <xdr:rowOff>0</xdr:rowOff>
    </xdr:from>
    <xdr:ext cx="17150072" cy="3743326"/>
    <xdr:pic>
      <xdr:nvPicPr>
        <xdr:cNvPr id="95" name="Picture 94"/>
        <xdr:cNvPicPr>
          <a:picLocks noChangeAspect="1" noChangeArrowheads="1"/>
          <a:extLst/>
        </xdr:cNvPicPr>
      </xdr:nvPicPr>
      <xdr:blipFill>
        <a:blip xmlns:r="http://schemas.openxmlformats.org/officeDocument/2006/relationships" r:embed="rId1"/>
        <a:srcRect/>
        <a:stretch>
          <a:fillRect/>
        </a:stretch>
      </xdr:blipFill>
      <xdr:spPr bwMode="auto">
        <a:xfrm>
          <a:off x="609600" y="173355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107</xdr:row>
      <xdr:rowOff>176894</xdr:rowOff>
    </xdr:from>
    <xdr:ext cx="18008063" cy="3743325"/>
    <xdr:pic>
      <xdr:nvPicPr>
        <xdr:cNvPr id="96" name="Picture 95"/>
        <xdr:cNvPicPr>
          <a:picLocks noChangeAspect="1" noChangeArrowheads="1"/>
          <a:extLst/>
        </xdr:cNvPicPr>
      </xdr:nvPicPr>
      <xdr:blipFill>
        <a:blip xmlns:r="http://schemas.openxmlformats.org/officeDocument/2006/relationships" r:embed="rId2"/>
        <a:srcRect/>
        <a:stretch>
          <a:fillRect/>
        </a:stretch>
      </xdr:blipFill>
      <xdr:spPr bwMode="auto">
        <a:xfrm>
          <a:off x="621846" y="205603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30</xdr:row>
      <xdr:rowOff>13608</xdr:rowOff>
    </xdr:from>
    <xdr:to>
      <xdr:col>12</xdr:col>
      <xdr:colOff>27214</xdr:colOff>
      <xdr:row>31</xdr:row>
      <xdr:rowOff>190502</xdr:rowOff>
    </xdr:to>
    <xdr:cxnSp macro="">
      <xdr:nvCxnSpPr>
        <xdr:cNvPr id="97" name="Straight Connector 96"/>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98" name="Straight Connector 97"/>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30</xdr:row>
      <xdr:rowOff>0</xdr:rowOff>
    </xdr:from>
    <xdr:to>
      <xdr:col>15</xdr:col>
      <xdr:colOff>0</xdr:colOff>
      <xdr:row>31</xdr:row>
      <xdr:rowOff>190501</xdr:rowOff>
    </xdr:to>
    <xdr:cxnSp macro="">
      <xdr:nvCxnSpPr>
        <xdr:cNvPr id="99" name="Straight Connector 98"/>
        <xdr:cNvCxnSpPr/>
      </xdr:nvCxnSpPr>
      <xdr:spPr>
        <a:xfrm flipV="1">
          <a:off x="8533039" y="5715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27215</xdr:rowOff>
    </xdr:from>
    <xdr:to>
      <xdr:col>10</xdr:col>
      <xdr:colOff>911678</xdr:colOff>
      <xdr:row>32</xdr:row>
      <xdr:rowOff>0</xdr:rowOff>
    </xdr:to>
    <xdr:cxnSp macro="">
      <xdr:nvCxnSpPr>
        <xdr:cNvPr id="100" name="Straight Connector 99"/>
        <xdr:cNvCxnSpPr/>
      </xdr:nvCxnSpPr>
      <xdr:spPr>
        <a:xfrm flipV="1">
          <a:off x="6096000" y="5742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30</xdr:row>
      <xdr:rowOff>13607</xdr:rowOff>
    </xdr:from>
    <xdr:to>
      <xdr:col>16</xdr:col>
      <xdr:colOff>0</xdr:colOff>
      <xdr:row>32</xdr:row>
      <xdr:rowOff>0</xdr:rowOff>
    </xdr:to>
    <xdr:cxnSp macro="">
      <xdr:nvCxnSpPr>
        <xdr:cNvPr id="101" name="Straight Connector 100"/>
        <xdr:cNvCxnSpPr/>
      </xdr:nvCxnSpPr>
      <xdr:spPr>
        <a:xfrm flipV="1">
          <a:off x="9171214" y="5728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41</xdr:row>
      <xdr:rowOff>27216</xdr:rowOff>
    </xdr:from>
    <xdr:to>
      <xdr:col>16</xdr:col>
      <xdr:colOff>27215</xdr:colOff>
      <xdr:row>42</xdr:row>
      <xdr:rowOff>176893</xdr:rowOff>
    </xdr:to>
    <xdr:cxnSp macro="">
      <xdr:nvCxnSpPr>
        <xdr:cNvPr id="102" name="Straight Connector 101"/>
        <xdr:cNvCxnSpPr/>
      </xdr:nvCxnSpPr>
      <xdr:spPr>
        <a:xfrm flipV="1">
          <a:off x="9198428" y="7837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898070</xdr:colOff>
      <xdr:row>33</xdr:row>
      <xdr:rowOff>176892</xdr:rowOff>
    </xdr:from>
    <xdr:to>
      <xdr:col>14</xdr:col>
      <xdr:colOff>911679</xdr:colOff>
      <xdr:row>34</xdr:row>
      <xdr:rowOff>0</xdr:rowOff>
    </xdr:to>
    <xdr:cxnSp macro="">
      <xdr:nvCxnSpPr>
        <xdr:cNvPr id="103" name="Straight Connector 102"/>
        <xdr:cNvCxnSpPr/>
      </xdr:nvCxnSpPr>
      <xdr:spPr>
        <a:xfrm flipV="1">
          <a:off x="8537120" y="6463392"/>
          <a:ext cx="604159" cy="136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26</xdr:row>
      <xdr:rowOff>13608</xdr:rowOff>
    </xdr:from>
    <xdr:to>
      <xdr:col>12</xdr:col>
      <xdr:colOff>27214</xdr:colOff>
      <xdr:row>27</xdr:row>
      <xdr:rowOff>190502</xdr:rowOff>
    </xdr:to>
    <xdr:cxnSp macro="">
      <xdr:nvCxnSpPr>
        <xdr:cNvPr id="104" name="Straight Connector 103"/>
        <xdr:cNvCxnSpPr/>
      </xdr:nvCxnSpPr>
      <xdr:spPr>
        <a:xfrm flipV="1">
          <a:off x="6787242" y="496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05" name="Straight Connector 104"/>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06" name="Straight Connector 105"/>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13609</xdr:rowOff>
    </xdr:from>
    <xdr:to>
      <xdr:col>10</xdr:col>
      <xdr:colOff>911678</xdr:colOff>
      <xdr:row>27</xdr:row>
      <xdr:rowOff>190501</xdr:rowOff>
    </xdr:to>
    <xdr:cxnSp macro="">
      <xdr:nvCxnSpPr>
        <xdr:cNvPr id="107" name="Straight Connector 106"/>
        <xdr:cNvCxnSpPr/>
      </xdr:nvCxnSpPr>
      <xdr:spPr>
        <a:xfrm flipV="1">
          <a:off x="6109607" y="4966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08" name="Straight Connector 107"/>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32</xdr:row>
      <xdr:rowOff>13608</xdr:rowOff>
    </xdr:from>
    <xdr:to>
      <xdr:col>12</xdr:col>
      <xdr:colOff>27214</xdr:colOff>
      <xdr:row>33</xdr:row>
      <xdr:rowOff>190500</xdr:rowOff>
    </xdr:to>
    <xdr:cxnSp macro="">
      <xdr:nvCxnSpPr>
        <xdr:cNvPr id="109" name="Straight Connector 108"/>
        <xdr:cNvCxnSpPr/>
      </xdr:nvCxnSpPr>
      <xdr:spPr>
        <a:xfrm flipV="1">
          <a:off x="6732814" y="6109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10" name="Straight Connector 109"/>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31</xdr:row>
      <xdr:rowOff>190500</xdr:rowOff>
    </xdr:from>
    <xdr:to>
      <xdr:col>15</xdr:col>
      <xdr:colOff>27214</xdr:colOff>
      <xdr:row>33</xdr:row>
      <xdr:rowOff>176894</xdr:rowOff>
    </xdr:to>
    <xdr:cxnSp macro="">
      <xdr:nvCxnSpPr>
        <xdr:cNvPr id="111" name="Straight Connector 110"/>
        <xdr:cNvCxnSpPr/>
      </xdr:nvCxnSpPr>
      <xdr:spPr>
        <a:xfrm flipV="1">
          <a:off x="8561614" y="6096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32</xdr:row>
      <xdr:rowOff>0</xdr:rowOff>
    </xdr:from>
    <xdr:to>
      <xdr:col>11</xdr:col>
      <xdr:colOff>13607</xdr:colOff>
      <xdr:row>33</xdr:row>
      <xdr:rowOff>176892</xdr:rowOff>
    </xdr:to>
    <xdr:cxnSp macro="">
      <xdr:nvCxnSpPr>
        <xdr:cNvPr id="112" name="Straight Connector 111"/>
        <xdr:cNvCxnSpPr/>
      </xdr:nvCxnSpPr>
      <xdr:spPr>
        <a:xfrm flipV="1">
          <a:off x="6123215" y="6096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32</xdr:row>
      <xdr:rowOff>0</xdr:rowOff>
    </xdr:from>
    <xdr:to>
      <xdr:col>15</xdr:col>
      <xdr:colOff>952500</xdr:colOff>
      <xdr:row>33</xdr:row>
      <xdr:rowOff>190501</xdr:rowOff>
    </xdr:to>
    <xdr:cxnSp macro="">
      <xdr:nvCxnSpPr>
        <xdr:cNvPr id="113" name="Straight Connector 112"/>
        <xdr:cNvCxnSpPr/>
      </xdr:nvCxnSpPr>
      <xdr:spPr>
        <a:xfrm flipV="1">
          <a:off x="9141279" y="6096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28</xdr:row>
      <xdr:rowOff>13608</xdr:rowOff>
    </xdr:from>
    <xdr:to>
      <xdr:col>12</xdr:col>
      <xdr:colOff>27214</xdr:colOff>
      <xdr:row>29</xdr:row>
      <xdr:rowOff>190502</xdr:rowOff>
    </xdr:to>
    <xdr:cxnSp macro="">
      <xdr:nvCxnSpPr>
        <xdr:cNvPr id="114" name="Straight Connector 113"/>
        <xdr:cNvCxnSpPr/>
      </xdr:nvCxnSpPr>
      <xdr:spPr>
        <a:xfrm flipV="1">
          <a:off x="6787242" y="534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15" name="Straight Connector 114"/>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16" name="Straight Connector 115"/>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28</xdr:row>
      <xdr:rowOff>27216</xdr:rowOff>
    </xdr:from>
    <xdr:to>
      <xdr:col>10</xdr:col>
      <xdr:colOff>898071</xdr:colOff>
      <xdr:row>30</xdr:row>
      <xdr:rowOff>0</xdr:rowOff>
    </xdr:to>
    <xdr:cxnSp macro="">
      <xdr:nvCxnSpPr>
        <xdr:cNvPr id="117" name="Straight Connector 116"/>
        <xdr:cNvCxnSpPr/>
      </xdr:nvCxnSpPr>
      <xdr:spPr>
        <a:xfrm flipV="1">
          <a:off x="6096000" y="5361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18" name="Straight Connector 117"/>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119" name="Straight Connector 118"/>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20" name="Straight Connector 119"/>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21" name="Straight Connector 120"/>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122" name="Straight Connector 121"/>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23" name="Straight Connector 122"/>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24" name="Straight Connector 123"/>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25" name="Straight Connector 124"/>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26" name="Straight Connector 125"/>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31750</xdr:colOff>
      <xdr:row>16</xdr:row>
      <xdr:rowOff>3</xdr:rowOff>
    </xdr:from>
    <xdr:to>
      <xdr:col>11</xdr:col>
      <xdr:colOff>40820</xdr:colOff>
      <xdr:row>18</xdr:row>
      <xdr:rowOff>15875</xdr:rowOff>
    </xdr:to>
    <xdr:cxnSp macro="">
      <xdr:nvCxnSpPr>
        <xdr:cNvPr id="127" name="Straight Connector 126"/>
        <xdr:cNvCxnSpPr/>
      </xdr:nvCxnSpPr>
      <xdr:spPr>
        <a:xfrm flipV="1">
          <a:off x="6127750" y="3048003"/>
          <a:ext cx="618670" cy="39687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28" name="Straight Connector 127"/>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29" name="Straight Connector 128"/>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30" name="Straight Connector 129"/>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31" name="Straight Connector 130"/>
        <xdr:cNvCxnSpPr/>
      </xdr:nvCxnSpPr>
      <xdr:spPr>
        <a:xfrm flipV="1">
          <a:off x="8561613" y="1183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32" name="Straight Connector 131"/>
        <xdr:cNvCxnSpPr/>
      </xdr:nvCxnSpPr>
      <xdr:spPr>
        <a:xfrm flipV="1">
          <a:off x="6164035" y="1143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33" name="Straight Connector 132"/>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34" name="Straight Connector 13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35" name="Straight Connector 13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36" name="Straight Connector 13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37" name="Straight Connector 136"/>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38" name="Straight Connector 13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139" name="Straight Connector 138"/>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40" name="Straight Connector 139"/>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41" name="Straight Connector 140"/>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142" name="Straight Connector 141"/>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43" name="Straight Connector 142"/>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44" name="Straight Connector 143"/>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45" name="Straight Connector 144"/>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46" name="Straight Connector 145"/>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47" name="Straight Connector 146"/>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48" name="Straight Connector 147"/>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149" name="Straight Connector 148"/>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150" name="Straight Connector 149"/>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151" name="Straight Connector 150"/>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152" name="Straight Connector 151"/>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153" name="Straight Connector 152"/>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34</xdr:row>
      <xdr:rowOff>13608</xdr:rowOff>
    </xdr:from>
    <xdr:to>
      <xdr:col>12</xdr:col>
      <xdr:colOff>27214</xdr:colOff>
      <xdr:row>35</xdr:row>
      <xdr:rowOff>190502</xdr:rowOff>
    </xdr:to>
    <xdr:cxnSp macro="">
      <xdr:nvCxnSpPr>
        <xdr:cNvPr id="154" name="Straight Connector 153"/>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55" name="Straight Connector 154"/>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34</xdr:row>
      <xdr:rowOff>40821</xdr:rowOff>
    </xdr:from>
    <xdr:to>
      <xdr:col>14</xdr:col>
      <xdr:colOff>911678</xdr:colOff>
      <xdr:row>35</xdr:row>
      <xdr:rowOff>149677</xdr:rowOff>
    </xdr:to>
    <xdr:cxnSp macro="">
      <xdr:nvCxnSpPr>
        <xdr:cNvPr id="156" name="Straight Connector 155"/>
        <xdr:cNvCxnSpPr/>
      </xdr:nvCxnSpPr>
      <xdr:spPr>
        <a:xfrm flipV="1">
          <a:off x="8561613" y="651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27215</xdr:rowOff>
    </xdr:from>
    <xdr:to>
      <xdr:col>10</xdr:col>
      <xdr:colOff>911678</xdr:colOff>
      <xdr:row>36</xdr:row>
      <xdr:rowOff>0</xdr:rowOff>
    </xdr:to>
    <xdr:cxnSp macro="">
      <xdr:nvCxnSpPr>
        <xdr:cNvPr id="157" name="Straight Connector 156"/>
        <xdr:cNvCxnSpPr/>
      </xdr:nvCxnSpPr>
      <xdr:spPr>
        <a:xfrm flipV="1">
          <a:off x="6096000" y="6504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158" name="Straight Connector 157"/>
        <xdr:cNvCxnSpPr/>
      </xdr:nvCxnSpPr>
      <xdr:spPr>
        <a:xfrm flipV="1">
          <a:off x="9198428" y="650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159" name="Straight Connector 158"/>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60" name="Straight Connector 159"/>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61" name="Straight Connector 160"/>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162" name="Straight Connector 161"/>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63" name="Straight Connector 162"/>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64" name="Straight Connector 163"/>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65" name="Straight Connector 164"/>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66" name="Straight Connector 165"/>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67" name="Straight Connector 166"/>
        <xdr:cNvCxnSpPr/>
      </xdr:nvCxnSpPr>
      <xdr:spPr>
        <a:xfrm flipV="1">
          <a:off x="6109607" y="3429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68" name="Straight Connector 167"/>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69" name="Straight Connector 168"/>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70" name="Straight Connector 169"/>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71" name="Straight Connector 170"/>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72" name="Straight Connector 171"/>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173" name="Straight Connector 172"/>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174" name="Straight Connector 173"/>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175" name="Straight Connector 174"/>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176" name="Straight Connector 175"/>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177" name="Straight Connector 176"/>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178" name="Straight Connector 177"/>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38</xdr:row>
      <xdr:rowOff>13608</xdr:rowOff>
    </xdr:from>
    <xdr:to>
      <xdr:col>12</xdr:col>
      <xdr:colOff>27214</xdr:colOff>
      <xdr:row>39</xdr:row>
      <xdr:rowOff>190502</xdr:rowOff>
    </xdr:to>
    <xdr:cxnSp macro="">
      <xdr:nvCxnSpPr>
        <xdr:cNvPr id="179" name="Straight Connector 178"/>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180" name="Straight Connector 179"/>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38</xdr:row>
      <xdr:rowOff>40821</xdr:rowOff>
    </xdr:from>
    <xdr:to>
      <xdr:col>14</xdr:col>
      <xdr:colOff>911678</xdr:colOff>
      <xdr:row>39</xdr:row>
      <xdr:rowOff>149677</xdr:rowOff>
    </xdr:to>
    <xdr:cxnSp macro="">
      <xdr:nvCxnSpPr>
        <xdr:cNvPr id="181" name="Straight Connector 180"/>
        <xdr:cNvCxnSpPr/>
      </xdr:nvCxnSpPr>
      <xdr:spPr>
        <a:xfrm flipV="1">
          <a:off x="8561613" y="727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182" name="Straight Connector 181"/>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183" name="Straight Connector 182"/>
        <xdr:cNvCxnSpPr/>
      </xdr:nvCxnSpPr>
      <xdr:spPr>
        <a:xfrm flipV="1">
          <a:off x="9198428" y="726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41</xdr:row>
      <xdr:rowOff>13608</xdr:rowOff>
    </xdr:from>
    <xdr:to>
      <xdr:col>12</xdr:col>
      <xdr:colOff>27214</xdr:colOff>
      <xdr:row>42</xdr:row>
      <xdr:rowOff>190502</xdr:rowOff>
    </xdr:to>
    <xdr:cxnSp macro="">
      <xdr:nvCxnSpPr>
        <xdr:cNvPr id="184" name="Straight Connector 183"/>
        <xdr:cNvCxnSpPr/>
      </xdr:nvCxnSpPr>
      <xdr:spPr>
        <a:xfrm flipV="1">
          <a:off x="6787242" y="782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41</xdr:row>
      <xdr:rowOff>17011</xdr:rowOff>
    </xdr:from>
    <xdr:to>
      <xdr:col>12</xdr:col>
      <xdr:colOff>916780</xdr:colOff>
      <xdr:row>42</xdr:row>
      <xdr:rowOff>192201</xdr:rowOff>
    </xdr:to>
    <xdr:cxnSp macro="">
      <xdr:nvCxnSpPr>
        <xdr:cNvPr id="185" name="Straight Connector 184"/>
        <xdr:cNvCxnSpPr/>
      </xdr:nvCxnSpPr>
      <xdr:spPr>
        <a:xfrm flipV="1">
          <a:off x="7349218" y="782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41</xdr:row>
      <xdr:rowOff>27215</xdr:rowOff>
    </xdr:from>
    <xdr:to>
      <xdr:col>10</xdr:col>
      <xdr:colOff>911678</xdr:colOff>
      <xdr:row>43</xdr:row>
      <xdr:rowOff>0</xdr:rowOff>
    </xdr:to>
    <xdr:cxnSp macro="">
      <xdr:nvCxnSpPr>
        <xdr:cNvPr id="186" name="Straight Connector 185"/>
        <xdr:cNvCxnSpPr/>
      </xdr:nvCxnSpPr>
      <xdr:spPr>
        <a:xfrm flipV="1">
          <a:off x="6096000" y="78377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41</xdr:row>
      <xdr:rowOff>27216</xdr:rowOff>
    </xdr:from>
    <xdr:to>
      <xdr:col>16</xdr:col>
      <xdr:colOff>27215</xdr:colOff>
      <xdr:row>42</xdr:row>
      <xdr:rowOff>176893</xdr:rowOff>
    </xdr:to>
    <xdr:cxnSp macro="">
      <xdr:nvCxnSpPr>
        <xdr:cNvPr id="187" name="Straight Connector 186"/>
        <xdr:cNvCxnSpPr/>
      </xdr:nvCxnSpPr>
      <xdr:spPr>
        <a:xfrm flipV="1">
          <a:off x="9198428" y="7837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36</xdr:row>
      <xdr:rowOff>27214</xdr:rowOff>
    </xdr:from>
    <xdr:to>
      <xdr:col>15</xdr:col>
      <xdr:colOff>898072</xdr:colOff>
      <xdr:row>37</xdr:row>
      <xdr:rowOff>149678</xdr:rowOff>
    </xdr:to>
    <xdr:cxnSp macro="">
      <xdr:nvCxnSpPr>
        <xdr:cNvPr id="188" name="Straight Connector 187"/>
        <xdr:cNvCxnSpPr/>
      </xdr:nvCxnSpPr>
      <xdr:spPr>
        <a:xfrm flipV="1">
          <a:off x="9171214" y="688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36</xdr:row>
      <xdr:rowOff>13607</xdr:rowOff>
    </xdr:from>
    <xdr:to>
      <xdr:col>10</xdr:col>
      <xdr:colOff>911677</xdr:colOff>
      <xdr:row>38</xdr:row>
      <xdr:rowOff>0</xdr:rowOff>
    </xdr:to>
    <xdr:cxnSp macro="">
      <xdr:nvCxnSpPr>
        <xdr:cNvPr id="189" name="Straight Connector 188"/>
        <xdr:cNvCxnSpPr/>
      </xdr:nvCxnSpPr>
      <xdr:spPr>
        <a:xfrm flipV="1">
          <a:off x="6109607" y="687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190" name="Straight Connector 189"/>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91" name="Straight Connector 190"/>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36</xdr:row>
      <xdr:rowOff>54428</xdr:rowOff>
    </xdr:from>
    <xdr:to>
      <xdr:col>14</xdr:col>
      <xdr:colOff>884463</xdr:colOff>
      <xdr:row>37</xdr:row>
      <xdr:rowOff>163285</xdr:rowOff>
    </xdr:to>
    <xdr:cxnSp macro="">
      <xdr:nvCxnSpPr>
        <xdr:cNvPr id="192" name="Straight Connector 191"/>
        <xdr:cNvCxnSpPr/>
      </xdr:nvCxnSpPr>
      <xdr:spPr>
        <a:xfrm flipV="1">
          <a:off x="8537119" y="691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193" name="Straight Connector 192"/>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94" name="Straight Connector 193"/>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13607</xdr:colOff>
      <xdr:row>68</xdr:row>
      <xdr:rowOff>13608</xdr:rowOff>
    </xdr:from>
    <xdr:to>
      <xdr:col>11</xdr:col>
      <xdr:colOff>898071</xdr:colOff>
      <xdr:row>69</xdr:row>
      <xdr:rowOff>190502</xdr:rowOff>
    </xdr:to>
    <xdr:cxnSp macro="">
      <xdr:nvCxnSpPr>
        <xdr:cNvPr id="2" name="Straight Connector 1"/>
        <xdr:cNvCxnSpPr/>
      </xdr:nvCxnSpPr>
      <xdr:spPr>
        <a:xfrm flipV="1">
          <a:off x="6719207" y="12967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68</xdr:row>
      <xdr:rowOff>40824</xdr:rowOff>
    </xdr:from>
    <xdr:to>
      <xdr:col>12</xdr:col>
      <xdr:colOff>898072</xdr:colOff>
      <xdr:row>69</xdr:row>
      <xdr:rowOff>190500</xdr:rowOff>
    </xdr:to>
    <xdr:cxnSp macro="">
      <xdr:nvCxnSpPr>
        <xdr:cNvPr id="3" name="Straight Connector 2"/>
        <xdr:cNvCxnSpPr/>
      </xdr:nvCxnSpPr>
      <xdr:spPr>
        <a:xfrm flipV="1">
          <a:off x="7315200" y="12994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68</xdr:row>
      <xdr:rowOff>40824</xdr:rowOff>
    </xdr:from>
    <xdr:to>
      <xdr:col>14</xdr:col>
      <xdr:colOff>884465</xdr:colOff>
      <xdr:row>69</xdr:row>
      <xdr:rowOff>176893</xdr:rowOff>
    </xdr:to>
    <xdr:cxnSp macro="">
      <xdr:nvCxnSpPr>
        <xdr:cNvPr id="4" name="Straight Connector 3"/>
        <xdr:cNvCxnSpPr/>
      </xdr:nvCxnSpPr>
      <xdr:spPr>
        <a:xfrm flipV="1">
          <a:off x="8561614" y="12994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68</xdr:row>
      <xdr:rowOff>27214</xdr:rowOff>
    </xdr:from>
    <xdr:to>
      <xdr:col>16</xdr:col>
      <xdr:colOff>0</xdr:colOff>
      <xdr:row>70</xdr:row>
      <xdr:rowOff>0</xdr:rowOff>
    </xdr:to>
    <xdr:cxnSp macro="">
      <xdr:nvCxnSpPr>
        <xdr:cNvPr id="5" name="Straight Connector 4"/>
        <xdr:cNvCxnSpPr/>
      </xdr:nvCxnSpPr>
      <xdr:spPr>
        <a:xfrm flipV="1">
          <a:off x="9144001" y="12981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68</xdr:row>
      <xdr:rowOff>1</xdr:rowOff>
    </xdr:from>
    <xdr:to>
      <xdr:col>11</xdr:col>
      <xdr:colOff>13607</xdr:colOff>
      <xdr:row>69</xdr:row>
      <xdr:rowOff>176895</xdr:rowOff>
    </xdr:to>
    <xdr:cxnSp macro="">
      <xdr:nvCxnSpPr>
        <xdr:cNvPr id="6" name="Straight Connector 5"/>
        <xdr:cNvCxnSpPr/>
      </xdr:nvCxnSpPr>
      <xdr:spPr>
        <a:xfrm flipV="1">
          <a:off x="6150429" y="12954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72</xdr:row>
      <xdr:rowOff>13608</xdr:rowOff>
    </xdr:from>
    <xdr:to>
      <xdr:col>11</xdr:col>
      <xdr:colOff>898071</xdr:colOff>
      <xdr:row>73</xdr:row>
      <xdr:rowOff>190502</xdr:rowOff>
    </xdr:to>
    <xdr:cxnSp macro="">
      <xdr:nvCxnSpPr>
        <xdr:cNvPr id="7" name="Straight Connector 6"/>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8" name="Straight Connector 7"/>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9" name="Straight Connector 8"/>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72</xdr:row>
      <xdr:rowOff>13608</xdr:rowOff>
    </xdr:from>
    <xdr:to>
      <xdr:col>10</xdr:col>
      <xdr:colOff>884464</xdr:colOff>
      <xdr:row>74</xdr:row>
      <xdr:rowOff>0</xdr:rowOff>
    </xdr:to>
    <xdr:cxnSp macro="">
      <xdr:nvCxnSpPr>
        <xdr:cNvPr id="10" name="Straight Connector 9"/>
        <xdr:cNvCxnSpPr/>
      </xdr:nvCxnSpPr>
      <xdr:spPr>
        <a:xfrm flipV="1">
          <a:off x="6097361" y="13729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72</xdr:row>
      <xdr:rowOff>27217</xdr:rowOff>
    </xdr:from>
    <xdr:to>
      <xdr:col>15</xdr:col>
      <xdr:colOff>938894</xdr:colOff>
      <xdr:row>73</xdr:row>
      <xdr:rowOff>163286</xdr:rowOff>
    </xdr:to>
    <xdr:cxnSp macro="">
      <xdr:nvCxnSpPr>
        <xdr:cNvPr id="11" name="Straight Connector 10"/>
        <xdr:cNvCxnSpPr/>
      </xdr:nvCxnSpPr>
      <xdr:spPr>
        <a:xfrm flipV="1">
          <a:off x="9225643" y="13743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70</xdr:row>
      <xdr:rowOff>13608</xdr:rowOff>
    </xdr:from>
    <xdr:to>
      <xdr:col>11</xdr:col>
      <xdr:colOff>898071</xdr:colOff>
      <xdr:row>71</xdr:row>
      <xdr:rowOff>190502</xdr:rowOff>
    </xdr:to>
    <xdr:cxnSp macro="">
      <xdr:nvCxnSpPr>
        <xdr:cNvPr id="12" name="Straight Connector 11"/>
        <xdr:cNvCxnSpPr/>
      </xdr:nvCxnSpPr>
      <xdr:spPr>
        <a:xfrm flipV="1">
          <a:off x="6719207" y="13348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13" name="Straight Connector 12"/>
        <xdr:cNvCxnSpPr/>
      </xdr:nvCxnSpPr>
      <xdr:spPr>
        <a:xfrm flipV="1">
          <a:off x="7315200" y="13375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14" name="Straight Connector 13"/>
        <xdr:cNvCxnSpPr/>
      </xdr:nvCxnSpPr>
      <xdr:spPr>
        <a:xfrm flipV="1">
          <a:off x="8561614" y="13375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70</xdr:row>
      <xdr:rowOff>13608</xdr:rowOff>
    </xdr:from>
    <xdr:to>
      <xdr:col>10</xdr:col>
      <xdr:colOff>884464</xdr:colOff>
      <xdr:row>72</xdr:row>
      <xdr:rowOff>0</xdr:rowOff>
    </xdr:to>
    <xdr:cxnSp macro="">
      <xdr:nvCxnSpPr>
        <xdr:cNvPr id="15" name="Straight Connector 14"/>
        <xdr:cNvCxnSpPr/>
      </xdr:nvCxnSpPr>
      <xdr:spPr>
        <a:xfrm flipV="1">
          <a:off x="6097361" y="13348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70</xdr:row>
      <xdr:rowOff>27217</xdr:rowOff>
    </xdr:from>
    <xdr:to>
      <xdr:col>15</xdr:col>
      <xdr:colOff>938894</xdr:colOff>
      <xdr:row>71</xdr:row>
      <xdr:rowOff>163286</xdr:rowOff>
    </xdr:to>
    <xdr:cxnSp macro="">
      <xdr:nvCxnSpPr>
        <xdr:cNvPr id="16" name="Straight Connector 15"/>
        <xdr:cNvCxnSpPr/>
      </xdr:nvCxnSpPr>
      <xdr:spPr>
        <a:xfrm flipV="1">
          <a:off x="9225643" y="13362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17" name="Straight Connector 16"/>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18" name="Straight Connector 17"/>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19" name="Straight Connector 18"/>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20" name="Straight Connector 19"/>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21" name="Straight Connector 20"/>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22" name="Straight Connector 21"/>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23" name="Straight Connector 22"/>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24" name="Straight Connector 23"/>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86</xdr:row>
      <xdr:rowOff>13608</xdr:rowOff>
    </xdr:from>
    <xdr:to>
      <xdr:col>12</xdr:col>
      <xdr:colOff>27214</xdr:colOff>
      <xdr:row>87</xdr:row>
      <xdr:rowOff>190502</xdr:rowOff>
    </xdr:to>
    <xdr:cxnSp macro="">
      <xdr:nvCxnSpPr>
        <xdr:cNvPr id="25" name="Straight Connector 24"/>
        <xdr:cNvCxnSpPr/>
      </xdr:nvCxnSpPr>
      <xdr:spPr>
        <a:xfrm flipV="1">
          <a:off x="6787242" y="1639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86</xdr:row>
      <xdr:rowOff>13608</xdr:rowOff>
    </xdr:from>
    <xdr:to>
      <xdr:col>11</xdr:col>
      <xdr:colOff>51026</xdr:colOff>
      <xdr:row>88</xdr:row>
      <xdr:rowOff>0</xdr:rowOff>
    </xdr:to>
    <xdr:cxnSp macro="">
      <xdr:nvCxnSpPr>
        <xdr:cNvPr id="26" name="Straight Connector 25"/>
        <xdr:cNvCxnSpPr/>
      </xdr:nvCxnSpPr>
      <xdr:spPr>
        <a:xfrm flipV="1">
          <a:off x="6109607" y="16396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86</xdr:row>
      <xdr:rowOff>17011</xdr:rowOff>
    </xdr:from>
    <xdr:to>
      <xdr:col>12</xdr:col>
      <xdr:colOff>916780</xdr:colOff>
      <xdr:row>87</xdr:row>
      <xdr:rowOff>192201</xdr:rowOff>
    </xdr:to>
    <xdr:cxnSp macro="">
      <xdr:nvCxnSpPr>
        <xdr:cNvPr id="27" name="Straight Connector 26"/>
        <xdr:cNvCxnSpPr/>
      </xdr:nvCxnSpPr>
      <xdr:spPr>
        <a:xfrm flipV="1">
          <a:off x="7349218" y="1640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86</xdr:row>
      <xdr:rowOff>18714</xdr:rowOff>
    </xdr:from>
    <xdr:to>
      <xdr:col>15</xdr:col>
      <xdr:colOff>887864</xdr:colOff>
      <xdr:row>87</xdr:row>
      <xdr:rowOff>190500</xdr:rowOff>
    </xdr:to>
    <xdr:cxnSp macro="">
      <xdr:nvCxnSpPr>
        <xdr:cNvPr id="28" name="Straight Connector 27"/>
        <xdr:cNvCxnSpPr/>
      </xdr:nvCxnSpPr>
      <xdr:spPr>
        <a:xfrm flipV="1">
          <a:off x="9171214" y="16401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29" name="Straight Connector 28"/>
        <xdr:cNvCxnSpPr/>
      </xdr:nvCxnSpPr>
      <xdr:spPr>
        <a:xfrm flipV="1">
          <a:off x="6787242" y="1677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30" name="Straight Connector 29"/>
        <xdr:cNvCxnSpPr/>
      </xdr:nvCxnSpPr>
      <xdr:spPr>
        <a:xfrm flipV="1">
          <a:off x="6109607" y="1677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31" name="Straight Connector 30"/>
        <xdr:cNvCxnSpPr/>
      </xdr:nvCxnSpPr>
      <xdr:spPr>
        <a:xfrm flipV="1">
          <a:off x="73492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32" name="Straight Connector 31"/>
        <xdr:cNvCxnSpPr/>
      </xdr:nvCxnSpPr>
      <xdr:spPr>
        <a:xfrm flipV="1">
          <a:off x="9171214" y="1678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33" name="Straight Connector 32"/>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34" name="Straight Connector 33"/>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35" name="Straight Connector 34"/>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36" name="Straight Connector 35"/>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37" name="Straight Connector 36"/>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8" name="Straight Connector 37"/>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9" name="Straight Connector 38"/>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92</xdr:row>
      <xdr:rowOff>3</xdr:rowOff>
    </xdr:from>
    <xdr:to>
      <xdr:col>15</xdr:col>
      <xdr:colOff>40822</xdr:colOff>
      <xdr:row>93</xdr:row>
      <xdr:rowOff>149679</xdr:rowOff>
    </xdr:to>
    <xdr:cxnSp macro="">
      <xdr:nvCxnSpPr>
        <xdr:cNvPr id="40" name="Straight Connector 39"/>
        <xdr:cNvCxnSpPr/>
      </xdr:nvCxnSpPr>
      <xdr:spPr>
        <a:xfrm flipV="1">
          <a:off x="8571820" y="17526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41" name="Straight Connector 40"/>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95</xdr:row>
      <xdr:rowOff>13608</xdr:rowOff>
    </xdr:from>
    <xdr:to>
      <xdr:col>12</xdr:col>
      <xdr:colOff>27214</xdr:colOff>
      <xdr:row>96</xdr:row>
      <xdr:rowOff>190502</xdr:rowOff>
    </xdr:to>
    <xdr:cxnSp macro="">
      <xdr:nvCxnSpPr>
        <xdr:cNvPr id="42" name="Straight Connector 41"/>
        <xdr:cNvCxnSpPr/>
      </xdr:nvCxnSpPr>
      <xdr:spPr>
        <a:xfrm flipV="1">
          <a:off x="6787242" y="1811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95</xdr:row>
      <xdr:rowOff>13608</xdr:rowOff>
    </xdr:from>
    <xdr:to>
      <xdr:col>11</xdr:col>
      <xdr:colOff>51026</xdr:colOff>
      <xdr:row>97</xdr:row>
      <xdr:rowOff>0</xdr:rowOff>
    </xdr:to>
    <xdr:cxnSp macro="">
      <xdr:nvCxnSpPr>
        <xdr:cNvPr id="43" name="Straight Connector 42"/>
        <xdr:cNvCxnSpPr/>
      </xdr:nvCxnSpPr>
      <xdr:spPr>
        <a:xfrm flipV="1">
          <a:off x="6109607" y="1811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95</xdr:row>
      <xdr:rowOff>17011</xdr:rowOff>
    </xdr:from>
    <xdr:to>
      <xdr:col>12</xdr:col>
      <xdr:colOff>916780</xdr:colOff>
      <xdr:row>96</xdr:row>
      <xdr:rowOff>192201</xdr:rowOff>
    </xdr:to>
    <xdr:cxnSp macro="">
      <xdr:nvCxnSpPr>
        <xdr:cNvPr id="44" name="Straight Connector 43"/>
        <xdr:cNvCxnSpPr/>
      </xdr:nvCxnSpPr>
      <xdr:spPr>
        <a:xfrm flipV="1">
          <a:off x="7349218" y="1811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95</xdr:row>
      <xdr:rowOff>18714</xdr:rowOff>
    </xdr:from>
    <xdr:to>
      <xdr:col>15</xdr:col>
      <xdr:colOff>887864</xdr:colOff>
      <xdr:row>96</xdr:row>
      <xdr:rowOff>190500</xdr:rowOff>
    </xdr:to>
    <xdr:cxnSp macro="">
      <xdr:nvCxnSpPr>
        <xdr:cNvPr id="45" name="Straight Connector 44"/>
        <xdr:cNvCxnSpPr/>
      </xdr:nvCxnSpPr>
      <xdr:spPr>
        <a:xfrm flipV="1">
          <a:off x="9171214" y="1811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46" name="Straight Connector 45"/>
        <xdr:cNvCxnSpPr/>
      </xdr:nvCxnSpPr>
      <xdr:spPr>
        <a:xfrm flipV="1">
          <a:off x="6787242" y="1849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47" name="Straight Connector 46"/>
        <xdr:cNvCxnSpPr/>
      </xdr:nvCxnSpPr>
      <xdr:spPr>
        <a:xfrm flipV="1">
          <a:off x="6109607" y="1849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48" name="Straight Connector 47"/>
        <xdr:cNvCxnSpPr/>
      </xdr:nvCxnSpPr>
      <xdr:spPr>
        <a:xfrm flipV="1">
          <a:off x="7349218" y="1849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49" name="Straight Connector 48"/>
        <xdr:cNvCxnSpPr/>
      </xdr:nvCxnSpPr>
      <xdr:spPr>
        <a:xfrm flipV="1">
          <a:off x="9171214" y="1849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50" name="Straight Connector 49"/>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51" name="Straight Connector 50"/>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52" name="Straight Connector 51"/>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99</xdr:row>
      <xdr:rowOff>3</xdr:rowOff>
    </xdr:from>
    <xdr:to>
      <xdr:col>15</xdr:col>
      <xdr:colOff>40822</xdr:colOff>
      <xdr:row>100</xdr:row>
      <xdr:rowOff>149679</xdr:rowOff>
    </xdr:to>
    <xdr:cxnSp macro="">
      <xdr:nvCxnSpPr>
        <xdr:cNvPr id="53" name="Straight Connector 52"/>
        <xdr:cNvCxnSpPr/>
      </xdr:nvCxnSpPr>
      <xdr:spPr>
        <a:xfrm flipV="1">
          <a:off x="8571820" y="18859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54" name="Straight Connector 53"/>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55" name="Straight Connector 54"/>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56" name="Straight Connector 55"/>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57" name="Straight Connector 56"/>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101</xdr:row>
      <xdr:rowOff>3</xdr:rowOff>
    </xdr:from>
    <xdr:to>
      <xdr:col>15</xdr:col>
      <xdr:colOff>40822</xdr:colOff>
      <xdr:row>102</xdr:row>
      <xdr:rowOff>149679</xdr:rowOff>
    </xdr:to>
    <xdr:cxnSp macro="">
      <xdr:nvCxnSpPr>
        <xdr:cNvPr id="58" name="Straight Connector 57"/>
        <xdr:cNvCxnSpPr/>
      </xdr:nvCxnSpPr>
      <xdr:spPr>
        <a:xfrm flipV="1">
          <a:off x="8571820" y="19240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59" name="Straight Connector 58"/>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75</xdr:row>
      <xdr:rowOff>13608</xdr:rowOff>
    </xdr:from>
    <xdr:to>
      <xdr:col>12</xdr:col>
      <xdr:colOff>27214</xdr:colOff>
      <xdr:row>76</xdr:row>
      <xdr:rowOff>190502</xdr:rowOff>
    </xdr:to>
    <xdr:cxnSp macro="">
      <xdr:nvCxnSpPr>
        <xdr:cNvPr id="60" name="Straight Connector 59"/>
        <xdr:cNvCxnSpPr/>
      </xdr:nvCxnSpPr>
      <xdr:spPr>
        <a:xfrm flipV="1">
          <a:off x="6787242" y="1430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75</xdr:row>
      <xdr:rowOff>13608</xdr:rowOff>
    </xdr:from>
    <xdr:to>
      <xdr:col>11</xdr:col>
      <xdr:colOff>51026</xdr:colOff>
      <xdr:row>77</xdr:row>
      <xdr:rowOff>0</xdr:rowOff>
    </xdr:to>
    <xdr:cxnSp macro="">
      <xdr:nvCxnSpPr>
        <xdr:cNvPr id="61" name="Straight Connector 60"/>
        <xdr:cNvCxnSpPr/>
      </xdr:nvCxnSpPr>
      <xdr:spPr>
        <a:xfrm flipV="1">
          <a:off x="6109607" y="1430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75</xdr:row>
      <xdr:rowOff>17011</xdr:rowOff>
    </xdr:from>
    <xdr:to>
      <xdr:col>12</xdr:col>
      <xdr:colOff>916780</xdr:colOff>
      <xdr:row>76</xdr:row>
      <xdr:rowOff>192201</xdr:rowOff>
    </xdr:to>
    <xdr:cxnSp macro="">
      <xdr:nvCxnSpPr>
        <xdr:cNvPr id="62" name="Straight Connector 61"/>
        <xdr:cNvCxnSpPr/>
      </xdr:nvCxnSpPr>
      <xdr:spPr>
        <a:xfrm flipV="1">
          <a:off x="7349218" y="1430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77</xdr:row>
      <xdr:rowOff>40825</xdr:rowOff>
    </xdr:from>
    <xdr:to>
      <xdr:col>15</xdr:col>
      <xdr:colOff>54429</xdr:colOff>
      <xdr:row>78</xdr:row>
      <xdr:rowOff>190501</xdr:rowOff>
    </xdr:to>
    <xdr:cxnSp macro="">
      <xdr:nvCxnSpPr>
        <xdr:cNvPr id="63" name="Straight Connector 62"/>
        <xdr:cNvCxnSpPr/>
      </xdr:nvCxnSpPr>
      <xdr:spPr>
        <a:xfrm flipV="1">
          <a:off x="8585427" y="14709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75</xdr:row>
      <xdr:rowOff>18714</xdr:rowOff>
    </xdr:from>
    <xdr:to>
      <xdr:col>15</xdr:col>
      <xdr:colOff>887864</xdr:colOff>
      <xdr:row>76</xdr:row>
      <xdr:rowOff>190500</xdr:rowOff>
    </xdr:to>
    <xdr:cxnSp macro="">
      <xdr:nvCxnSpPr>
        <xdr:cNvPr id="64" name="Straight Connector 63"/>
        <xdr:cNvCxnSpPr/>
      </xdr:nvCxnSpPr>
      <xdr:spPr>
        <a:xfrm flipV="1">
          <a:off x="9171214" y="1430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5" name="Straight Connector 64"/>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66" name="Straight Connector 65"/>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67" name="Straight Connector 66"/>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68" name="Straight Connector 67"/>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69" name="Straight Connector 68"/>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70" name="Straight Connector 69"/>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71" name="Straight Connector 70"/>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72" name="Straight Connector 71"/>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97</xdr:row>
      <xdr:rowOff>17010</xdr:rowOff>
    </xdr:from>
    <xdr:to>
      <xdr:col>14</xdr:col>
      <xdr:colOff>903173</xdr:colOff>
      <xdr:row>98</xdr:row>
      <xdr:rowOff>192200</xdr:rowOff>
    </xdr:to>
    <xdr:cxnSp macro="">
      <xdr:nvCxnSpPr>
        <xdr:cNvPr id="73" name="Straight Connector 72"/>
        <xdr:cNvCxnSpPr/>
      </xdr:nvCxnSpPr>
      <xdr:spPr>
        <a:xfrm flipV="1">
          <a:off x="8554811" y="18495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90</xdr:row>
      <xdr:rowOff>3404</xdr:rowOff>
    </xdr:from>
    <xdr:to>
      <xdr:col>15</xdr:col>
      <xdr:colOff>5101</xdr:colOff>
      <xdr:row>91</xdr:row>
      <xdr:rowOff>178593</xdr:rowOff>
    </xdr:to>
    <xdr:cxnSp macro="">
      <xdr:nvCxnSpPr>
        <xdr:cNvPr id="74" name="Straight Connector 73"/>
        <xdr:cNvCxnSpPr/>
      </xdr:nvCxnSpPr>
      <xdr:spPr>
        <a:xfrm flipV="1">
          <a:off x="8582025" y="17148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88</xdr:row>
      <xdr:rowOff>17011</xdr:rowOff>
    </xdr:from>
    <xdr:to>
      <xdr:col>15</xdr:col>
      <xdr:colOff>5101</xdr:colOff>
      <xdr:row>89</xdr:row>
      <xdr:rowOff>192201</xdr:rowOff>
    </xdr:to>
    <xdr:cxnSp macro="">
      <xdr:nvCxnSpPr>
        <xdr:cNvPr id="75" name="Straight Connector 74"/>
        <xdr:cNvCxnSpPr/>
      </xdr:nvCxnSpPr>
      <xdr:spPr>
        <a:xfrm flipV="1">
          <a:off x="8582025" y="16781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86</xdr:row>
      <xdr:rowOff>17011</xdr:rowOff>
    </xdr:from>
    <xdr:to>
      <xdr:col>14</xdr:col>
      <xdr:colOff>916780</xdr:colOff>
      <xdr:row>87</xdr:row>
      <xdr:rowOff>192201</xdr:rowOff>
    </xdr:to>
    <xdr:cxnSp macro="">
      <xdr:nvCxnSpPr>
        <xdr:cNvPr id="76" name="Straight Connector 75"/>
        <xdr:cNvCxnSpPr/>
      </xdr:nvCxnSpPr>
      <xdr:spPr>
        <a:xfrm flipV="1">
          <a:off x="8568418" y="1640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83</xdr:row>
      <xdr:rowOff>17011</xdr:rowOff>
    </xdr:from>
    <xdr:to>
      <xdr:col>15</xdr:col>
      <xdr:colOff>32315</xdr:colOff>
      <xdr:row>84</xdr:row>
      <xdr:rowOff>192201</xdr:rowOff>
    </xdr:to>
    <xdr:cxnSp macro="">
      <xdr:nvCxnSpPr>
        <xdr:cNvPr id="77" name="Straight Connector 76"/>
        <xdr:cNvCxnSpPr/>
      </xdr:nvCxnSpPr>
      <xdr:spPr>
        <a:xfrm flipV="1">
          <a:off x="8609239" y="15828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81</xdr:row>
      <xdr:rowOff>17011</xdr:rowOff>
    </xdr:from>
    <xdr:to>
      <xdr:col>15</xdr:col>
      <xdr:colOff>32315</xdr:colOff>
      <xdr:row>82</xdr:row>
      <xdr:rowOff>192201</xdr:rowOff>
    </xdr:to>
    <xdr:cxnSp macro="">
      <xdr:nvCxnSpPr>
        <xdr:cNvPr id="78" name="Straight Connector 77"/>
        <xdr:cNvCxnSpPr/>
      </xdr:nvCxnSpPr>
      <xdr:spPr>
        <a:xfrm flipV="1">
          <a:off x="8609239" y="15447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79</xdr:row>
      <xdr:rowOff>3403</xdr:rowOff>
    </xdr:from>
    <xdr:to>
      <xdr:col>15</xdr:col>
      <xdr:colOff>18708</xdr:colOff>
      <xdr:row>80</xdr:row>
      <xdr:rowOff>178593</xdr:rowOff>
    </xdr:to>
    <xdr:cxnSp macro="">
      <xdr:nvCxnSpPr>
        <xdr:cNvPr id="79" name="Straight Connector 78"/>
        <xdr:cNvCxnSpPr/>
      </xdr:nvCxnSpPr>
      <xdr:spPr>
        <a:xfrm flipV="1">
          <a:off x="8595632" y="15052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50</xdr:row>
      <xdr:rowOff>27214</xdr:rowOff>
    </xdr:from>
    <xdr:to>
      <xdr:col>15</xdr:col>
      <xdr:colOff>898072</xdr:colOff>
      <xdr:row>51</xdr:row>
      <xdr:rowOff>149678</xdr:rowOff>
    </xdr:to>
    <xdr:cxnSp macro="">
      <xdr:nvCxnSpPr>
        <xdr:cNvPr id="80" name="Straight Connector 79"/>
        <xdr:cNvCxnSpPr/>
      </xdr:nvCxnSpPr>
      <xdr:spPr>
        <a:xfrm flipV="1">
          <a:off x="9171214" y="9552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50</xdr:row>
      <xdr:rowOff>13607</xdr:rowOff>
    </xdr:from>
    <xdr:to>
      <xdr:col>10</xdr:col>
      <xdr:colOff>911677</xdr:colOff>
      <xdr:row>52</xdr:row>
      <xdr:rowOff>0</xdr:rowOff>
    </xdr:to>
    <xdr:cxnSp macro="">
      <xdr:nvCxnSpPr>
        <xdr:cNvPr id="81" name="Straight Connector 80"/>
        <xdr:cNvCxnSpPr/>
      </xdr:nvCxnSpPr>
      <xdr:spPr>
        <a:xfrm flipV="1">
          <a:off x="6109607" y="9538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82" name="Straight Connector 81"/>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83" name="Straight Connector 82"/>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50</xdr:row>
      <xdr:rowOff>54428</xdr:rowOff>
    </xdr:from>
    <xdr:to>
      <xdr:col>14</xdr:col>
      <xdr:colOff>884463</xdr:colOff>
      <xdr:row>51</xdr:row>
      <xdr:rowOff>163285</xdr:rowOff>
    </xdr:to>
    <xdr:cxnSp macro="">
      <xdr:nvCxnSpPr>
        <xdr:cNvPr id="84" name="Straight Connector 83"/>
        <xdr:cNvCxnSpPr/>
      </xdr:nvCxnSpPr>
      <xdr:spPr>
        <a:xfrm flipV="1">
          <a:off x="8537119" y="9579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85" name="Straight Connector 84"/>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86" name="Straight Connector 85"/>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87" name="Straight Connector 86"/>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88" name="Straight Connector 87"/>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89" name="Straight Connector 88"/>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75</xdr:row>
      <xdr:rowOff>13610</xdr:rowOff>
    </xdr:from>
    <xdr:to>
      <xdr:col>15</xdr:col>
      <xdr:colOff>54429</xdr:colOff>
      <xdr:row>76</xdr:row>
      <xdr:rowOff>163286</xdr:rowOff>
    </xdr:to>
    <xdr:cxnSp macro="">
      <xdr:nvCxnSpPr>
        <xdr:cNvPr id="90" name="Straight Connector 89"/>
        <xdr:cNvCxnSpPr/>
      </xdr:nvCxnSpPr>
      <xdr:spPr>
        <a:xfrm flipV="1">
          <a:off x="8585427" y="14301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43</xdr:row>
      <xdr:rowOff>13607</xdr:rowOff>
    </xdr:from>
    <xdr:to>
      <xdr:col>10</xdr:col>
      <xdr:colOff>911677</xdr:colOff>
      <xdr:row>45</xdr:row>
      <xdr:rowOff>0</xdr:rowOff>
    </xdr:to>
    <xdr:cxnSp macro="">
      <xdr:nvCxnSpPr>
        <xdr:cNvPr id="91" name="Straight Connector 90"/>
        <xdr:cNvCxnSpPr/>
      </xdr:nvCxnSpPr>
      <xdr:spPr>
        <a:xfrm flipV="1">
          <a:off x="6109607" y="8205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92" name="Straight Connector 91"/>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93" name="Straight Connector 92"/>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43</xdr:row>
      <xdr:rowOff>54428</xdr:rowOff>
    </xdr:from>
    <xdr:to>
      <xdr:col>14</xdr:col>
      <xdr:colOff>884463</xdr:colOff>
      <xdr:row>44</xdr:row>
      <xdr:rowOff>163285</xdr:rowOff>
    </xdr:to>
    <xdr:cxnSp macro="">
      <xdr:nvCxnSpPr>
        <xdr:cNvPr id="94" name="Straight Connector 93"/>
        <xdr:cNvCxnSpPr/>
      </xdr:nvCxnSpPr>
      <xdr:spPr>
        <a:xfrm flipV="1">
          <a:off x="8537119" y="8245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47</xdr:row>
      <xdr:rowOff>27214</xdr:rowOff>
    </xdr:from>
    <xdr:to>
      <xdr:col>15</xdr:col>
      <xdr:colOff>898072</xdr:colOff>
      <xdr:row>48</xdr:row>
      <xdr:rowOff>149678</xdr:rowOff>
    </xdr:to>
    <xdr:cxnSp macro="">
      <xdr:nvCxnSpPr>
        <xdr:cNvPr id="95" name="Straight Connector 94"/>
        <xdr:cNvCxnSpPr/>
      </xdr:nvCxnSpPr>
      <xdr:spPr>
        <a:xfrm flipV="1">
          <a:off x="9171214" y="8980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96" name="Straight Connector 95"/>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97" name="Straight Connector 96"/>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98" name="Straight Connector 97"/>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99" name="Straight Connector 98"/>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45</xdr:row>
      <xdr:rowOff>27214</xdr:rowOff>
    </xdr:from>
    <xdr:to>
      <xdr:col>15</xdr:col>
      <xdr:colOff>898072</xdr:colOff>
      <xdr:row>46</xdr:row>
      <xdr:rowOff>149678</xdr:rowOff>
    </xdr:to>
    <xdr:cxnSp macro="">
      <xdr:nvCxnSpPr>
        <xdr:cNvPr id="100" name="Straight Connector 99"/>
        <xdr:cNvCxnSpPr/>
      </xdr:nvCxnSpPr>
      <xdr:spPr>
        <a:xfrm flipV="1">
          <a:off x="9171214" y="8599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45</xdr:row>
      <xdr:rowOff>13607</xdr:rowOff>
    </xdr:from>
    <xdr:to>
      <xdr:col>10</xdr:col>
      <xdr:colOff>911677</xdr:colOff>
      <xdr:row>47</xdr:row>
      <xdr:rowOff>0</xdr:rowOff>
    </xdr:to>
    <xdr:cxnSp macro="">
      <xdr:nvCxnSpPr>
        <xdr:cNvPr id="101" name="Straight Connector 100"/>
        <xdr:cNvCxnSpPr/>
      </xdr:nvCxnSpPr>
      <xdr:spPr>
        <a:xfrm flipV="1">
          <a:off x="6109607" y="8586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102" name="Straight Connector 101"/>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103" name="Straight Connector 102"/>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45</xdr:row>
      <xdr:rowOff>54428</xdr:rowOff>
    </xdr:from>
    <xdr:to>
      <xdr:col>14</xdr:col>
      <xdr:colOff>884463</xdr:colOff>
      <xdr:row>46</xdr:row>
      <xdr:rowOff>163285</xdr:rowOff>
    </xdr:to>
    <xdr:cxnSp macro="">
      <xdr:nvCxnSpPr>
        <xdr:cNvPr id="104" name="Straight Connector 103"/>
        <xdr:cNvCxnSpPr/>
      </xdr:nvCxnSpPr>
      <xdr:spPr>
        <a:xfrm flipV="1">
          <a:off x="8537119" y="8626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106</xdr:row>
      <xdr:rowOff>0</xdr:rowOff>
    </xdr:from>
    <xdr:ext cx="17150072" cy="3743326"/>
    <xdr:pic>
      <xdr:nvPicPr>
        <xdr:cNvPr id="105" name="Picture 104"/>
        <xdr:cNvPicPr>
          <a:picLocks noChangeAspect="1" noChangeArrowheads="1"/>
          <a:extLst/>
        </xdr:cNvPicPr>
      </xdr:nvPicPr>
      <xdr:blipFill>
        <a:blip xmlns:r="http://schemas.openxmlformats.org/officeDocument/2006/relationships" r:embed="rId1"/>
        <a:srcRect/>
        <a:stretch>
          <a:fillRect/>
        </a:stretch>
      </xdr:blipFill>
      <xdr:spPr bwMode="auto">
        <a:xfrm>
          <a:off x="609600" y="20193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122</xdr:row>
      <xdr:rowOff>176894</xdr:rowOff>
    </xdr:from>
    <xdr:ext cx="18008063" cy="3743325"/>
    <xdr:pic>
      <xdr:nvPicPr>
        <xdr:cNvPr id="106" name="Picture 105"/>
        <xdr:cNvPicPr>
          <a:picLocks noChangeAspect="1" noChangeArrowheads="1"/>
          <a:extLst/>
        </xdr:cNvPicPr>
      </xdr:nvPicPr>
      <xdr:blipFill>
        <a:blip xmlns:r="http://schemas.openxmlformats.org/officeDocument/2006/relationships" r:embed="rId2"/>
        <a:srcRect/>
        <a:stretch>
          <a:fillRect/>
        </a:stretch>
      </xdr:blipFill>
      <xdr:spPr bwMode="auto">
        <a:xfrm>
          <a:off x="621846" y="23417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32</xdr:row>
      <xdr:rowOff>13608</xdr:rowOff>
    </xdr:from>
    <xdr:to>
      <xdr:col>12</xdr:col>
      <xdr:colOff>27214</xdr:colOff>
      <xdr:row>33</xdr:row>
      <xdr:rowOff>190502</xdr:rowOff>
    </xdr:to>
    <xdr:cxnSp macro="">
      <xdr:nvCxnSpPr>
        <xdr:cNvPr id="107" name="Straight Connector 106"/>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08" name="Straight Connector 107"/>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32</xdr:row>
      <xdr:rowOff>0</xdr:rowOff>
    </xdr:from>
    <xdr:to>
      <xdr:col>15</xdr:col>
      <xdr:colOff>0</xdr:colOff>
      <xdr:row>33</xdr:row>
      <xdr:rowOff>190501</xdr:rowOff>
    </xdr:to>
    <xdr:cxnSp macro="">
      <xdr:nvCxnSpPr>
        <xdr:cNvPr id="109" name="Straight Connector 108"/>
        <xdr:cNvCxnSpPr/>
      </xdr:nvCxnSpPr>
      <xdr:spPr>
        <a:xfrm flipV="1">
          <a:off x="8533039" y="6096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27215</xdr:rowOff>
    </xdr:from>
    <xdr:to>
      <xdr:col>10</xdr:col>
      <xdr:colOff>911678</xdr:colOff>
      <xdr:row>34</xdr:row>
      <xdr:rowOff>0</xdr:rowOff>
    </xdr:to>
    <xdr:cxnSp macro="">
      <xdr:nvCxnSpPr>
        <xdr:cNvPr id="110" name="Straight Connector 109"/>
        <xdr:cNvCxnSpPr/>
      </xdr:nvCxnSpPr>
      <xdr:spPr>
        <a:xfrm flipV="1">
          <a:off x="6096000" y="6123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32</xdr:row>
      <xdr:rowOff>13607</xdr:rowOff>
    </xdr:from>
    <xdr:to>
      <xdr:col>16</xdr:col>
      <xdr:colOff>0</xdr:colOff>
      <xdr:row>34</xdr:row>
      <xdr:rowOff>0</xdr:rowOff>
    </xdr:to>
    <xdr:cxnSp macro="">
      <xdr:nvCxnSpPr>
        <xdr:cNvPr id="111" name="Straight Connector 110"/>
        <xdr:cNvCxnSpPr/>
      </xdr:nvCxnSpPr>
      <xdr:spPr>
        <a:xfrm flipV="1">
          <a:off x="9171214" y="6109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52</xdr:row>
      <xdr:rowOff>40821</xdr:rowOff>
    </xdr:from>
    <xdr:to>
      <xdr:col>15</xdr:col>
      <xdr:colOff>952500</xdr:colOff>
      <xdr:row>53</xdr:row>
      <xdr:rowOff>163285</xdr:rowOff>
    </xdr:to>
    <xdr:cxnSp macro="">
      <xdr:nvCxnSpPr>
        <xdr:cNvPr id="112" name="Straight Connector 111"/>
        <xdr:cNvCxnSpPr/>
      </xdr:nvCxnSpPr>
      <xdr:spPr>
        <a:xfrm flipV="1">
          <a:off x="9225642" y="9946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113" name="Straight Connector 112"/>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14" name="Straight Connector 113"/>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15" name="Straight Connector 114"/>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116" name="Straight Connector 115"/>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117" name="Straight Connector 116"/>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18" name="Straight Connector 117"/>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19" name="Straight Connector 118"/>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20" name="Straight Connector 119"/>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21" name="Straight Connector 120"/>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122" name="Straight Connector 121"/>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23" name="Straight Connector 122"/>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24" name="Straight Connector 123"/>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25" name="Straight Connector 124"/>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26" name="Straight Connector 125"/>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27" name="Straight Connector 126"/>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28" name="Straight Connector 127"/>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29" name="Straight Connector 128"/>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30" name="Straight Connector 129"/>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31" name="Straight Connector 130"/>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43</xdr:row>
      <xdr:rowOff>27216</xdr:rowOff>
    </xdr:from>
    <xdr:to>
      <xdr:col>16</xdr:col>
      <xdr:colOff>27215</xdr:colOff>
      <xdr:row>44</xdr:row>
      <xdr:rowOff>176893</xdr:rowOff>
    </xdr:to>
    <xdr:cxnSp macro="">
      <xdr:nvCxnSpPr>
        <xdr:cNvPr id="132" name="Straight Connector 131"/>
        <xdr:cNvCxnSpPr/>
      </xdr:nvCxnSpPr>
      <xdr:spPr>
        <a:xfrm flipV="1">
          <a:off x="9198428" y="8218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898070</xdr:colOff>
      <xdr:row>35</xdr:row>
      <xdr:rowOff>176892</xdr:rowOff>
    </xdr:from>
    <xdr:to>
      <xdr:col>14</xdr:col>
      <xdr:colOff>911679</xdr:colOff>
      <xdr:row>36</xdr:row>
      <xdr:rowOff>0</xdr:rowOff>
    </xdr:to>
    <xdr:cxnSp macro="">
      <xdr:nvCxnSpPr>
        <xdr:cNvPr id="133" name="Straight Connector 132"/>
        <xdr:cNvCxnSpPr/>
      </xdr:nvCxnSpPr>
      <xdr:spPr>
        <a:xfrm flipV="1">
          <a:off x="8537120" y="6844392"/>
          <a:ext cx="604159" cy="136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28</xdr:row>
      <xdr:rowOff>13608</xdr:rowOff>
    </xdr:from>
    <xdr:to>
      <xdr:col>12</xdr:col>
      <xdr:colOff>27214</xdr:colOff>
      <xdr:row>29</xdr:row>
      <xdr:rowOff>190502</xdr:rowOff>
    </xdr:to>
    <xdr:cxnSp macro="">
      <xdr:nvCxnSpPr>
        <xdr:cNvPr id="134" name="Straight Connector 133"/>
        <xdr:cNvCxnSpPr/>
      </xdr:nvCxnSpPr>
      <xdr:spPr>
        <a:xfrm flipV="1">
          <a:off x="6787242" y="534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35" name="Straight Connector 134"/>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36" name="Straight Connector 135"/>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13609</xdr:rowOff>
    </xdr:from>
    <xdr:to>
      <xdr:col>10</xdr:col>
      <xdr:colOff>911678</xdr:colOff>
      <xdr:row>29</xdr:row>
      <xdr:rowOff>190501</xdr:rowOff>
    </xdr:to>
    <xdr:cxnSp macro="">
      <xdr:nvCxnSpPr>
        <xdr:cNvPr id="137" name="Straight Connector 136"/>
        <xdr:cNvCxnSpPr/>
      </xdr:nvCxnSpPr>
      <xdr:spPr>
        <a:xfrm flipV="1">
          <a:off x="6109607" y="5347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38" name="Straight Connector 137"/>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34</xdr:row>
      <xdr:rowOff>13608</xdr:rowOff>
    </xdr:from>
    <xdr:to>
      <xdr:col>12</xdr:col>
      <xdr:colOff>27214</xdr:colOff>
      <xdr:row>35</xdr:row>
      <xdr:rowOff>190500</xdr:rowOff>
    </xdr:to>
    <xdr:cxnSp macro="">
      <xdr:nvCxnSpPr>
        <xdr:cNvPr id="139" name="Straight Connector 138"/>
        <xdr:cNvCxnSpPr/>
      </xdr:nvCxnSpPr>
      <xdr:spPr>
        <a:xfrm flipV="1">
          <a:off x="6732814" y="6490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40" name="Straight Connector 139"/>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33</xdr:row>
      <xdr:rowOff>190500</xdr:rowOff>
    </xdr:from>
    <xdr:to>
      <xdr:col>15</xdr:col>
      <xdr:colOff>27214</xdr:colOff>
      <xdr:row>35</xdr:row>
      <xdr:rowOff>176894</xdr:rowOff>
    </xdr:to>
    <xdr:cxnSp macro="">
      <xdr:nvCxnSpPr>
        <xdr:cNvPr id="141" name="Straight Connector 140"/>
        <xdr:cNvCxnSpPr/>
      </xdr:nvCxnSpPr>
      <xdr:spPr>
        <a:xfrm flipV="1">
          <a:off x="8561614" y="6477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34</xdr:row>
      <xdr:rowOff>0</xdr:rowOff>
    </xdr:from>
    <xdr:to>
      <xdr:col>11</xdr:col>
      <xdr:colOff>13607</xdr:colOff>
      <xdr:row>35</xdr:row>
      <xdr:rowOff>176892</xdr:rowOff>
    </xdr:to>
    <xdr:cxnSp macro="">
      <xdr:nvCxnSpPr>
        <xdr:cNvPr id="142" name="Straight Connector 141"/>
        <xdr:cNvCxnSpPr/>
      </xdr:nvCxnSpPr>
      <xdr:spPr>
        <a:xfrm flipV="1">
          <a:off x="6123215" y="6477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34</xdr:row>
      <xdr:rowOff>0</xdr:rowOff>
    </xdr:from>
    <xdr:to>
      <xdr:col>15</xdr:col>
      <xdr:colOff>952500</xdr:colOff>
      <xdr:row>35</xdr:row>
      <xdr:rowOff>190501</xdr:rowOff>
    </xdr:to>
    <xdr:cxnSp macro="">
      <xdr:nvCxnSpPr>
        <xdr:cNvPr id="143" name="Straight Connector 142"/>
        <xdr:cNvCxnSpPr/>
      </xdr:nvCxnSpPr>
      <xdr:spPr>
        <a:xfrm flipV="1">
          <a:off x="9141279" y="6477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44" name="Straight Connector 143"/>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45" name="Straight Connector 144"/>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46" name="Straight Connector 145"/>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27216</xdr:rowOff>
    </xdr:from>
    <xdr:to>
      <xdr:col>10</xdr:col>
      <xdr:colOff>898071</xdr:colOff>
      <xdr:row>32</xdr:row>
      <xdr:rowOff>0</xdr:rowOff>
    </xdr:to>
    <xdr:cxnSp macro="">
      <xdr:nvCxnSpPr>
        <xdr:cNvPr id="147" name="Straight Connector 146"/>
        <xdr:cNvCxnSpPr/>
      </xdr:nvCxnSpPr>
      <xdr:spPr>
        <a:xfrm flipV="1">
          <a:off x="6096000" y="5742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48" name="Straight Connector 147"/>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149" name="Straight Connector 148"/>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50" name="Straight Connector 149"/>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51" name="Straight Connector 150"/>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152" name="Straight Connector 151"/>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53" name="Straight Connector 152"/>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54" name="Straight Connector 153"/>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55" name="Straight Connector 154"/>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56" name="Straight Connector 155"/>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31750</xdr:colOff>
      <xdr:row>16</xdr:row>
      <xdr:rowOff>3</xdr:rowOff>
    </xdr:from>
    <xdr:to>
      <xdr:col>11</xdr:col>
      <xdr:colOff>40820</xdr:colOff>
      <xdr:row>18</xdr:row>
      <xdr:rowOff>15875</xdr:rowOff>
    </xdr:to>
    <xdr:cxnSp macro="">
      <xdr:nvCxnSpPr>
        <xdr:cNvPr id="157" name="Straight Connector 156"/>
        <xdr:cNvCxnSpPr/>
      </xdr:nvCxnSpPr>
      <xdr:spPr>
        <a:xfrm flipV="1">
          <a:off x="6127750" y="3048003"/>
          <a:ext cx="618670" cy="39687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58" name="Straight Connector 157"/>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59" name="Straight Connector 158"/>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60" name="Straight Connector 159"/>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61" name="Straight Connector 160"/>
        <xdr:cNvCxnSpPr/>
      </xdr:nvCxnSpPr>
      <xdr:spPr>
        <a:xfrm flipV="1">
          <a:off x="8561613" y="1183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62" name="Straight Connector 161"/>
        <xdr:cNvCxnSpPr/>
      </xdr:nvCxnSpPr>
      <xdr:spPr>
        <a:xfrm flipV="1">
          <a:off x="6164035" y="1143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63" name="Straight Connector 162"/>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64" name="Straight Connector 16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65" name="Straight Connector 16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66" name="Straight Connector 16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67" name="Straight Connector 166"/>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68" name="Straight Connector 16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169" name="Straight Connector 168"/>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70" name="Straight Connector 169"/>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71" name="Straight Connector 170"/>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172" name="Straight Connector 171"/>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73" name="Straight Connector 172"/>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74" name="Straight Connector 173"/>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75" name="Straight Connector 174"/>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76" name="Straight Connector 175"/>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77" name="Straight Connector 176"/>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78" name="Straight Connector 177"/>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179" name="Straight Connector 178"/>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80" name="Straight Connector 179"/>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81" name="Straight Connector 180"/>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182" name="Straight Connector 181"/>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83" name="Straight Connector 182"/>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184" name="Straight Connector 183"/>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85" name="Straight Connector 184"/>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86" name="Straight Connector 185"/>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187" name="Straight Connector 186"/>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88" name="Straight Connector 187"/>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89" name="Straight Connector 188"/>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90" name="Straight Connector 189"/>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91" name="Straight Connector 190"/>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92" name="Straight Connector 191"/>
        <xdr:cNvCxnSpPr/>
      </xdr:nvCxnSpPr>
      <xdr:spPr>
        <a:xfrm flipV="1">
          <a:off x="6109607" y="3429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93" name="Straight Connector 192"/>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94" name="Straight Connector 193"/>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95" name="Straight Connector 194"/>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96" name="Straight Connector 195"/>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97" name="Straight Connector 196"/>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198" name="Straight Connector 197"/>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199" name="Straight Connector 198"/>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200" name="Straight Connector 199"/>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201" name="Straight Connector 200"/>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202" name="Straight Connector 201"/>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03" name="Straight Connector 202"/>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204" name="Straight Connector 203"/>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205" name="Straight Connector 204"/>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206" name="Straight Connector 205"/>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207" name="Straight Connector 206"/>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208" name="Straight Connector 207"/>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209" name="Straight Connector 208"/>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210" name="Straight Connector 209"/>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43</xdr:row>
      <xdr:rowOff>27215</xdr:rowOff>
    </xdr:from>
    <xdr:to>
      <xdr:col>10</xdr:col>
      <xdr:colOff>911678</xdr:colOff>
      <xdr:row>45</xdr:row>
      <xdr:rowOff>0</xdr:rowOff>
    </xdr:to>
    <xdr:cxnSp macro="">
      <xdr:nvCxnSpPr>
        <xdr:cNvPr id="211" name="Straight Connector 210"/>
        <xdr:cNvCxnSpPr/>
      </xdr:nvCxnSpPr>
      <xdr:spPr>
        <a:xfrm flipV="1">
          <a:off x="6096000" y="82187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43</xdr:row>
      <xdr:rowOff>27216</xdr:rowOff>
    </xdr:from>
    <xdr:to>
      <xdr:col>16</xdr:col>
      <xdr:colOff>27215</xdr:colOff>
      <xdr:row>44</xdr:row>
      <xdr:rowOff>176893</xdr:rowOff>
    </xdr:to>
    <xdr:cxnSp macro="">
      <xdr:nvCxnSpPr>
        <xdr:cNvPr id="212" name="Straight Connector 211"/>
        <xdr:cNvCxnSpPr/>
      </xdr:nvCxnSpPr>
      <xdr:spPr>
        <a:xfrm flipV="1">
          <a:off x="9198428" y="8218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213" name="Straight Connector 212"/>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214" name="Straight Connector 213"/>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215" name="Straight Connector 214"/>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216" name="Straight Connector 215"/>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36</xdr:row>
      <xdr:rowOff>40821</xdr:rowOff>
    </xdr:from>
    <xdr:to>
      <xdr:col>14</xdr:col>
      <xdr:colOff>911678</xdr:colOff>
      <xdr:row>37</xdr:row>
      <xdr:rowOff>149677</xdr:rowOff>
    </xdr:to>
    <xdr:cxnSp macro="">
      <xdr:nvCxnSpPr>
        <xdr:cNvPr id="217" name="Straight Connector 216"/>
        <xdr:cNvCxnSpPr/>
      </xdr:nvCxnSpPr>
      <xdr:spPr>
        <a:xfrm flipV="1">
          <a:off x="8561613" y="689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218" name="Straight Connector 217"/>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219" name="Straight Connector 218"/>
        <xdr:cNvCxnSpPr/>
      </xdr:nvCxnSpPr>
      <xdr:spPr>
        <a:xfrm flipV="1">
          <a:off x="9198428" y="688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220" name="Straight Connector 219"/>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221" name="Straight Connector 220"/>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222" name="Straight Connector 221"/>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223" name="Straight Connector 222"/>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24" name="Straight Connector 223"/>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38</xdr:row>
      <xdr:rowOff>13608</xdr:rowOff>
    </xdr:from>
    <xdr:to>
      <xdr:col>12</xdr:col>
      <xdr:colOff>27214</xdr:colOff>
      <xdr:row>39</xdr:row>
      <xdr:rowOff>190502</xdr:rowOff>
    </xdr:to>
    <xdr:cxnSp macro="">
      <xdr:nvCxnSpPr>
        <xdr:cNvPr id="225" name="Straight Connector 224"/>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226" name="Straight Connector 225"/>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38</xdr:row>
      <xdr:rowOff>40821</xdr:rowOff>
    </xdr:from>
    <xdr:to>
      <xdr:col>14</xdr:col>
      <xdr:colOff>911678</xdr:colOff>
      <xdr:row>39</xdr:row>
      <xdr:rowOff>149677</xdr:rowOff>
    </xdr:to>
    <xdr:cxnSp macro="">
      <xdr:nvCxnSpPr>
        <xdr:cNvPr id="227" name="Straight Connector 226"/>
        <xdr:cNvCxnSpPr/>
      </xdr:nvCxnSpPr>
      <xdr:spPr>
        <a:xfrm flipV="1">
          <a:off x="8561613" y="727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228" name="Straight Connector 227"/>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229" name="Straight Connector 228"/>
        <xdr:cNvCxnSpPr/>
      </xdr:nvCxnSpPr>
      <xdr:spPr>
        <a:xfrm flipV="1">
          <a:off x="9198428" y="726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27216</xdr:rowOff>
    </xdr:from>
    <xdr:to>
      <xdr:col>10</xdr:col>
      <xdr:colOff>898071</xdr:colOff>
      <xdr:row>32</xdr:row>
      <xdr:rowOff>0</xdr:rowOff>
    </xdr:to>
    <xdr:cxnSp macro="">
      <xdr:nvCxnSpPr>
        <xdr:cNvPr id="230" name="Straight Connector 229"/>
        <xdr:cNvCxnSpPr/>
      </xdr:nvCxnSpPr>
      <xdr:spPr>
        <a:xfrm flipV="1">
          <a:off x="6096000" y="5742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13607</xdr:colOff>
      <xdr:row>68</xdr:row>
      <xdr:rowOff>13608</xdr:rowOff>
    </xdr:from>
    <xdr:to>
      <xdr:col>11</xdr:col>
      <xdr:colOff>898071</xdr:colOff>
      <xdr:row>69</xdr:row>
      <xdr:rowOff>190502</xdr:rowOff>
    </xdr:to>
    <xdr:cxnSp macro="">
      <xdr:nvCxnSpPr>
        <xdr:cNvPr id="2" name="Straight Connector 1"/>
        <xdr:cNvCxnSpPr/>
      </xdr:nvCxnSpPr>
      <xdr:spPr>
        <a:xfrm flipV="1">
          <a:off x="6719207" y="12967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68</xdr:row>
      <xdr:rowOff>40824</xdr:rowOff>
    </xdr:from>
    <xdr:to>
      <xdr:col>12</xdr:col>
      <xdr:colOff>898072</xdr:colOff>
      <xdr:row>69</xdr:row>
      <xdr:rowOff>190500</xdr:rowOff>
    </xdr:to>
    <xdr:cxnSp macro="">
      <xdr:nvCxnSpPr>
        <xdr:cNvPr id="3" name="Straight Connector 2"/>
        <xdr:cNvCxnSpPr/>
      </xdr:nvCxnSpPr>
      <xdr:spPr>
        <a:xfrm flipV="1">
          <a:off x="7315200" y="12994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68</xdr:row>
      <xdr:rowOff>40824</xdr:rowOff>
    </xdr:from>
    <xdr:to>
      <xdr:col>14</xdr:col>
      <xdr:colOff>884465</xdr:colOff>
      <xdr:row>69</xdr:row>
      <xdr:rowOff>176893</xdr:rowOff>
    </xdr:to>
    <xdr:cxnSp macro="">
      <xdr:nvCxnSpPr>
        <xdr:cNvPr id="4" name="Straight Connector 3"/>
        <xdr:cNvCxnSpPr/>
      </xdr:nvCxnSpPr>
      <xdr:spPr>
        <a:xfrm flipV="1">
          <a:off x="8561614" y="12994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68</xdr:row>
      <xdr:rowOff>27214</xdr:rowOff>
    </xdr:from>
    <xdr:to>
      <xdr:col>16</xdr:col>
      <xdr:colOff>0</xdr:colOff>
      <xdr:row>70</xdr:row>
      <xdr:rowOff>0</xdr:rowOff>
    </xdr:to>
    <xdr:cxnSp macro="">
      <xdr:nvCxnSpPr>
        <xdr:cNvPr id="5" name="Straight Connector 4"/>
        <xdr:cNvCxnSpPr/>
      </xdr:nvCxnSpPr>
      <xdr:spPr>
        <a:xfrm flipV="1">
          <a:off x="9144001" y="12981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68</xdr:row>
      <xdr:rowOff>1</xdr:rowOff>
    </xdr:from>
    <xdr:to>
      <xdr:col>11</xdr:col>
      <xdr:colOff>13607</xdr:colOff>
      <xdr:row>69</xdr:row>
      <xdr:rowOff>176895</xdr:rowOff>
    </xdr:to>
    <xdr:cxnSp macro="">
      <xdr:nvCxnSpPr>
        <xdr:cNvPr id="6" name="Straight Connector 5"/>
        <xdr:cNvCxnSpPr/>
      </xdr:nvCxnSpPr>
      <xdr:spPr>
        <a:xfrm flipV="1">
          <a:off x="6150429" y="12954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72</xdr:row>
      <xdr:rowOff>13608</xdr:rowOff>
    </xdr:from>
    <xdr:to>
      <xdr:col>11</xdr:col>
      <xdr:colOff>898071</xdr:colOff>
      <xdr:row>73</xdr:row>
      <xdr:rowOff>190502</xdr:rowOff>
    </xdr:to>
    <xdr:cxnSp macro="">
      <xdr:nvCxnSpPr>
        <xdr:cNvPr id="7" name="Straight Connector 6"/>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8" name="Straight Connector 7"/>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9" name="Straight Connector 8"/>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72</xdr:row>
      <xdr:rowOff>13608</xdr:rowOff>
    </xdr:from>
    <xdr:to>
      <xdr:col>10</xdr:col>
      <xdr:colOff>884464</xdr:colOff>
      <xdr:row>74</xdr:row>
      <xdr:rowOff>0</xdr:rowOff>
    </xdr:to>
    <xdr:cxnSp macro="">
      <xdr:nvCxnSpPr>
        <xdr:cNvPr id="10" name="Straight Connector 9"/>
        <xdr:cNvCxnSpPr/>
      </xdr:nvCxnSpPr>
      <xdr:spPr>
        <a:xfrm flipV="1">
          <a:off x="6097361" y="13729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72</xdr:row>
      <xdr:rowOff>27217</xdr:rowOff>
    </xdr:from>
    <xdr:to>
      <xdr:col>15</xdr:col>
      <xdr:colOff>938894</xdr:colOff>
      <xdr:row>73</xdr:row>
      <xdr:rowOff>163286</xdr:rowOff>
    </xdr:to>
    <xdr:cxnSp macro="">
      <xdr:nvCxnSpPr>
        <xdr:cNvPr id="11" name="Straight Connector 10"/>
        <xdr:cNvCxnSpPr/>
      </xdr:nvCxnSpPr>
      <xdr:spPr>
        <a:xfrm flipV="1">
          <a:off x="9225643" y="13743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70</xdr:row>
      <xdr:rowOff>13608</xdr:rowOff>
    </xdr:from>
    <xdr:to>
      <xdr:col>11</xdr:col>
      <xdr:colOff>898071</xdr:colOff>
      <xdr:row>71</xdr:row>
      <xdr:rowOff>190502</xdr:rowOff>
    </xdr:to>
    <xdr:cxnSp macro="">
      <xdr:nvCxnSpPr>
        <xdr:cNvPr id="12" name="Straight Connector 11"/>
        <xdr:cNvCxnSpPr/>
      </xdr:nvCxnSpPr>
      <xdr:spPr>
        <a:xfrm flipV="1">
          <a:off x="6719207" y="13348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13" name="Straight Connector 12"/>
        <xdr:cNvCxnSpPr/>
      </xdr:nvCxnSpPr>
      <xdr:spPr>
        <a:xfrm flipV="1">
          <a:off x="7315200" y="13375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14" name="Straight Connector 13"/>
        <xdr:cNvCxnSpPr/>
      </xdr:nvCxnSpPr>
      <xdr:spPr>
        <a:xfrm flipV="1">
          <a:off x="8561614" y="13375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70</xdr:row>
      <xdr:rowOff>13608</xdr:rowOff>
    </xdr:from>
    <xdr:to>
      <xdr:col>10</xdr:col>
      <xdr:colOff>884464</xdr:colOff>
      <xdr:row>72</xdr:row>
      <xdr:rowOff>0</xdr:rowOff>
    </xdr:to>
    <xdr:cxnSp macro="">
      <xdr:nvCxnSpPr>
        <xdr:cNvPr id="15" name="Straight Connector 14"/>
        <xdr:cNvCxnSpPr/>
      </xdr:nvCxnSpPr>
      <xdr:spPr>
        <a:xfrm flipV="1">
          <a:off x="6097361" y="13348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70</xdr:row>
      <xdr:rowOff>27217</xdr:rowOff>
    </xdr:from>
    <xdr:to>
      <xdr:col>15</xdr:col>
      <xdr:colOff>938894</xdr:colOff>
      <xdr:row>71</xdr:row>
      <xdr:rowOff>163286</xdr:rowOff>
    </xdr:to>
    <xdr:cxnSp macro="">
      <xdr:nvCxnSpPr>
        <xdr:cNvPr id="16" name="Straight Connector 15"/>
        <xdr:cNvCxnSpPr/>
      </xdr:nvCxnSpPr>
      <xdr:spPr>
        <a:xfrm flipV="1">
          <a:off x="9225643" y="13362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17" name="Straight Connector 16"/>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18" name="Straight Connector 17"/>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19" name="Straight Connector 18"/>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20" name="Straight Connector 19"/>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21" name="Straight Connector 20"/>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22" name="Straight Connector 21"/>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23" name="Straight Connector 22"/>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24" name="Straight Connector 23"/>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86</xdr:row>
      <xdr:rowOff>13608</xdr:rowOff>
    </xdr:from>
    <xdr:to>
      <xdr:col>12</xdr:col>
      <xdr:colOff>27214</xdr:colOff>
      <xdr:row>87</xdr:row>
      <xdr:rowOff>190502</xdr:rowOff>
    </xdr:to>
    <xdr:cxnSp macro="">
      <xdr:nvCxnSpPr>
        <xdr:cNvPr id="25" name="Straight Connector 24"/>
        <xdr:cNvCxnSpPr/>
      </xdr:nvCxnSpPr>
      <xdr:spPr>
        <a:xfrm flipV="1">
          <a:off x="6787242" y="1639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86</xdr:row>
      <xdr:rowOff>13608</xdr:rowOff>
    </xdr:from>
    <xdr:to>
      <xdr:col>11</xdr:col>
      <xdr:colOff>51026</xdr:colOff>
      <xdr:row>88</xdr:row>
      <xdr:rowOff>0</xdr:rowOff>
    </xdr:to>
    <xdr:cxnSp macro="">
      <xdr:nvCxnSpPr>
        <xdr:cNvPr id="26" name="Straight Connector 25"/>
        <xdr:cNvCxnSpPr/>
      </xdr:nvCxnSpPr>
      <xdr:spPr>
        <a:xfrm flipV="1">
          <a:off x="6109607" y="16396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86</xdr:row>
      <xdr:rowOff>17011</xdr:rowOff>
    </xdr:from>
    <xdr:to>
      <xdr:col>12</xdr:col>
      <xdr:colOff>916780</xdr:colOff>
      <xdr:row>87</xdr:row>
      <xdr:rowOff>192201</xdr:rowOff>
    </xdr:to>
    <xdr:cxnSp macro="">
      <xdr:nvCxnSpPr>
        <xdr:cNvPr id="27" name="Straight Connector 26"/>
        <xdr:cNvCxnSpPr/>
      </xdr:nvCxnSpPr>
      <xdr:spPr>
        <a:xfrm flipV="1">
          <a:off x="7349218" y="1640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86</xdr:row>
      <xdr:rowOff>18714</xdr:rowOff>
    </xdr:from>
    <xdr:to>
      <xdr:col>15</xdr:col>
      <xdr:colOff>887864</xdr:colOff>
      <xdr:row>87</xdr:row>
      <xdr:rowOff>190500</xdr:rowOff>
    </xdr:to>
    <xdr:cxnSp macro="">
      <xdr:nvCxnSpPr>
        <xdr:cNvPr id="28" name="Straight Connector 27"/>
        <xdr:cNvCxnSpPr/>
      </xdr:nvCxnSpPr>
      <xdr:spPr>
        <a:xfrm flipV="1">
          <a:off x="9171214" y="16401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29" name="Straight Connector 28"/>
        <xdr:cNvCxnSpPr/>
      </xdr:nvCxnSpPr>
      <xdr:spPr>
        <a:xfrm flipV="1">
          <a:off x="6787242" y="1677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30" name="Straight Connector 29"/>
        <xdr:cNvCxnSpPr/>
      </xdr:nvCxnSpPr>
      <xdr:spPr>
        <a:xfrm flipV="1">
          <a:off x="6109607" y="1677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31" name="Straight Connector 30"/>
        <xdr:cNvCxnSpPr/>
      </xdr:nvCxnSpPr>
      <xdr:spPr>
        <a:xfrm flipV="1">
          <a:off x="73492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32" name="Straight Connector 31"/>
        <xdr:cNvCxnSpPr/>
      </xdr:nvCxnSpPr>
      <xdr:spPr>
        <a:xfrm flipV="1">
          <a:off x="9171214" y="1678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33" name="Straight Connector 32"/>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34" name="Straight Connector 33"/>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35" name="Straight Connector 34"/>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36" name="Straight Connector 35"/>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37" name="Straight Connector 36"/>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8" name="Straight Connector 37"/>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9" name="Straight Connector 38"/>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92</xdr:row>
      <xdr:rowOff>3</xdr:rowOff>
    </xdr:from>
    <xdr:to>
      <xdr:col>15</xdr:col>
      <xdr:colOff>40822</xdr:colOff>
      <xdr:row>93</xdr:row>
      <xdr:rowOff>149679</xdr:rowOff>
    </xdr:to>
    <xdr:cxnSp macro="">
      <xdr:nvCxnSpPr>
        <xdr:cNvPr id="40" name="Straight Connector 39"/>
        <xdr:cNvCxnSpPr/>
      </xdr:nvCxnSpPr>
      <xdr:spPr>
        <a:xfrm flipV="1">
          <a:off x="8571820" y="17526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41" name="Straight Connector 40"/>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95</xdr:row>
      <xdr:rowOff>13608</xdr:rowOff>
    </xdr:from>
    <xdr:to>
      <xdr:col>12</xdr:col>
      <xdr:colOff>27214</xdr:colOff>
      <xdr:row>96</xdr:row>
      <xdr:rowOff>190502</xdr:rowOff>
    </xdr:to>
    <xdr:cxnSp macro="">
      <xdr:nvCxnSpPr>
        <xdr:cNvPr id="42" name="Straight Connector 41"/>
        <xdr:cNvCxnSpPr/>
      </xdr:nvCxnSpPr>
      <xdr:spPr>
        <a:xfrm flipV="1">
          <a:off x="6787242" y="1811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95</xdr:row>
      <xdr:rowOff>13608</xdr:rowOff>
    </xdr:from>
    <xdr:to>
      <xdr:col>11</xdr:col>
      <xdr:colOff>51026</xdr:colOff>
      <xdr:row>97</xdr:row>
      <xdr:rowOff>0</xdr:rowOff>
    </xdr:to>
    <xdr:cxnSp macro="">
      <xdr:nvCxnSpPr>
        <xdr:cNvPr id="43" name="Straight Connector 42"/>
        <xdr:cNvCxnSpPr/>
      </xdr:nvCxnSpPr>
      <xdr:spPr>
        <a:xfrm flipV="1">
          <a:off x="6109607" y="1811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95</xdr:row>
      <xdr:rowOff>17011</xdr:rowOff>
    </xdr:from>
    <xdr:to>
      <xdr:col>12</xdr:col>
      <xdr:colOff>916780</xdr:colOff>
      <xdr:row>96</xdr:row>
      <xdr:rowOff>192201</xdr:rowOff>
    </xdr:to>
    <xdr:cxnSp macro="">
      <xdr:nvCxnSpPr>
        <xdr:cNvPr id="44" name="Straight Connector 43"/>
        <xdr:cNvCxnSpPr/>
      </xdr:nvCxnSpPr>
      <xdr:spPr>
        <a:xfrm flipV="1">
          <a:off x="7349218" y="1811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95</xdr:row>
      <xdr:rowOff>18714</xdr:rowOff>
    </xdr:from>
    <xdr:to>
      <xdr:col>15</xdr:col>
      <xdr:colOff>887864</xdr:colOff>
      <xdr:row>96</xdr:row>
      <xdr:rowOff>190500</xdr:rowOff>
    </xdr:to>
    <xdr:cxnSp macro="">
      <xdr:nvCxnSpPr>
        <xdr:cNvPr id="45" name="Straight Connector 44"/>
        <xdr:cNvCxnSpPr/>
      </xdr:nvCxnSpPr>
      <xdr:spPr>
        <a:xfrm flipV="1">
          <a:off x="9171214" y="1811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46" name="Straight Connector 45"/>
        <xdr:cNvCxnSpPr/>
      </xdr:nvCxnSpPr>
      <xdr:spPr>
        <a:xfrm flipV="1">
          <a:off x="6787242" y="1849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47" name="Straight Connector 46"/>
        <xdr:cNvCxnSpPr/>
      </xdr:nvCxnSpPr>
      <xdr:spPr>
        <a:xfrm flipV="1">
          <a:off x="6109607" y="1849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48" name="Straight Connector 47"/>
        <xdr:cNvCxnSpPr/>
      </xdr:nvCxnSpPr>
      <xdr:spPr>
        <a:xfrm flipV="1">
          <a:off x="7349218" y="1849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49" name="Straight Connector 48"/>
        <xdr:cNvCxnSpPr/>
      </xdr:nvCxnSpPr>
      <xdr:spPr>
        <a:xfrm flipV="1">
          <a:off x="9171214" y="1849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50" name="Straight Connector 49"/>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51" name="Straight Connector 50"/>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52" name="Straight Connector 51"/>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99</xdr:row>
      <xdr:rowOff>3</xdr:rowOff>
    </xdr:from>
    <xdr:to>
      <xdr:col>15</xdr:col>
      <xdr:colOff>40822</xdr:colOff>
      <xdr:row>100</xdr:row>
      <xdr:rowOff>149679</xdr:rowOff>
    </xdr:to>
    <xdr:cxnSp macro="">
      <xdr:nvCxnSpPr>
        <xdr:cNvPr id="53" name="Straight Connector 52"/>
        <xdr:cNvCxnSpPr/>
      </xdr:nvCxnSpPr>
      <xdr:spPr>
        <a:xfrm flipV="1">
          <a:off x="8571820" y="18859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54" name="Straight Connector 53"/>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55" name="Straight Connector 54"/>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56" name="Straight Connector 55"/>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57" name="Straight Connector 56"/>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101</xdr:row>
      <xdr:rowOff>3</xdr:rowOff>
    </xdr:from>
    <xdr:to>
      <xdr:col>15</xdr:col>
      <xdr:colOff>40822</xdr:colOff>
      <xdr:row>102</xdr:row>
      <xdr:rowOff>149679</xdr:rowOff>
    </xdr:to>
    <xdr:cxnSp macro="">
      <xdr:nvCxnSpPr>
        <xdr:cNvPr id="58" name="Straight Connector 57"/>
        <xdr:cNvCxnSpPr/>
      </xdr:nvCxnSpPr>
      <xdr:spPr>
        <a:xfrm flipV="1">
          <a:off x="8571820" y="19240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59" name="Straight Connector 58"/>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75</xdr:row>
      <xdr:rowOff>13608</xdr:rowOff>
    </xdr:from>
    <xdr:to>
      <xdr:col>12</xdr:col>
      <xdr:colOff>27214</xdr:colOff>
      <xdr:row>76</xdr:row>
      <xdr:rowOff>190502</xdr:rowOff>
    </xdr:to>
    <xdr:cxnSp macro="">
      <xdr:nvCxnSpPr>
        <xdr:cNvPr id="60" name="Straight Connector 59"/>
        <xdr:cNvCxnSpPr/>
      </xdr:nvCxnSpPr>
      <xdr:spPr>
        <a:xfrm flipV="1">
          <a:off x="6787242" y="1430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75</xdr:row>
      <xdr:rowOff>13608</xdr:rowOff>
    </xdr:from>
    <xdr:to>
      <xdr:col>11</xdr:col>
      <xdr:colOff>51026</xdr:colOff>
      <xdr:row>77</xdr:row>
      <xdr:rowOff>0</xdr:rowOff>
    </xdr:to>
    <xdr:cxnSp macro="">
      <xdr:nvCxnSpPr>
        <xdr:cNvPr id="61" name="Straight Connector 60"/>
        <xdr:cNvCxnSpPr/>
      </xdr:nvCxnSpPr>
      <xdr:spPr>
        <a:xfrm flipV="1">
          <a:off x="6109607" y="1430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75</xdr:row>
      <xdr:rowOff>17011</xdr:rowOff>
    </xdr:from>
    <xdr:to>
      <xdr:col>12</xdr:col>
      <xdr:colOff>916780</xdr:colOff>
      <xdr:row>76</xdr:row>
      <xdr:rowOff>192201</xdr:rowOff>
    </xdr:to>
    <xdr:cxnSp macro="">
      <xdr:nvCxnSpPr>
        <xdr:cNvPr id="62" name="Straight Connector 61"/>
        <xdr:cNvCxnSpPr/>
      </xdr:nvCxnSpPr>
      <xdr:spPr>
        <a:xfrm flipV="1">
          <a:off x="7349218" y="1430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77</xdr:row>
      <xdr:rowOff>40825</xdr:rowOff>
    </xdr:from>
    <xdr:to>
      <xdr:col>15</xdr:col>
      <xdr:colOff>54429</xdr:colOff>
      <xdr:row>78</xdr:row>
      <xdr:rowOff>190501</xdr:rowOff>
    </xdr:to>
    <xdr:cxnSp macro="">
      <xdr:nvCxnSpPr>
        <xdr:cNvPr id="63" name="Straight Connector 62"/>
        <xdr:cNvCxnSpPr/>
      </xdr:nvCxnSpPr>
      <xdr:spPr>
        <a:xfrm flipV="1">
          <a:off x="8585427" y="14709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75</xdr:row>
      <xdr:rowOff>18714</xdr:rowOff>
    </xdr:from>
    <xdr:to>
      <xdr:col>15</xdr:col>
      <xdr:colOff>887864</xdr:colOff>
      <xdr:row>76</xdr:row>
      <xdr:rowOff>190500</xdr:rowOff>
    </xdr:to>
    <xdr:cxnSp macro="">
      <xdr:nvCxnSpPr>
        <xdr:cNvPr id="64" name="Straight Connector 63"/>
        <xdr:cNvCxnSpPr/>
      </xdr:nvCxnSpPr>
      <xdr:spPr>
        <a:xfrm flipV="1">
          <a:off x="9171214" y="1430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5" name="Straight Connector 64"/>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66" name="Straight Connector 65"/>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67" name="Straight Connector 66"/>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68" name="Straight Connector 67"/>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69" name="Straight Connector 68"/>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70" name="Straight Connector 69"/>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71" name="Straight Connector 70"/>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72" name="Straight Connector 71"/>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97</xdr:row>
      <xdr:rowOff>17010</xdr:rowOff>
    </xdr:from>
    <xdr:to>
      <xdr:col>14</xdr:col>
      <xdr:colOff>903173</xdr:colOff>
      <xdr:row>98</xdr:row>
      <xdr:rowOff>192200</xdr:rowOff>
    </xdr:to>
    <xdr:cxnSp macro="">
      <xdr:nvCxnSpPr>
        <xdr:cNvPr id="73" name="Straight Connector 72"/>
        <xdr:cNvCxnSpPr/>
      </xdr:nvCxnSpPr>
      <xdr:spPr>
        <a:xfrm flipV="1">
          <a:off x="8554811" y="18495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90</xdr:row>
      <xdr:rowOff>3404</xdr:rowOff>
    </xdr:from>
    <xdr:to>
      <xdr:col>15</xdr:col>
      <xdr:colOff>5101</xdr:colOff>
      <xdr:row>91</xdr:row>
      <xdr:rowOff>178593</xdr:rowOff>
    </xdr:to>
    <xdr:cxnSp macro="">
      <xdr:nvCxnSpPr>
        <xdr:cNvPr id="74" name="Straight Connector 73"/>
        <xdr:cNvCxnSpPr/>
      </xdr:nvCxnSpPr>
      <xdr:spPr>
        <a:xfrm flipV="1">
          <a:off x="8582025" y="17148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88</xdr:row>
      <xdr:rowOff>17011</xdr:rowOff>
    </xdr:from>
    <xdr:to>
      <xdr:col>15</xdr:col>
      <xdr:colOff>5101</xdr:colOff>
      <xdr:row>89</xdr:row>
      <xdr:rowOff>192201</xdr:rowOff>
    </xdr:to>
    <xdr:cxnSp macro="">
      <xdr:nvCxnSpPr>
        <xdr:cNvPr id="75" name="Straight Connector 74"/>
        <xdr:cNvCxnSpPr/>
      </xdr:nvCxnSpPr>
      <xdr:spPr>
        <a:xfrm flipV="1">
          <a:off x="8582025" y="16781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86</xdr:row>
      <xdr:rowOff>17011</xdr:rowOff>
    </xdr:from>
    <xdr:to>
      <xdr:col>14</xdr:col>
      <xdr:colOff>916780</xdr:colOff>
      <xdr:row>87</xdr:row>
      <xdr:rowOff>192201</xdr:rowOff>
    </xdr:to>
    <xdr:cxnSp macro="">
      <xdr:nvCxnSpPr>
        <xdr:cNvPr id="76" name="Straight Connector 75"/>
        <xdr:cNvCxnSpPr/>
      </xdr:nvCxnSpPr>
      <xdr:spPr>
        <a:xfrm flipV="1">
          <a:off x="8568418" y="1640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83</xdr:row>
      <xdr:rowOff>17011</xdr:rowOff>
    </xdr:from>
    <xdr:to>
      <xdr:col>15</xdr:col>
      <xdr:colOff>32315</xdr:colOff>
      <xdr:row>84</xdr:row>
      <xdr:rowOff>192201</xdr:rowOff>
    </xdr:to>
    <xdr:cxnSp macro="">
      <xdr:nvCxnSpPr>
        <xdr:cNvPr id="77" name="Straight Connector 76"/>
        <xdr:cNvCxnSpPr/>
      </xdr:nvCxnSpPr>
      <xdr:spPr>
        <a:xfrm flipV="1">
          <a:off x="8609239" y="15828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81</xdr:row>
      <xdr:rowOff>17011</xdr:rowOff>
    </xdr:from>
    <xdr:to>
      <xdr:col>15</xdr:col>
      <xdr:colOff>32315</xdr:colOff>
      <xdr:row>82</xdr:row>
      <xdr:rowOff>192201</xdr:rowOff>
    </xdr:to>
    <xdr:cxnSp macro="">
      <xdr:nvCxnSpPr>
        <xdr:cNvPr id="78" name="Straight Connector 77"/>
        <xdr:cNvCxnSpPr/>
      </xdr:nvCxnSpPr>
      <xdr:spPr>
        <a:xfrm flipV="1">
          <a:off x="8609239" y="15447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79</xdr:row>
      <xdr:rowOff>3403</xdr:rowOff>
    </xdr:from>
    <xdr:to>
      <xdr:col>15</xdr:col>
      <xdr:colOff>18708</xdr:colOff>
      <xdr:row>80</xdr:row>
      <xdr:rowOff>178593</xdr:rowOff>
    </xdr:to>
    <xdr:cxnSp macro="">
      <xdr:nvCxnSpPr>
        <xdr:cNvPr id="79" name="Straight Connector 78"/>
        <xdr:cNvCxnSpPr/>
      </xdr:nvCxnSpPr>
      <xdr:spPr>
        <a:xfrm flipV="1">
          <a:off x="8595632" y="15052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50</xdr:row>
      <xdr:rowOff>27214</xdr:rowOff>
    </xdr:from>
    <xdr:to>
      <xdr:col>15</xdr:col>
      <xdr:colOff>898072</xdr:colOff>
      <xdr:row>51</xdr:row>
      <xdr:rowOff>149678</xdr:rowOff>
    </xdr:to>
    <xdr:cxnSp macro="">
      <xdr:nvCxnSpPr>
        <xdr:cNvPr id="80" name="Straight Connector 79"/>
        <xdr:cNvCxnSpPr/>
      </xdr:nvCxnSpPr>
      <xdr:spPr>
        <a:xfrm flipV="1">
          <a:off x="9171214" y="9552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50</xdr:row>
      <xdr:rowOff>13607</xdr:rowOff>
    </xdr:from>
    <xdr:to>
      <xdr:col>10</xdr:col>
      <xdr:colOff>911677</xdr:colOff>
      <xdr:row>52</xdr:row>
      <xdr:rowOff>0</xdr:rowOff>
    </xdr:to>
    <xdr:cxnSp macro="">
      <xdr:nvCxnSpPr>
        <xdr:cNvPr id="81" name="Straight Connector 80"/>
        <xdr:cNvCxnSpPr/>
      </xdr:nvCxnSpPr>
      <xdr:spPr>
        <a:xfrm flipV="1">
          <a:off x="6109607" y="9538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82" name="Straight Connector 81"/>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83" name="Straight Connector 82"/>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50</xdr:row>
      <xdr:rowOff>54428</xdr:rowOff>
    </xdr:from>
    <xdr:to>
      <xdr:col>14</xdr:col>
      <xdr:colOff>884463</xdr:colOff>
      <xdr:row>51</xdr:row>
      <xdr:rowOff>163285</xdr:rowOff>
    </xdr:to>
    <xdr:cxnSp macro="">
      <xdr:nvCxnSpPr>
        <xdr:cNvPr id="84" name="Straight Connector 83"/>
        <xdr:cNvCxnSpPr/>
      </xdr:nvCxnSpPr>
      <xdr:spPr>
        <a:xfrm flipV="1">
          <a:off x="8537119" y="9579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85" name="Straight Connector 84"/>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86" name="Straight Connector 85"/>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87" name="Straight Connector 86"/>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88" name="Straight Connector 87"/>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89" name="Straight Connector 88"/>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75</xdr:row>
      <xdr:rowOff>13610</xdr:rowOff>
    </xdr:from>
    <xdr:to>
      <xdr:col>15</xdr:col>
      <xdr:colOff>54429</xdr:colOff>
      <xdr:row>76</xdr:row>
      <xdr:rowOff>163286</xdr:rowOff>
    </xdr:to>
    <xdr:cxnSp macro="">
      <xdr:nvCxnSpPr>
        <xdr:cNvPr id="90" name="Straight Connector 89"/>
        <xdr:cNvCxnSpPr/>
      </xdr:nvCxnSpPr>
      <xdr:spPr>
        <a:xfrm flipV="1">
          <a:off x="8585427" y="14301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43</xdr:row>
      <xdr:rowOff>13607</xdr:rowOff>
    </xdr:from>
    <xdr:to>
      <xdr:col>10</xdr:col>
      <xdr:colOff>911677</xdr:colOff>
      <xdr:row>45</xdr:row>
      <xdr:rowOff>0</xdr:rowOff>
    </xdr:to>
    <xdr:cxnSp macro="">
      <xdr:nvCxnSpPr>
        <xdr:cNvPr id="91" name="Straight Connector 90"/>
        <xdr:cNvCxnSpPr/>
      </xdr:nvCxnSpPr>
      <xdr:spPr>
        <a:xfrm flipV="1">
          <a:off x="6109607" y="8205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92" name="Straight Connector 91"/>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93" name="Straight Connector 92"/>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43</xdr:row>
      <xdr:rowOff>54428</xdr:rowOff>
    </xdr:from>
    <xdr:to>
      <xdr:col>14</xdr:col>
      <xdr:colOff>884463</xdr:colOff>
      <xdr:row>44</xdr:row>
      <xdr:rowOff>163285</xdr:rowOff>
    </xdr:to>
    <xdr:cxnSp macro="">
      <xdr:nvCxnSpPr>
        <xdr:cNvPr id="94" name="Straight Connector 93"/>
        <xdr:cNvCxnSpPr/>
      </xdr:nvCxnSpPr>
      <xdr:spPr>
        <a:xfrm flipV="1">
          <a:off x="8537119" y="8245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47</xdr:row>
      <xdr:rowOff>27214</xdr:rowOff>
    </xdr:from>
    <xdr:to>
      <xdr:col>15</xdr:col>
      <xdr:colOff>898072</xdr:colOff>
      <xdr:row>48</xdr:row>
      <xdr:rowOff>149678</xdr:rowOff>
    </xdr:to>
    <xdr:cxnSp macro="">
      <xdr:nvCxnSpPr>
        <xdr:cNvPr id="95" name="Straight Connector 94"/>
        <xdr:cNvCxnSpPr/>
      </xdr:nvCxnSpPr>
      <xdr:spPr>
        <a:xfrm flipV="1">
          <a:off x="9171214" y="8980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96" name="Straight Connector 95"/>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97" name="Straight Connector 96"/>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98" name="Straight Connector 97"/>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99" name="Straight Connector 98"/>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45</xdr:row>
      <xdr:rowOff>27214</xdr:rowOff>
    </xdr:from>
    <xdr:to>
      <xdr:col>15</xdr:col>
      <xdr:colOff>898072</xdr:colOff>
      <xdr:row>46</xdr:row>
      <xdr:rowOff>149678</xdr:rowOff>
    </xdr:to>
    <xdr:cxnSp macro="">
      <xdr:nvCxnSpPr>
        <xdr:cNvPr id="100" name="Straight Connector 99"/>
        <xdr:cNvCxnSpPr/>
      </xdr:nvCxnSpPr>
      <xdr:spPr>
        <a:xfrm flipV="1">
          <a:off x="9171214" y="8599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45</xdr:row>
      <xdr:rowOff>13607</xdr:rowOff>
    </xdr:from>
    <xdr:to>
      <xdr:col>10</xdr:col>
      <xdr:colOff>911677</xdr:colOff>
      <xdr:row>47</xdr:row>
      <xdr:rowOff>0</xdr:rowOff>
    </xdr:to>
    <xdr:cxnSp macro="">
      <xdr:nvCxnSpPr>
        <xdr:cNvPr id="101" name="Straight Connector 100"/>
        <xdr:cNvCxnSpPr/>
      </xdr:nvCxnSpPr>
      <xdr:spPr>
        <a:xfrm flipV="1">
          <a:off x="6109607" y="8586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102" name="Straight Connector 101"/>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103" name="Straight Connector 102"/>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45</xdr:row>
      <xdr:rowOff>54428</xdr:rowOff>
    </xdr:from>
    <xdr:to>
      <xdr:col>14</xdr:col>
      <xdr:colOff>884463</xdr:colOff>
      <xdr:row>46</xdr:row>
      <xdr:rowOff>163285</xdr:rowOff>
    </xdr:to>
    <xdr:cxnSp macro="">
      <xdr:nvCxnSpPr>
        <xdr:cNvPr id="104" name="Straight Connector 103"/>
        <xdr:cNvCxnSpPr/>
      </xdr:nvCxnSpPr>
      <xdr:spPr>
        <a:xfrm flipV="1">
          <a:off x="8537119" y="8626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106</xdr:row>
      <xdr:rowOff>0</xdr:rowOff>
    </xdr:from>
    <xdr:ext cx="17150072" cy="3743326"/>
    <xdr:pic>
      <xdr:nvPicPr>
        <xdr:cNvPr id="105" name="Picture 104"/>
        <xdr:cNvPicPr>
          <a:picLocks noChangeAspect="1" noChangeArrowheads="1"/>
          <a:extLst/>
        </xdr:cNvPicPr>
      </xdr:nvPicPr>
      <xdr:blipFill>
        <a:blip xmlns:r="http://schemas.openxmlformats.org/officeDocument/2006/relationships" r:embed="rId1"/>
        <a:srcRect/>
        <a:stretch>
          <a:fillRect/>
        </a:stretch>
      </xdr:blipFill>
      <xdr:spPr bwMode="auto">
        <a:xfrm>
          <a:off x="609600" y="20193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122</xdr:row>
      <xdr:rowOff>176894</xdr:rowOff>
    </xdr:from>
    <xdr:ext cx="18008063" cy="3743325"/>
    <xdr:pic>
      <xdr:nvPicPr>
        <xdr:cNvPr id="106" name="Picture 105"/>
        <xdr:cNvPicPr>
          <a:picLocks noChangeAspect="1" noChangeArrowheads="1"/>
          <a:extLst/>
        </xdr:cNvPicPr>
      </xdr:nvPicPr>
      <xdr:blipFill>
        <a:blip xmlns:r="http://schemas.openxmlformats.org/officeDocument/2006/relationships" r:embed="rId2"/>
        <a:srcRect/>
        <a:stretch>
          <a:fillRect/>
        </a:stretch>
      </xdr:blipFill>
      <xdr:spPr bwMode="auto">
        <a:xfrm>
          <a:off x="621846" y="23417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34</xdr:row>
      <xdr:rowOff>13608</xdr:rowOff>
    </xdr:from>
    <xdr:to>
      <xdr:col>12</xdr:col>
      <xdr:colOff>27214</xdr:colOff>
      <xdr:row>35</xdr:row>
      <xdr:rowOff>190502</xdr:rowOff>
    </xdr:to>
    <xdr:cxnSp macro="">
      <xdr:nvCxnSpPr>
        <xdr:cNvPr id="107" name="Straight Connector 106"/>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08" name="Straight Connector 107"/>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34</xdr:row>
      <xdr:rowOff>0</xdr:rowOff>
    </xdr:from>
    <xdr:to>
      <xdr:col>15</xdr:col>
      <xdr:colOff>0</xdr:colOff>
      <xdr:row>35</xdr:row>
      <xdr:rowOff>190501</xdr:rowOff>
    </xdr:to>
    <xdr:cxnSp macro="">
      <xdr:nvCxnSpPr>
        <xdr:cNvPr id="109" name="Straight Connector 108"/>
        <xdr:cNvCxnSpPr/>
      </xdr:nvCxnSpPr>
      <xdr:spPr>
        <a:xfrm flipV="1">
          <a:off x="8533039" y="6477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27215</xdr:rowOff>
    </xdr:from>
    <xdr:to>
      <xdr:col>10</xdr:col>
      <xdr:colOff>911678</xdr:colOff>
      <xdr:row>36</xdr:row>
      <xdr:rowOff>0</xdr:rowOff>
    </xdr:to>
    <xdr:cxnSp macro="">
      <xdr:nvCxnSpPr>
        <xdr:cNvPr id="110" name="Straight Connector 109"/>
        <xdr:cNvCxnSpPr/>
      </xdr:nvCxnSpPr>
      <xdr:spPr>
        <a:xfrm flipV="1">
          <a:off x="6096000" y="6504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34</xdr:row>
      <xdr:rowOff>13607</xdr:rowOff>
    </xdr:from>
    <xdr:to>
      <xdr:col>16</xdr:col>
      <xdr:colOff>0</xdr:colOff>
      <xdr:row>36</xdr:row>
      <xdr:rowOff>0</xdr:rowOff>
    </xdr:to>
    <xdr:cxnSp macro="">
      <xdr:nvCxnSpPr>
        <xdr:cNvPr id="111" name="Straight Connector 110"/>
        <xdr:cNvCxnSpPr/>
      </xdr:nvCxnSpPr>
      <xdr:spPr>
        <a:xfrm flipV="1">
          <a:off x="9171214" y="6490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52</xdr:row>
      <xdr:rowOff>40821</xdr:rowOff>
    </xdr:from>
    <xdr:to>
      <xdr:col>15</xdr:col>
      <xdr:colOff>952500</xdr:colOff>
      <xdr:row>53</xdr:row>
      <xdr:rowOff>163285</xdr:rowOff>
    </xdr:to>
    <xdr:cxnSp macro="">
      <xdr:nvCxnSpPr>
        <xdr:cNvPr id="112" name="Straight Connector 111"/>
        <xdr:cNvCxnSpPr/>
      </xdr:nvCxnSpPr>
      <xdr:spPr>
        <a:xfrm flipV="1">
          <a:off x="9225642" y="9946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113" name="Straight Connector 112"/>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14" name="Straight Connector 113"/>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15" name="Straight Connector 114"/>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116" name="Straight Connector 115"/>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117" name="Straight Connector 116"/>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18" name="Straight Connector 117"/>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19" name="Straight Connector 118"/>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20" name="Straight Connector 119"/>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21" name="Straight Connector 120"/>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122" name="Straight Connector 121"/>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23" name="Straight Connector 122"/>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24" name="Straight Connector 123"/>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25" name="Straight Connector 124"/>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26" name="Straight Connector 125"/>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27" name="Straight Connector 126"/>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28" name="Straight Connector 127"/>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29" name="Straight Connector 128"/>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30" name="Straight Connector 129"/>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31" name="Straight Connector 130"/>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43</xdr:row>
      <xdr:rowOff>27216</xdr:rowOff>
    </xdr:from>
    <xdr:to>
      <xdr:col>16</xdr:col>
      <xdr:colOff>27215</xdr:colOff>
      <xdr:row>44</xdr:row>
      <xdr:rowOff>176893</xdr:rowOff>
    </xdr:to>
    <xdr:cxnSp macro="">
      <xdr:nvCxnSpPr>
        <xdr:cNvPr id="132" name="Straight Connector 131"/>
        <xdr:cNvCxnSpPr/>
      </xdr:nvCxnSpPr>
      <xdr:spPr>
        <a:xfrm flipV="1">
          <a:off x="9198428" y="8218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34" name="Straight Connector 133"/>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35" name="Straight Connector 134"/>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36" name="Straight Connector 135"/>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30</xdr:row>
      <xdr:rowOff>13609</xdr:rowOff>
    </xdr:from>
    <xdr:to>
      <xdr:col>10</xdr:col>
      <xdr:colOff>911678</xdr:colOff>
      <xdr:row>31</xdr:row>
      <xdr:rowOff>190501</xdr:rowOff>
    </xdr:to>
    <xdr:cxnSp macro="">
      <xdr:nvCxnSpPr>
        <xdr:cNvPr id="137" name="Straight Connector 136"/>
        <xdr:cNvCxnSpPr/>
      </xdr:nvCxnSpPr>
      <xdr:spPr>
        <a:xfrm flipV="1">
          <a:off x="6109607" y="5728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38" name="Straight Connector 137"/>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36</xdr:row>
      <xdr:rowOff>13608</xdr:rowOff>
    </xdr:from>
    <xdr:to>
      <xdr:col>12</xdr:col>
      <xdr:colOff>27214</xdr:colOff>
      <xdr:row>37</xdr:row>
      <xdr:rowOff>190500</xdr:rowOff>
    </xdr:to>
    <xdr:cxnSp macro="">
      <xdr:nvCxnSpPr>
        <xdr:cNvPr id="139" name="Straight Connector 138"/>
        <xdr:cNvCxnSpPr/>
      </xdr:nvCxnSpPr>
      <xdr:spPr>
        <a:xfrm flipV="1">
          <a:off x="6732814" y="6871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40" name="Straight Connector 139"/>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35</xdr:row>
      <xdr:rowOff>190500</xdr:rowOff>
    </xdr:from>
    <xdr:to>
      <xdr:col>15</xdr:col>
      <xdr:colOff>27214</xdr:colOff>
      <xdr:row>37</xdr:row>
      <xdr:rowOff>176894</xdr:rowOff>
    </xdr:to>
    <xdr:cxnSp macro="">
      <xdr:nvCxnSpPr>
        <xdr:cNvPr id="141" name="Straight Connector 140"/>
        <xdr:cNvCxnSpPr/>
      </xdr:nvCxnSpPr>
      <xdr:spPr>
        <a:xfrm flipV="1">
          <a:off x="8561614" y="6858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36</xdr:row>
      <xdr:rowOff>0</xdr:rowOff>
    </xdr:from>
    <xdr:to>
      <xdr:col>11</xdr:col>
      <xdr:colOff>13607</xdr:colOff>
      <xdr:row>37</xdr:row>
      <xdr:rowOff>176892</xdr:rowOff>
    </xdr:to>
    <xdr:cxnSp macro="">
      <xdr:nvCxnSpPr>
        <xdr:cNvPr id="142" name="Straight Connector 141"/>
        <xdr:cNvCxnSpPr/>
      </xdr:nvCxnSpPr>
      <xdr:spPr>
        <a:xfrm flipV="1">
          <a:off x="6123215" y="6858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36</xdr:row>
      <xdr:rowOff>0</xdr:rowOff>
    </xdr:from>
    <xdr:to>
      <xdr:col>15</xdr:col>
      <xdr:colOff>952500</xdr:colOff>
      <xdr:row>37</xdr:row>
      <xdr:rowOff>190501</xdr:rowOff>
    </xdr:to>
    <xdr:cxnSp macro="">
      <xdr:nvCxnSpPr>
        <xdr:cNvPr id="143" name="Straight Connector 142"/>
        <xdr:cNvCxnSpPr/>
      </xdr:nvCxnSpPr>
      <xdr:spPr>
        <a:xfrm flipV="1">
          <a:off x="9141279" y="6858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144" name="Straight Connector 143"/>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45" name="Straight Connector 144"/>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146" name="Straight Connector 145"/>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27216</xdr:rowOff>
    </xdr:from>
    <xdr:to>
      <xdr:col>10</xdr:col>
      <xdr:colOff>898071</xdr:colOff>
      <xdr:row>34</xdr:row>
      <xdr:rowOff>0</xdr:rowOff>
    </xdr:to>
    <xdr:cxnSp macro="">
      <xdr:nvCxnSpPr>
        <xdr:cNvPr id="147" name="Straight Connector 146"/>
        <xdr:cNvCxnSpPr/>
      </xdr:nvCxnSpPr>
      <xdr:spPr>
        <a:xfrm flipV="1">
          <a:off x="6096000" y="6123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148" name="Straight Connector 147"/>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16</xdr:row>
      <xdr:rowOff>13608</xdr:rowOff>
    </xdr:from>
    <xdr:to>
      <xdr:col>12</xdr:col>
      <xdr:colOff>27214</xdr:colOff>
      <xdr:row>17</xdr:row>
      <xdr:rowOff>190502</xdr:rowOff>
    </xdr:to>
    <xdr:cxnSp macro="">
      <xdr:nvCxnSpPr>
        <xdr:cNvPr id="149" name="Straight Connector 148"/>
        <xdr:cNvCxnSpPr/>
      </xdr:nvCxnSpPr>
      <xdr:spPr>
        <a:xfrm flipV="1">
          <a:off x="6787242" y="306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50" name="Straight Connector 149"/>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51" name="Straight Connector 150"/>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16</xdr:row>
      <xdr:rowOff>2</xdr:rowOff>
    </xdr:from>
    <xdr:to>
      <xdr:col>11</xdr:col>
      <xdr:colOff>40820</xdr:colOff>
      <xdr:row>17</xdr:row>
      <xdr:rowOff>176893</xdr:rowOff>
    </xdr:to>
    <xdr:cxnSp macro="">
      <xdr:nvCxnSpPr>
        <xdr:cNvPr id="152" name="Straight Connector 151"/>
        <xdr:cNvCxnSpPr/>
      </xdr:nvCxnSpPr>
      <xdr:spPr>
        <a:xfrm flipV="1">
          <a:off x="6164035" y="3048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53" name="Straight Connector 152"/>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54" name="Straight Connector 153"/>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55" name="Straight Connector 154"/>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56" name="Straight Connector 155"/>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31750</xdr:colOff>
      <xdr:row>18</xdr:row>
      <xdr:rowOff>3</xdr:rowOff>
    </xdr:from>
    <xdr:to>
      <xdr:col>11</xdr:col>
      <xdr:colOff>40820</xdr:colOff>
      <xdr:row>20</xdr:row>
      <xdr:rowOff>15875</xdr:rowOff>
    </xdr:to>
    <xdr:cxnSp macro="">
      <xdr:nvCxnSpPr>
        <xdr:cNvPr id="157" name="Straight Connector 156"/>
        <xdr:cNvCxnSpPr/>
      </xdr:nvCxnSpPr>
      <xdr:spPr>
        <a:xfrm flipV="1">
          <a:off x="6127750" y="3429003"/>
          <a:ext cx="618670" cy="39687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58" name="Straight Connector 157"/>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59" name="Straight Connector 158"/>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60" name="Straight Connector 159"/>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61" name="Straight Connector 160"/>
        <xdr:cNvCxnSpPr/>
      </xdr:nvCxnSpPr>
      <xdr:spPr>
        <a:xfrm flipV="1">
          <a:off x="8561613" y="1183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62" name="Straight Connector 161"/>
        <xdr:cNvCxnSpPr/>
      </xdr:nvCxnSpPr>
      <xdr:spPr>
        <a:xfrm flipV="1">
          <a:off x="6164035" y="1143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63" name="Straight Connector 162"/>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64" name="Straight Connector 16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65" name="Straight Connector 16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66" name="Straight Connector 16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67" name="Straight Connector 166"/>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68" name="Straight Connector 16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169" name="Straight Connector 168"/>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70" name="Straight Connector 169"/>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71" name="Straight Connector 170"/>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172" name="Straight Connector 171"/>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73" name="Straight Connector 172"/>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74" name="Straight Connector 173"/>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75" name="Straight Connector 174"/>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76" name="Straight Connector 175"/>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77" name="Straight Connector 176"/>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78" name="Straight Connector 177"/>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179" name="Straight Connector 178"/>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80" name="Straight Connector 179"/>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81" name="Straight Connector 180"/>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182" name="Straight Connector 181"/>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83" name="Straight Connector 182"/>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28</xdr:row>
      <xdr:rowOff>13609</xdr:rowOff>
    </xdr:from>
    <xdr:to>
      <xdr:col>12</xdr:col>
      <xdr:colOff>27214</xdr:colOff>
      <xdr:row>30</xdr:row>
      <xdr:rowOff>0</xdr:rowOff>
    </xdr:to>
    <xdr:cxnSp macro="">
      <xdr:nvCxnSpPr>
        <xdr:cNvPr id="184" name="Straight Connector 183"/>
        <xdr:cNvCxnSpPr/>
      </xdr:nvCxnSpPr>
      <xdr:spPr>
        <a:xfrm flipV="1">
          <a:off x="6719207" y="5347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85" name="Straight Connector 184"/>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86" name="Straight Connector 185"/>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2</xdr:rowOff>
    </xdr:from>
    <xdr:to>
      <xdr:col>11</xdr:col>
      <xdr:colOff>40820</xdr:colOff>
      <xdr:row>30</xdr:row>
      <xdr:rowOff>0</xdr:rowOff>
    </xdr:to>
    <xdr:cxnSp macro="">
      <xdr:nvCxnSpPr>
        <xdr:cNvPr id="187" name="Straight Connector 186"/>
        <xdr:cNvCxnSpPr/>
      </xdr:nvCxnSpPr>
      <xdr:spPr>
        <a:xfrm flipV="1">
          <a:off x="6109607" y="5334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88" name="Straight Connector 187"/>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89" name="Straight Connector 188"/>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90" name="Straight Connector 189"/>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91" name="Straight Connector 190"/>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92" name="Straight Connector 191"/>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193" name="Straight Connector 192"/>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194" name="Straight Connector 193"/>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195" name="Straight Connector 194"/>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196" name="Straight Connector 195"/>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197" name="Straight Connector 196"/>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198" name="Straight Connector 197"/>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199" name="Straight Connector 198"/>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200" name="Straight Connector 199"/>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201" name="Straight Connector 200"/>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202" name="Straight Connector 201"/>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03" name="Straight Connector 202"/>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204" name="Straight Connector 203"/>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205" name="Straight Connector 204"/>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206" name="Straight Connector 205"/>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207" name="Straight Connector 206"/>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208" name="Straight Connector 207"/>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209" name="Straight Connector 208"/>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210" name="Straight Connector 209"/>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43</xdr:row>
      <xdr:rowOff>27215</xdr:rowOff>
    </xdr:from>
    <xdr:to>
      <xdr:col>10</xdr:col>
      <xdr:colOff>911678</xdr:colOff>
      <xdr:row>45</xdr:row>
      <xdr:rowOff>0</xdr:rowOff>
    </xdr:to>
    <xdr:cxnSp macro="">
      <xdr:nvCxnSpPr>
        <xdr:cNvPr id="211" name="Straight Connector 210"/>
        <xdr:cNvCxnSpPr/>
      </xdr:nvCxnSpPr>
      <xdr:spPr>
        <a:xfrm flipV="1">
          <a:off x="6096000" y="82187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43</xdr:row>
      <xdr:rowOff>27216</xdr:rowOff>
    </xdr:from>
    <xdr:to>
      <xdr:col>16</xdr:col>
      <xdr:colOff>27215</xdr:colOff>
      <xdr:row>44</xdr:row>
      <xdr:rowOff>176893</xdr:rowOff>
    </xdr:to>
    <xdr:cxnSp macro="">
      <xdr:nvCxnSpPr>
        <xdr:cNvPr id="212" name="Straight Connector 211"/>
        <xdr:cNvCxnSpPr/>
      </xdr:nvCxnSpPr>
      <xdr:spPr>
        <a:xfrm flipV="1">
          <a:off x="9198428" y="8218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213" name="Straight Connector 212"/>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214" name="Straight Connector 213"/>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215" name="Straight Connector 214"/>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216" name="Straight Connector 215"/>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217" name="Straight Connector 216"/>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218" name="Straight Connector 217"/>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219" name="Straight Connector 218"/>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38</xdr:row>
      <xdr:rowOff>13608</xdr:rowOff>
    </xdr:from>
    <xdr:to>
      <xdr:col>12</xdr:col>
      <xdr:colOff>27214</xdr:colOff>
      <xdr:row>39</xdr:row>
      <xdr:rowOff>190502</xdr:rowOff>
    </xdr:to>
    <xdr:cxnSp macro="">
      <xdr:nvCxnSpPr>
        <xdr:cNvPr id="220" name="Straight Connector 219"/>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221" name="Straight Connector 220"/>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38</xdr:row>
      <xdr:rowOff>40821</xdr:rowOff>
    </xdr:from>
    <xdr:to>
      <xdr:col>14</xdr:col>
      <xdr:colOff>911678</xdr:colOff>
      <xdr:row>39</xdr:row>
      <xdr:rowOff>149677</xdr:rowOff>
    </xdr:to>
    <xdr:cxnSp macro="">
      <xdr:nvCxnSpPr>
        <xdr:cNvPr id="222" name="Straight Connector 221"/>
        <xdr:cNvCxnSpPr/>
      </xdr:nvCxnSpPr>
      <xdr:spPr>
        <a:xfrm flipV="1">
          <a:off x="8561613" y="727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223" name="Straight Connector 222"/>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224" name="Straight Connector 223"/>
        <xdr:cNvCxnSpPr/>
      </xdr:nvCxnSpPr>
      <xdr:spPr>
        <a:xfrm flipV="1">
          <a:off x="9198428" y="726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27216</xdr:rowOff>
    </xdr:from>
    <xdr:to>
      <xdr:col>10</xdr:col>
      <xdr:colOff>898071</xdr:colOff>
      <xdr:row>34</xdr:row>
      <xdr:rowOff>0</xdr:rowOff>
    </xdr:to>
    <xdr:cxnSp macro="">
      <xdr:nvCxnSpPr>
        <xdr:cNvPr id="225" name="Straight Connector 224"/>
        <xdr:cNvCxnSpPr/>
      </xdr:nvCxnSpPr>
      <xdr:spPr>
        <a:xfrm flipV="1">
          <a:off x="6096000" y="6123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226" name="Straight Connector 225"/>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227" name="Straight Connector 226"/>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228" name="Straight Connector 227"/>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229" name="Straight Connector 228"/>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230" name="Straight Connector 229"/>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13607</xdr:colOff>
      <xdr:row>72</xdr:row>
      <xdr:rowOff>13608</xdr:rowOff>
    </xdr:from>
    <xdr:to>
      <xdr:col>11</xdr:col>
      <xdr:colOff>898071</xdr:colOff>
      <xdr:row>73</xdr:row>
      <xdr:rowOff>190502</xdr:rowOff>
    </xdr:to>
    <xdr:cxnSp macro="">
      <xdr:nvCxnSpPr>
        <xdr:cNvPr id="2" name="Straight Connector 1"/>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3" name="Straight Connector 2"/>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4" name="Straight Connector 3"/>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72</xdr:row>
      <xdr:rowOff>27214</xdr:rowOff>
    </xdr:from>
    <xdr:to>
      <xdr:col>16</xdr:col>
      <xdr:colOff>0</xdr:colOff>
      <xdr:row>74</xdr:row>
      <xdr:rowOff>0</xdr:rowOff>
    </xdr:to>
    <xdr:cxnSp macro="">
      <xdr:nvCxnSpPr>
        <xdr:cNvPr id="5" name="Straight Connector 4"/>
        <xdr:cNvCxnSpPr/>
      </xdr:nvCxnSpPr>
      <xdr:spPr>
        <a:xfrm flipV="1">
          <a:off x="9144001" y="13743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72</xdr:row>
      <xdr:rowOff>1</xdr:rowOff>
    </xdr:from>
    <xdr:to>
      <xdr:col>11</xdr:col>
      <xdr:colOff>13607</xdr:colOff>
      <xdr:row>73</xdr:row>
      <xdr:rowOff>176895</xdr:rowOff>
    </xdr:to>
    <xdr:cxnSp macro="">
      <xdr:nvCxnSpPr>
        <xdr:cNvPr id="6" name="Straight Connector 5"/>
        <xdr:cNvCxnSpPr/>
      </xdr:nvCxnSpPr>
      <xdr:spPr>
        <a:xfrm flipV="1">
          <a:off x="6150429" y="13716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76</xdr:row>
      <xdr:rowOff>13608</xdr:rowOff>
    </xdr:from>
    <xdr:to>
      <xdr:col>11</xdr:col>
      <xdr:colOff>898071</xdr:colOff>
      <xdr:row>77</xdr:row>
      <xdr:rowOff>190502</xdr:rowOff>
    </xdr:to>
    <xdr:cxnSp macro="">
      <xdr:nvCxnSpPr>
        <xdr:cNvPr id="7" name="Straight Connector 6"/>
        <xdr:cNvCxnSpPr/>
      </xdr:nvCxnSpPr>
      <xdr:spPr>
        <a:xfrm flipV="1">
          <a:off x="6719207" y="14491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76</xdr:row>
      <xdr:rowOff>40824</xdr:rowOff>
    </xdr:from>
    <xdr:to>
      <xdr:col>12</xdr:col>
      <xdr:colOff>898072</xdr:colOff>
      <xdr:row>77</xdr:row>
      <xdr:rowOff>190500</xdr:rowOff>
    </xdr:to>
    <xdr:cxnSp macro="">
      <xdr:nvCxnSpPr>
        <xdr:cNvPr id="8" name="Straight Connector 7"/>
        <xdr:cNvCxnSpPr/>
      </xdr:nvCxnSpPr>
      <xdr:spPr>
        <a:xfrm flipV="1">
          <a:off x="7315200" y="14518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76</xdr:row>
      <xdr:rowOff>40824</xdr:rowOff>
    </xdr:from>
    <xdr:to>
      <xdr:col>14</xdr:col>
      <xdr:colOff>884465</xdr:colOff>
      <xdr:row>77</xdr:row>
      <xdr:rowOff>176893</xdr:rowOff>
    </xdr:to>
    <xdr:cxnSp macro="">
      <xdr:nvCxnSpPr>
        <xdr:cNvPr id="9" name="Straight Connector 8"/>
        <xdr:cNvCxnSpPr/>
      </xdr:nvCxnSpPr>
      <xdr:spPr>
        <a:xfrm flipV="1">
          <a:off x="8561614" y="14518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76</xdr:row>
      <xdr:rowOff>13608</xdr:rowOff>
    </xdr:from>
    <xdr:to>
      <xdr:col>10</xdr:col>
      <xdr:colOff>884464</xdr:colOff>
      <xdr:row>78</xdr:row>
      <xdr:rowOff>0</xdr:rowOff>
    </xdr:to>
    <xdr:cxnSp macro="">
      <xdr:nvCxnSpPr>
        <xdr:cNvPr id="10" name="Straight Connector 9"/>
        <xdr:cNvCxnSpPr/>
      </xdr:nvCxnSpPr>
      <xdr:spPr>
        <a:xfrm flipV="1">
          <a:off x="6097361" y="14491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76</xdr:row>
      <xdr:rowOff>27217</xdr:rowOff>
    </xdr:from>
    <xdr:to>
      <xdr:col>15</xdr:col>
      <xdr:colOff>938894</xdr:colOff>
      <xdr:row>77</xdr:row>
      <xdr:rowOff>163286</xdr:rowOff>
    </xdr:to>
    <xdr:cxnSp macro="">
      <xdr:nvCxnSpPr>
        <xdr:cNvPr id="11" name="Straight Connector 10"/>
        <xdr:cNvCxnSpPr/>
      </xdr:nvCxnSpPr>
      <xdr:spPr>
        <a:xfrm flipV="1">
          <a:off x="9225643" y="14505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74</xdr:row>
      <xdr:rowOff>13608</xdr:rowOff>
    </xdr:from>
    <xdr:to>
      <xdr:col>11</xdr:col>
      <xdr:colOff>898071</xdr:colOff>
      <xdr:row>75</xdr:row>
      <xdr:rowOff>190502</xdr:rowOff>
    </xdr:to>
    <xdr:cxnSp macro="">
      <xdr:nvCxnSpPr>
        <xdr:cNvPr id="12" name="Straight Connector 11"/>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13" name="Straight Connector 12"/>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14" name="Straight Connector 13"/>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74</xdr:row>
      <xdr:rowOff>13608</xdr:rowOff>
    </xdr:from>
    <xdr:to>
      <xdr:col>10</xdr:col>
      <xdr:colOff>884464</xdr:colOff>
      <xdr:row>76</xdr:row>
      <xdr:rowOff>0</xdr:rowOff>
    </xdr:to>
    <xdr:cxnSp macro="">
      <xdr:nvCxnSpPr>
        <xdr:cNvPr id="15" name="Straight Connector 14"/>
        <xdr:cNvCxnSpPr/>
      </xdr:nvCxnSpPr>
      <xdr:spPr>
        <a:xfrm flipV="1">
          <a:off x="6097361" y="14110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74</xdr:row>
      <xdr:rowOff>27217</xdr:rowOff>
    </xdr:from>
    <xdr:to>
      <xdr:col>15</xdr:col>
      <xdr:colOff>938894</xdr:colOff>
      <xdr:row>75</xdr:row>
      <xdr:rowOff>163286</xdr:rowOff>
    </xdr:to>
    <xdr:cxnSp macro="">
      <xdr:nvCxnSpPr>
        <xdr:cNvPr id="16" name="Straight Connector 15"/>
        <xdr:cNvCxnSpPr/>
      </xdr:nvCxnSpPr>
      <xdr:spPr>
        <a:xfrm flipV="1">
          <a:off x="9225643" y="14124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17" name="Straight Connector 16"/>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18" name="Straight Connector 17"/>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19" name="Straight Connector 18"/>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20" name="Straight Connector 19"/>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87</xdr:row>
      <xdr:rowOff>13608</xdr:rowOff>
    </xdr:from>
    <xdr:to>
      <xdr:col>12</xdr:col>
      <xdr:colOff>27214</xdr:colOff>
      <xdr:row>88</xdr:row>
      <xdr:rowOff>190502</xdr:rowOff>
    </xdr:to>
    <xdr:cxnSp macro="">
      <xdr:nvCxnSpPr>
        <xdr:cNvPr id="21" name="Straight Connector 20"/>
        <xdr:cNvCxnSpPr/>
      </xdr:nvCxnSpPr>
      <xdr:spPr>
        <a:xfrm flipV="1">
          <a:off x="6787242" y="1658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87</xdr:row>
      <xdr:rowOff>13608</xdr:rowOff>
    </xdr:from>
    <xdr:to>
      <xdr:col>11</xdr:col>
      <xdr:colOff>51026</xdr:colOff>
      <xdr:row>89</xdr:row>
      <xdr:rowOff>0</xdr:rowOff>
    </xdr:to>
    <xdr:cxnSp macro="">
      <xdr:nvCxnSpPr>
        <xdr:cNvPr id="22" name="Straight Connector 21"/>
        <xdr:cNvCxnSpPr/>
      </xdr:nvCxnSpPr>
      <xdr:spPr>
        <a:xfrm flipV="1">
          <a:off x="6109607" y="16587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87</xdr:row>
      <xdr:rowOff>17011</xdr:rowOff>
    </xdr:from>
    <xdr:to>
      <xdr:col>12</xdr:col>
      <xdr:colOff>916780</xdr:colOff>
      <xdr:row>88</xdr:row>
      <xdr:rowOff>192201</xdr:rowOff>
    </xdr:to>
    <xdr:cxnSp macro="">
      <xdr:nvCxnSpPr>
        <xdr:cNvPr id="23" name="Straight Connector 22"/>
        <xdr:cNvCxnSpPr/>
      </xdr:nvCxnSpPr>
      <xdr:spPr>
        <a:xfrm flipV="1">
          <a:off x="7349218" y="1659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87</xdr:row>
      <xdr:rowOff>18714</xdr:rowOff>
    </xdr:from>
    <xdr:to>
      <xdr:col>15</xdr:col>
      <xdr:colOff>887864</xdr:colOff>
      <xdr:row>88</xdr:row>
      <xdr:rowOff>190500</xdr:rowOff>
    </xdr:to>
    <xdr:cxnSp macro="">
      <xdr:nvCxnSpPr>
        <xdr:cNvPr id="24" name="Straight Connector 23"/>
        <xdr:cNvCxnSpPr/>
      </xdr:nvCxnSpPr>
      <xdr:spPr>
        <a:xfrm flipV="1">
          <a:off x="9171214" y="16592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25" name="Straight Connector 24"/>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26" name="Straight Connector 25"/>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27" name="Straight Connector 26"/>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28" name="Straight Connector 27"/>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29" name="Straight Connector 28"/>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0" name="Straight Connector 29"/>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1" name="Straight Connector 30"/>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32" name="Straight Connector 31"/>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33" name="Straight Connector 32"/>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34" name="Straight Connector 33"/>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5" name="Straight Connector 34"/>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36" name="Straight Connector 35"/>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96</xdr:row>
      <xdr:rowOff>13608</xdr:rowOff>
    </xdr:from>
    <xdr:to>
      <xdr:col>12</xdr:col>
      <xdr:colOff>27214</xdr:colOff>
      <xdr:row>97</xdr:row>
      <xdr:rowOff>190502</xdr:rowOff>
    </xdr:to>
    <xdr:cxnSp macro="">
      <xdr:nvCxnSpPr>
        <xdr:cNvPr id="37" name="Straight Connector 36"/>
        <xdr:cNvCxnSpPr/>
      </xdr:nvCxnSpPr>
      <xdr:spPr>
        <a:xfrm flipV="1">
          <a:off x="6787242" y="1830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96</xdr:row>
      <xdr:rowOff>13608</xdr:rowOff>
    </xdr:from>
    <xdr:to>
      <xdr:col>11</xdr:col>
      <xdr:colOff>51026</xdr:colOff>
      <xdr:row>98</xdr:row>
      <xdr:rowOff>0</xdr:rowOff>
    </xdr:to>
    <xdr:cxnSp macro="">
      <xdr:nvCxnSpPr>
        <xdr:cNvPr id="38" name="Straight Connector 37"/>
        <xdr:cNvCxnSpPr/>
      </xdr:nvCxnSpPr>
      <xdr:spPr>
        <a:xfrm flipV="1">
          <a:off x="6109607" y="18301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96</xdr:row>
      <xdr:rowOff>17011</xdr:rowOff>
    </xdr:from>
    <xdr:to>
      <xdr:col>12</xdr:col>
      <xdr:colOff>916780</xdr:colOff>
      <xdr:row>97</xdr:row>
      <xdr:rowOff>192201</xdr:rowOff>
    </xdr:to>
    <xdr:cxnSp macro="">
      <xdr:nvCxnSpPr>
        <xdr:cNvPr id="39" name="Straight Connector 38"/>
        <xdr:cNvCxnSpPr/>
      </xdr:nvCxnSpPr>
      <xdr:spPr>
        <a:xfrm flipV="1">
          <a:off x="7349218" y="1830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96</xdr:row>
      <xdr:rowOff>3</xdr:rowOff>
    </xdr:from>
    <xdr:to>
      <xdr:col>15</xdr:col>
      <xdr:colOff>40822</xdr:colOff>
      <xdr:row>97</xdr:row>
      <xdr:rowOff>149679</xdr:rowOff>
    </xdr:to>
    <xdr:cxnSp macro="">
      <xdr:nvCxnSpPr>
        <xdr:cNvPr id="40" name="Straight Connector 39"/>
        <xdr:cNvCxnSpPr/>
      </xdr:nvCxnSpPr>
      <xdr:spPr>
        <a:xfrm flipV="1">
          <a:off x="8571820" y="18288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96</xdr:row>
      <xdr:rowOff>18714</xdr:rowOff>
    </xdr:from>
    <xdr:to>
      <xdr:col>15</xdr:col>
      <xdr:colOff>887864</xdr:colOff>
      <xdr:row>97</xdr:row>
      <xdr:rowOff>190500</xdr:rowOff>
    </xdr:to>
    <xdr:cxnSp macro="">
      <xdr:nvCxnSpPr>
        <xdr:cNvPr id="41" name="Straight Connector 40"/>
        <xdr:cNvCxnSpPr/>
      </xdr:nvCxnSpPr>
      <xdr:spPr>
        <a:xfrm flipV="1">
          <a:off x="9171214" y="18306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42" name="Straight Connector 41"/>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43" name="Straight Connector 42"/>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44" name="Straight Connector 43"/>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45" name="Straight Connector 44"/>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46" name="Straight Connector 45"/>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47" name="Straight Connector 46"/>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48" name="Straight Connector 47"/>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49" name="Straight Connector 48"/>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50" name="Straight Connector 49"/>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51" name="Straight Connector 50"/>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52" name="Straight Connector 51"/>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103</xdr:row>
      <xdr:rowOff>3</xdr:rowOff>
    </xdr:from>
    <xdr:to>
      <xdr:col>15</xdr:col>
      <xdr:colOff>40822</xdr:colOff>
      <xdr:row>104</xdr:row>
      <xdr:rowOff>149679</xdr:rowOff>
    </xdr:to>
    <xdr:cxnSp macro="">
      <xdr:nvCxnSpPr>
        <xdr:cNvPr id="53" name="Straight Connector 52"/>
        <xdr:cNvCxnSpPr/>
      </xdr:nvCxnSpPr>
      <xdr:spPr>
        <a:xfrm flipV="1">
          <a:off x="8571820" y="19621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54" name="Straight Connector 53"/>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105</xdr:row>
      <xdr:rowOff>13608</xdr:rowOff>
    </xdr:from>
    <xdr:to>
      <xdr:col>12</xdr:col>
      <xdr:colOff>27214</xdr:colOff>
      <xdr:row>106</xdr:row>
      <xdr:rowOff>190502</xdr:rowOff>
    </xdr:to>
    <xdr:cxnSp macro="">
      <xdr:nvCxnSpPr>
        <xdr:cNvPr id="55" name="Straight Connector 54"/>
        <xdr:cNvCxnSpPr/>
      </xdr:nvCxnSpPr>
      <xdr:spPr>
        <a:xfrm flipV="1">
          <a:off x="6787242" y="2001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105</xdr:row>
      <xdr:rowOff>13608</xdr:rowOff>
    </xdr:from>
    <xdr:to>
      <xdr:col>11</xdr:col>
      <xdr:colOff>51026</xdr:colOff>
      <xdr:row>107</xdr:row>
      <xdr:rowOff>0</xdr:rowOff>
    </xdr:to>
    <xdr:cxnSp macro="">
      <xdr:nvCxnSpPr>
        <xdr:cNvPr id="56" name="Straight Connector 55"/>
        <xdr:cNvCxnSpPr/>
      </xdr:nvCxnSpPr>
      <xdr:spPr>
        <a:xfrm flipV="1">
          <a:off x="6109607" y="2001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105</xdr:row>
      <xdr:rowOff>17011</xdr:rowOff>
    </xdr:from>
    <xdr:to>
      <xdr:col>12</xdr:col>
      <xdr:colOff>916780</xdr:colOff>
      <xdr:row>106</xdr:row>
      <xdr:rowOff>192201</xdr:rowOff>
    </xdr:to>
    <xdr:cxnSp macro="">
      <xdr:nvCxnSpPr>
        <xdr:cNvPr id="57" name="Straight Connector 56"/>
        <xdr:cNvCxnSpPr/>
      </xdr:nvCxnSpPr>
      <xdr:spPr>
        <a:xfrm flipV="1">
          <a:off x="7349218" y="2001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105</xdr:row>
      <xdr:rowOff>3</xdr:rowOff>
    </xdr:from>
    <xdr:to>
      <xdr:col>15</xdr:col>
      <xdr:colOff>40822</xdr:colOff>
      <xdr:row>106</xdr:row>
      <xdr:rowOff>149679</xdr:rowOff>
    </xdr:to>
    <xdr:cxnSp macro="">
      <xdr:nvCxnSpPr>
        <xdr:cNvPr id="58" name="Straight Connector 57"/>
        <xdr:cNvCxnSpPr/>
      </xdr:nvCxnSpPr>
      <xdr:spPr>
        <a:xfrm flipV="1">
          <a:off x="8571820" y="20002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105</xdr:row>
      <xdr:rowOff>18714</xdr:rowOff>
    </xdr:from>
    <xdr:to>
      <xdr:col>15</xdr:col>
      <xdr:colOff>887864</xdr:colOff>
      <xdr:row>106</xdr:row>
      <xdr:rowOff>190500</xdr:rowOff>
    </xdr:to>
    <xdr:cxnSp macro="">
      <xdr:nvCxnSpPr>
        <xdr:cNvPr id="59" name="Straight Connector 58"/>
        <xdr:cNvCxnSpPr/>
      </xdr:nvCxnSpPr>
      <xdr:spPr>
        <a:xfrm flipV="1">
          <a:off x="9171214" y="2002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0" name="Straight Connector 59"/>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61" name="Straight Connector 60"/>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62" name="Straight Connector 61"/>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81</xdr:row>
      <xdr:rowOff>40825</xdr:rowOff>
    </xdr:from>
    <xdr:to>
      <xdr:col>15</xdr:col>
      <xdr:colOff>54429</xdr:colOff>
      <xdr:row>82</xdr:row>
      <xdr:rowOff>190501</xdr:rowOff>
    </xdr:to>
    <xdr:cxnSp macro="">
      <xdr:nvCxnSpPr>
        <xdr:cNvPr id="63" name="Straight Connector 62"/>
        <xdr:cNvCxnSpPr/>
      </xdr:nvCxnSpPr>
      <xdr:spPr>
        <a:xfrm flipV="1">
          <a:off x="8585427" y="15471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64" name="Straight Connector 63"/>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65" name="Straight Connector 64"/>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66" name="Straight Connector 65"/>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67" name="Straight Connector 66"/>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68" name="Straight Connector 67"/>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69" name="Straight Connector 68"/>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70" name="Straight Connector 69"/>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71" name="Straight Connector 70"/>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72" name="Straight Connector 71"/>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101</xdr:row>
      <xdr:rowOff>17010</xdr:rowOff>
    </xdr:from>
    <xdr:to>
      <xdr:col>14</xdr:col>
      <xdr:colOff>903173</xdr:colOff>
      <xdr:row>102</xdr:row>
      <xdr:rowOff>192200</xdr:rowOff>
    </xdr:to>
    <xdr:cxnSp macro="">
      <xdr:nvCxnSpPr>
        <xdr:cNvPr id="73" name="Straight Connector 72"/>
        <xdr:cNvCxnSpPr/>
      </xdr:nvCxnSpPr>
      <xdr:spPr>
        <a:xfrm flipV="1">
          <a:off x="8554811" y="19257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94</xdr:row>
      <xdr:rowOff>3404</xdr:rowOff>
    </xdr:from>
    <xdr:to>
      <xdr:col>15</xdr:col>
      <xdr:colOff>5101</xdr:colOff>
      <xdr:row>95</xdr:row>
      <xdr:rowOff>178593</xdr:rowOff>
    </xdr:to>
    <xdr:cxnSp macro="">
      <xdr:nvCxnSpPr>
        <xdr:cNvPr id="74" name="Straight Connector 73"/>
        <xdr:cNvCxnSpPr/>
      </xdr:nvCxnSpPr>
      <xdr:spPr>
        <a:xfrm flipV="1">
          <a:off x="8582025" y="17910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92</xdr:row>
      <xdr:rowOff>17011</xdr:rowOff>
    </xdr:from>
    <xdr:to>
      <xdr:col>15</xdr:col>
      <xdr:colOff>5101</xdr:colOff>
      <xdr:row>93</xdr:row>
      <xdr:rowOff>192201</xdr:rowOff>
    </xdr:to>
    <xdr:cxnSp macro="">
      <xdr:nvCxnSpPr>
        <xdr:cNvPr id="75" name="Straight Connector 74"/>
        <xdr:cNvCxnSpPr/>
      </xdr:nvCxnSpPr>
      <xdr:spPr>
        <a:xfrm flipV="1">
          <a:off x="8582025" y="17543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90</xdr:row>
      <xdr:rowOff>17011</xdr:rowOff>
    </xdr:from>
    <xdr:to>
      <xdr:col>14</xdr:col>
      <xdr:colOff>916780</xdr:colOff>
      <xdr:row>91</xdr:row>
      <xdr:rowOff>192201</xdr:rowOff>
    </xdr:to>
    <xdr:cxnSp macro="">
      <xdr:nvCxnSpPr>
        <xdr:cNvPr id="76" name="Straight Connector 75"/>
        <xdr:cNvCxnSpPr/>
      </xdr:nvCxnSpPr>
      <xdr:spPr>
        <a:xfrm flipV="1">
          <a:off x="85684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87</xdr:row>
      <xdr:rowOff>17011</xdr:rowOff>
    </xdr:from>
    <xdr:to>
      <xdr:col>15</xdr:col>
      <xdr:colOff>32315</xdr:colOff>
      <xdr:row>88</xdr:row>
      <xdr:rowOff>192201</xdr:rowOff>
    </xdr:to>
    <xdr:cxnSp macro="">
      <xdr:nvCxnSpPr>
        <xdr:cNvPr id="77" name="Straight Connector 76"/>
        <xdr:cNvCxnSpPr/>
      </xdr:nvCxnSpPr>
      <xdr:spPr>
        <a:xfrm flipV="1">
          <a:off x="8609239" y="16590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85</xdr:row>
      <xdr:rowOff>17011</xdr:rowOff>
    </xdr:from>
    <xdr:to>
      <xdr:col>15</xdr:col>
      <xdr:colOff>32315</xdr:colOff>
      <xdr:row>86</xdr:row>
      <xdr:rowOff>192201</xdr:rowOff>
    </xdr:to>
    <xdr:cxnSp macro="">
      <xdr:nvCxnSpPr>
        <xdr:cNvPr id="78" name="Straight Connector 77"/>
        <xdr:cNvCxnSpPr/>
      </xdr:nvCxnSpPr>
      <xdr:spPr>
        <a:xfrm flipV="1">
          <a:off x="8609239" y="16209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83</xdr:row>
      <xdr:rowOff>3403</xdr:rowOff>
    </xdr:from>
    <xdr:to>
      <xdr:col>15</xdr:col>
      <xdr:colOff>18708</xdr:colOff>
      <xdr:row>84</xdr:row>
      <xdr:rowOff>178593</xdr:rowOff>
    </xdr:to>
    <xdr:cxnSp macro="">
      <xdr:nvCxnSpPr>
        <xdr:cNvPr id="79" name="Straight Connector 78"/>
        <xdr:cNvCxnSpPr/>
      </xdr:nvCxnSpPr>
      <xdr:spPr>
        <a:xfrm flipV="1">
          <a:off x="8595632" y="15814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80" name="Straight Connector 79"/>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81" name="Straight Connector 80"/>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82" name="Straight Connector 81"/>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83" name="Straight Connector 82"/>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84" name="Straight Connector 83"/>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64</xdr:row>
      <xdr:rowOff>27214</xdr:rowOff>
    </xdr:from>
    <xdr:to>
      <xdr:col>15</xdr:col>
      <xdr:colOff>898072</xdr:colOff>
      <xdr:row>65</xdr:row>
      <xdr:rowOff>149678</xdr:rowOff>
    </xdr:to>
    <xdr:cxnSp macro="">
      <xdr:nvCxnSpPr>
        <xdr:cNvPr id="85" name="Straight Connector 84"/>
        <xdr:cNvCxnSpPr/>
      </xdr:nvCxnSpPr>
      <xdr:spPr>
        <a:xfrm flipV="1">
          <a:off x="9171214" y="12219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64</xdr:row>
      <xdr:rowOff>13607</xdr:rowOff>
    </xdr:from>
    <xdr:to>
      <xdr:col>10</xdr:col>
      <xdr:colOff>911677</xdr:colOff>
      <xdr:row>66</xdr:row>
      <xdr:rowOff>0</xdr:rowOff>
    </xdr:to>
    <xdr:cxnSp macro="">
      <xdr:nvCxnSpPr>
        <xdr:cNvPr id="86" name="Straight Connector 85"/>
        <xdr:cNvCxnSpPr/>
      </xdr:nvCxnSpPr>
      <xdr:spPr>
        <a:xfrm flipV="1">
          <a:off x="6109607" y="12205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64</xdr:row>
      <xdr:rowOff>13608</xdr:rowOff>
    </xdr:from>
    <xdr:to>
      <xdr:col>12</xdr:col>
      <xdr:colOff>27214</xdr:colOff>
      <xdr:row>65</xdr:row>
      <xdr:rowOff>190502</xdr:rowOff>
    </xdr:to>
    <xdr:cxnSp macro="">
      <xdr:nvCxnSpPr>
        <xdr:cNvPr id="87" name="Straight Connector 86"/>
        <xdr:cNvCxnSpPr/>
      </xdr:nvCxnSpPr>
      <xdr:spPr>
        <a:xfrm flipV="1">
          <a:off x="6787242" y="1220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64</xdr:row>
      <xdr:rowOff>17011</xdr:rowOff>
    </xdr:from>
    <xdr:to>
      <xdr:col>12</xdr:col>
      <xdr:colOff>916780</xdr:colOff>
      <xdr:row>65</xdr:row>
      <xdr:rowOff>192201</xdr:rowOff>
    </xdr:to>
    <xdr:cxnSp macro="">
      <xdr:nvCxnSpPr>
        <xdr:cNvPr id="88" name="Straight Connector 87"/>
        <xdr:cNvCxnSpPr/>
      </xdr:nvCxnSpPr>
      <xdr:spPr>
        <a:xfrm flipV="1">
          <a:off x="7349218" y="1220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64</xdr:row>
      <xdr:rowOff>54428</xdr:rowOff>
    </xdr:from>
    <xdr:to>
      <xdr:col>14</xdr:col>
      <xdr:colOff>884463</xdr:colOff>
      <xdr:row>65</xdr:row>
      <xdr:rowOff>163285</xdr:rowOff>
    </xdr:to>
    <xdr:cxnSp macro="">
      <xdr:nvCxnSpPr>
        <xdr:cNvPr id="89" name="Straight Connector 88"/>
        <xdr:cNvCxnSpPr/>
      </xdr:nvCxnSpPr>
      <xdr:spPr>
        <a:xfrm flipV="1">
          <a:off x="8537119" y="12246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79</xdr:row>
      <xdr:rowOff>13610</xdr:rowOff>
    </xdr:from>
    <xdr:to>
      <xdr:col>15</xdr:col>
      <xdr:colOff>54429</xdr:colOff>
      <xdr:row>80</xdr:row>
      <xdr:rowOff>163286</xdr:rowOff>
    </xdr:to>
    <xdr:cxnSp macro="">
      <xdr:nvCxnSpPr>
        <xdr:cNvPr id="90" name="Straight Connector 89"/>
        <xdr:cNvCxnSpPr/>
      </xdr:nvCxnSpPr>
      <xdr:spPr>
        <a:xfrm flipV="1">
          <a:off x="8585427" y="15063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91" name="Straight Connector 90"/>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92" name="Straight Connector 91"/>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93" name="Straight Connector 92"/>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94" name="Straight Connector 93"/>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51</xdr:row>
      <xdr:rowOff>27214</xdr:rowOff>
    </xdr:from>
    <xdr:to>
      <xdr:col>15</xdr:col>
      <xdr:colOff>898072</xdr:colOff>
      <xdr:row>52</xdr:row>
      <xdr:rowOff>149678</xdr:rowOff>
    </xdr:to>
    <xdr:cxnSp macro="">
      <xdr:nvCxnSpPr>
        <xdr:cNvPr id="95" name="Straight Connector 94"/>
        <xdr:cNvCxnSpPr/>
      </xdr:nvCxnSpPr>
      <xdr:spPr>
        <a:xfrm flipV="1">
          <a:off x="9171214" y="9742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51</xdr:row>
      <xdr:rowOff>13607</xdr:rowOff>
    </xdr:from>
    <xdr:to>
      <xdr:col>10</xdr:col>
      <xdr:colOff>911677</xdr:colOff>
      <xdr:row>53</xdr:row>
      <xdr:rowOff>0</xdr:rowOff>
    </xdr:to>
    <xdr:cxnSp macro="">
      <xdr:nvCxnSpPr>
        <xdr:cNvPr id="96" name="Straight Connector 95"/>
        <xdr:cNvCxnSpPr/>
      </xdr:nvCxnSpPr>
      <xdr:spPr>
        <a:xfrm flipV="1">
          <a:off x="6109607" y="9729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51</xdr:row>
      <xdr:rowOff>13608</xdr:rowOff>
    </xdr:from>
    <xdr:to>
      <xdr:col>12</xdr:col>
      <xdr:colOff>27214</xdr:colOff>
      <xdr:row>52</xdr:row>
      <xdr:rowOff>190502</xdr:rowOff>
    </xdr:to>
    <xdr:cxnSp macro="">
      <xdr:nvCxnSpPr>
        <xdr:cNvPr id="97" name="Straight Connector 96"/>
        <xdr:cNvCxnSpPr/>
      </xdr:nvCxnSpPr>
      <xdr:spPr>
        <a:xfrm flipV="1">
          <a:off x="6787242" y="9729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51</xdr:row>
      <xdr:rowOff>17011</xdr:rowOff>
    </xdr:from>
    <xdr:to>
      <xdr:col>12</xdr:col>
      <xdr:colOff>916780</xdr:colOff>
      <xdr:row>52</xdr:row>
      <xdr:rowOff>192201</xdr:rowOff>
    </xdr:to>
    <xdr:cxnSp macro="">
      <xdr:nvCxnSpPr>
        <xdr:cNvPr id="98" name="Straight Connector 97"/>
        <xdr:cNvCxnSpPr/>
      </xdr:nvCxnSpPr>
      <xdr:spPr>
        <a:xfrm flipV="1">
          <a:off x="7349218" y="9732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51</xdr:row>
      <xdr:rowOff>54428</xdr:rowOff>
    </xdr:from>
    <xdr:to>
      <xdr:col>14</xdr:col>
      <xdr:colOff>884463</xdr:colOff>
      <xdr:row>52</xdr:row>
      <xdr:rowOff>163285</xdr:rowOff>
    </xdr:to>
    <xdr:cxnSp macro="">
      <xdr:nvCxnSpPr>
        <xdr:cNvPr id="99" name="Straight Connector 98"/>
        <xdr:cNvCxnSpPr/>
      </xdr:nvCxnSpPr>
      <xdr:spPr>
        <a:xfrm flipV="1">
          <a:off x="8537119" y="9769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49</xdr:row>
      <xdr:rowOff>27214</xdr:rowOff>
    </xdr:from>
    <xdr:to>
      <xdr:col>15</xdr:col>
      <xdr:colOff>898072</xdr:colOff>
      <xdr:row>50</xdr:row>
      <xdr:rowOff>149678</xdr:rowOff>
    </xdr:to>
    <xdr:cxnSp macro="">
      <xdr:nvCxnSpPr>
        <xdr:cNvPr id="100" name="Straight Connector 99"/>
        <xdr:cNvCxnSpPr/>
      </xdr:nvCxnSpPr>
      <xdr:spPr>
        <a:xfrm flipV="1">
          <a:off x="9171214" y="9361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49</xdr:row>
      <xdr:rowOff>13607</xdr:rowOff>
    </xdr:from>
    <xdr:to>
      <xdr:col>10</xdr:col>
      <xdr:colOff>911677</xdr:colOff>
      <xdr:row>51</xdr:row>
      <xdr:rowOff>0</xdr:rowOff>
    </xdr:to>
    <xdr:cxnSp macro="">
      <xdr:nvCxnSpPr>
        <xdr:cNvPr id="101" name="Straight Connector 100"/>
        <xdr:cNvCxnSpPr/>
      </xdr:nvCxnSpPr>
      <xdr:spPr>
        <a:xfrm flipV="1">
          <a:off x="6109607" y="9348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49</xdr:row>
      <xdr:rowOff>13608</xdr:rowOff>
    </xdr:from>
    <xdr:to>
      <xdr:col>12</xdr:col>
      <xdr:colOff>27214</xdr:colOff>
      <xdr:row>50</xdr:row>
      <xdr:rowOff>190502</xdr:rowOff>
    </xdr:to>
    <xdr:cxnSp macro="">
      <xdr:nvCxnSpPr>
        <xdr:cNvPr id="102" name="Straight Connector 101"/>
        <xdr:cNvCxnSpPr/>
      </xdr:nvCxnSpPr>
      <xdr:spPr>
        <a:xfrm flipV="1">
          <a:off x="6787242" y="934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49</xdr:row>
      <xdr:rowOff>17011</xdr:rowOff>
    </xdr:from>
    <xdr:to>
      <xdr:col>12</xdr:col>
      <xdr:colOff>916780</xdr:colOff>
      <xdr:row>50</xdr:row>
      <xdr:rowOff>192201</xdr:rowOff>
    </xdr:to>
    <xdr:cxnSp macro="">
      <xdr:nvCxnSpPr>
        <xdr:cNvPr id="103" name="Straight Connector 102"/>
        <xdr:cNvCxnSpPr/>
      </xdr:nvCxnSpPr>
      <xdr:spPr>
        <a:xfrm flipV="1">
          <a:off x="7349218" y="935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49</xdr:row>
      <xdr:rowOff>54428</xdr:rowOff>
    </xdr:from>
    <xdr:to>
      <xdr:col>14</xdr:col>
      <xdr:colOff>884463</xdr:colOff>
      <xdr:row>50</xdr:row>
      <xdr:rowOff>163285</xdr:rowOff>
    </xdr:to>
    <xdr:cxnSp macro="">
      <xdr:nvCxnSpPr>
        <xdr:cNvPr id="104" name="Straight Connector 103"/>
        <xdr:cNvCxnSpPr/>
      </xdr:nvCxnSpPr>
      <xdr:spPr>
        <a:xfrm flipV="1">
          <a:off x="8537119" y="9388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110</xdr:row>
      <xdr:rowOff>0</xdr:rowOff>
    </xdr:from>
    <xdr:ext cx="17150072" cy="3743326"/>
    <xdr:pic>
      <xdr:nvPicPr>
        <xdr:cNvPr id="105" name="Picture 104"/>
        <xdr:cNvPicPr>
          <a:picLocks noChangeAspect="1" noChangeArrowheads="1"/>
          <a:extLst/>
        </xdr:cNvPicPr>
      </xdr:nvPicPr>
      <xdr:blipFill>
        <a:blip xmlns:r="http://schemas.openxmlformats.org/officeDocument/2006/relationships" r:embed="rId1"/>
        <a:srcRect/>
        <a:stretch>
          <a:fillRect/>
        </a:stretch>
      </xdr:blipFill>
      <xdr:spPr bwMode="auto">
        <a:xfrm>
          <a:off x="609600" y="20955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126</xdr:row>
      <xdr:rowOff>176894</xdr:rowOff>
    </xdr:from>
    <xdr:ext cx="18008063" cy="3743325"/>
    <xdr:pic>
      <xdr:nvPicPr>
        <xdr:cNvPr id="106" name="Picture 105"/>
        <xdr:cNvPicPr>
          <a:picLocks noChangeAspect="1" noChangeArrowheads="1"/>
          <a:extLst/>
        </xdr:cNvPicPr>
      </xdr:nvPicPr>
      <xdr:blipFill>
        <a:blip xmlns:r="http://schemas.openxmlformats.org/officeDocument/2006/relationships" r:embed="rId2"/>
        <a:srcRect/>
        <a:stretch>
          <a:fillRect/>
        </a:stretch>
      </xdr:blipFill>
      <xdr:spPr bwMode="auto">
        <a:xfrm>
          <a:off x="621846" y="24179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36</xdr:row>
      <xdr:rowOff>13608</xdr:rowOff>
    </xdr:from>
    <xdr:to>
      <xdr:col>12</xdr:col>
      <xdr:colOff>27214</xdr:colOff>
      <xdr:row>37</xdr:row>
      <xdr:rowOff>190502</xdr:rowOff>
    </xdr:to>
    <xdr:cxnSp macro="">
      <xdr:nvCxnSpPr>
        <xdr:cNvPr id="107" name="Straight Connector 106"/>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08" name="Straight Connector 107"/>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36</xdr:row>
      <xdr:rowOff>0</xdr:rowOff>
    </xdr:from>
    <xdr:to>
      <xdr:col>15</xdr:col>
      <xdr:colOff>0</xdr:colOff>
      <xdr:row>37</xdr:row>
      <xdr:rowOff>190501</xdr:rowOff>
    </xdr:to>
    <xdr:cxnSp macro="">
      <xdr:nvCxnSpPr>
        <xdr:cNvPr id="109" name="Straight Connector 108"/>
        <xdr:cNvCxnSpPr/>
      </xdr:nvCxnSpPr>
      <xdr:spPr>
        <a:xfrm flipV="1">
          <a:off x="8533039" y="6858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110" name="Straight Connector 109"/>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36</xdr:row>
      <xdr:rowOff>13607</xdr:rowOff>
    </xdr:from>
    <xdr:to>
      <xdr:col>16</xdr:col>
      <xdr:colOff>0</xdr:colOff>
      <xdr:row>38</xdr:row>
      <xdr:rowOff>0</xdr:rowOff>
    </xdr:to>
    <xdr:cxnSp macro="">
      <xdr:nvCxnSpPr>
        <xdr:cNvPr id="111" name="Straight Connector 110"/>
        <xdr:cNvCxnSpPr/>
      </xdr:nvCxnSpPr>
      <xdr:spPr>
        <a:xfrm flipV="1">
          <a:off x="9171214" y="6871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56</xdr:row>
      <xdr:rowOff>40821</xdr:rowOff>
    </xdr:from>
    <xdr:to>
      <xdr:col>15</xdr:col>
      <xdr:colOff>952500</xdr:colOff>
      <xdr:row>57</xdr:row>
      <xdr:rowOff>163285</xdr:rowOff>
    </xdr:to>
    <xdr:cxnSp macro="">
      <xdr:nvCxnSpPr>
        <xdr:cNvPr id="112" name="Straight Connector 111"/>
        <xdr:cNvCxnSpPr/>
      </xdr:nvCxnSpPr>
      <xdr:spPr>
        <a:xfrm flipV="1">
          <a:off x="9225642" y="10708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13" name="Straight Connector 112"/>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14" name="Straight Connector 113"/>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15" name="Straight Connector 114"/>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16" name="Straight Connector 115"/>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17" name="Straight Connector 116"/>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18" name="Straight Connector 117"/>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19" name="Straight Connector 118"/>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20" name="Straight Connector 119"/>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21" name="Straight Connector 120"/>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122" name="Straight Connector 121"/>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123" name="Straight Connector 122"/>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124" name="Straight Connector 123"/>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125" name="Straight Connector 124"/>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126" name="Straight Connector 125"/>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62</xdr:row>
      <xdr:rowOff>27214</xdr:rowOff>
    </xdr:from>
    <xdr:to>
      <xdr:col>15</xdr:col>
      <xdr:colOff>898072</xdr:colOff>
      <xdr:row>63</xdr:row>
      <xdr:rowOff>149678</xdr:rowOff>
    </xdr:to>
    <xdr:cxnSp macro="">
      <xdr:nvCxnSpPr>
        <xdr:cNvPr id="127" name="Straight Connector 126"/>
        <xdr:cNvCxnSpPr/>
      </xdr:nvCxnSpPr>
      <xdr:spPr>
        <a:xfrm flipV="1">
          <a:off x="9171214" y="11838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62</xdr:row>
      <xdr:rowOff>13607</xdr:rowOff>
    </xdr:from>
    <xdr:to>
      <xdr:col>10</xdr:col>
      <xdr:colOff>911677</xdr:colOff>
      <xdr:row>64</xdr:row>
      <xdr:rowOff>0</xdr:rowOff>
    </xdr:to>
    <xdr:cxnSp macro="">
      <xdr:nvCxnSpPr>
        <xdr:cNvPr id="128" name="Straight Connector 127"/>
        <xdr:cNvCxnSpPr/>
      </xdr:nvCxnSpPr>
      <xdr:spPr>
        <a:xfrm flipV="1">
          <a:off x="6109607" y="11824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62</xdr:row>
      <xdr:rowOff>13608</xdr:rowOff>
    </xdr:from>
    <xdr:to>
      <xdr:col>12</xdr:col>
      <xdr:colOff>27214</xdr:colOff>
      <xdr:row>63</xdr:row>
      <xdr:rowOff>190502</xdr:rowOff>
    </xdr:to>
    <xdr:cxnSp macro="">
      <xdr:nvCxnSpPr>
        <xdr:cNvPr id="129" name="Straight Connector 128"/>
        <xdr:cNvCxnSpPr/>
      </xdr:nvCxnSpPr>
      <xdr:spPr>
        <a:xfrm flipV="1">
          <a:off x="6787242" y="1182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62</xdr:row>
      <xdr:rowOff>17011</xdr:rowOff>
    </xdr:from>
    <xdr:to>
      <xdr:col>12</xdr:col>
      <xdr:colOff>916780</xdr:colOff>
      <xdr:row>63</xdr:row>
      <xdr:rowOff>192201</xdr:rowOff>
    </xdr:to>
    <xdr:cxnSp macro="">
      <xdr:nvCxnSpPr>
        <xdr:cNvPr id="130" name="Straight Connector 129"/>
        <xdr:cNvCxnSpPr/>
      </xdr:nvCxnSpPr>
      <xdr:spPr>
        <a:xfrm flipV="1">
          <a:off x="7349218" y="1182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62</xdr:row>
      <xdr:rowOff>54428</xdr:rowOff>
    </xdr:from>
    <xdr:to>
      <xdr:col>14</xdr:col>
      <xdr:colOff>884463</xdr:colOff>
      <xdr:row>63</xdr:row>
      <xdr:rowOff>163285</xdr:rowOff>
    </xdr:to>
    <xdr:cxnSp macro="">
      <xdr:nvCxnSpPr>
        <xdr:cNvPr id="131" name="Straight Connector 130"/>
        <xdr:cNvCxnSpPr/>
      </xdr:nvCxnSpPr>
      <xdr:spPr>
        <a:xfrm flipV="1">
          <a:off x="8537119" y="11865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47</xdr:row>
      <xdr:rowOff>27216</xdr:rowOff>
    </xdr:from>
    <xdr:to>
      <xdr:col>16</xdr:col>
      <xdr:colOff>27215</xdr:colOff>
      <xdr:row>48</xdr:row>
      <xdr:rowOff>176893</xdr:rowOff>
    </xdr:to>
    <xdr:cxnSp macro="">
      <xdr:nvCxnSpPr>
        <xdr:cNvPr id="132" name="Straight Connector 131"/>
        <xdr:cNvCxnSpPr/>
      </xdr:nvCxnSpPr>
      <xdr:spPr>
        <a:xfrm flipV="1">
          <a:off x="9198428" y="8980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34" name="Straight Connector 133"/>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35" name="Straight Connector 134"/>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36" name="Straight Connector 135"/>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30</xdr:row>
      <xdr:rowOff>13609</xdr:rowOff>
    </xdr:from>
    <xdr:to>
      <xdr:col>10</xdr:col>
      <xdr:colOff>911678</xdr:colOff>
      <xdr:row>31</xdr:row>
      <xdr:rowOff>190501</xdr:rowOff>
    </xdr:to>
    <xdr:cxnSp macro="">
      <xdr:nvCxnSpPr>
        <xdr:cNvPr id="137" name="Straight Connector 136"/>
        <xdr:cNvCxnSpPr/>
      </xdr:nvCxnSpPr>
      <xdr:spPr>
        <a:xfrm flipV="1">
          <a:off x="6109607" y="5728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38" name="Straight Connector 137"/>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38</xdr:row>
      <xdr:rowOff>13608</xdr:rowOff>
    </xdr:from>
    <xdr:to>
      <xdr:col>12</xdr:col>
      <xdr:colOff>27214</xdr:colOff>
      <xdr:row>39</xdr:row>
      <xdr:rowOff>190500</xdr:rowOff>
    </xdr:to>
    <xdr:cxnSp macro="">
      <xdr:nvCxnSpPr>
        <xdr:cNvPr id="139" name="Straight Connector 138"/>
        <xdr:cNvCxnSpPr/>
      </xdr:nvCxnSpPr>
      <xdr:spPr>
        <a:xfrm flipV="1">
          <a:off x="6732814" y="7252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140" name="Straight Connector 139"/>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37</xdr:row>
      <xdr:rowOff>190500</xdr:rowOff>
    </xdr:from>
    <xdr:to>
      <xdr:col>15</xdr:col>
      <xdr:colOff>27214</xdr:colOff>
      <xdr:row>39</xdr:row>
      <xdr:rowOff>176894</xdr:rowOff>
    </xdr:to>
    <xdr:cxnSp macro="">
      <xdr:nvCxnSpPr>
        <xdr:cNvPr id="141" name="Straight Connector 140"/>
        <xdr:cNvCxnSpPr/>
      </xdr:nvCxnSpPr>
      <xdr:spPr>
        <a:xfrm flipV="1">
          <a:off x="8561614" y="7239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38</xdr:row>
      <xdr:rowOff>0</xdr:rowOff>
    </xdr:from>
    <xdr:to>
      <xdr:col>11</xdr:col>
      <xdr:colOff>13607</xdr:colOff>
      <xdr:row>39</xdr:row>
      <xdr:rowOff>176892</xdr:rowOff>
    </xdr:to>
    <xdr:cxnSp macro="">
      <xdr:nvCxnSpPr>
        <xdr:cNvPr id="142" name="Straight Connector 141"/>
        <xdr:cNvCxnSpPr/>
      </xdr:nvCxnSpPr>
      <xdr:spPr>
        <a:xfrm flipV="1">
          <a:off x="6123215" y="7239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38</xdr:row>
      <xdr:rowOff>0</xdr:rowOff>
    </xdr:from>
    <xdr:to>
      <xdr:col>15</xdr:col>
      <xdr:colOff>952500</xdr:colOff>
      <xdr:row>39</xdr:row>
      <xdr:rowOff>190501</xdr:rowOff>
    </xdr:to>
    <xdr:cxnSp macro="">
      <xdr:nvCxnSpPr>
        <xdr:cNvPr id="143" name="Straight Connector 142"/>
        <xdr:cNvCxnSpPr/>
      </xdr:nvCxnSpPr>
      <xdr:spPr>
        <a:xfrm flipV="1">
          <a:off x="9141279" y="7239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34</xdr:row>
      <xdr:rowOff>13608</xdr:rowOff>
    </xdr:from>
    <xdr:to>
      <xdr:col>12</xdr:col>
      <xdr:colOff>27214</xdr:colOff>
      <xdr:row>35</xdr:row>
      <xdr:rowOff>190502</xdr:rowOff>
    </xdr:to>
    <xdr:cxnSp macro="">
      <xdr:nvCxnSpPr>
        <xdr:cNvPr id="144" name="Straight Connector 143"/>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45" name="Straight Connector 144"/>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34</xdr:row>
      <xdr:rowOff>40821</xdr:rowOff>
    </xdr:from>
    <xdr:to>
      <xdr:col>14</xdr:col>
      <xdr:colOff>911678</xdr:colOff>
      <xdr:row>35</xdr:row>
      <xdr:rowOff>149677</xdr:rowOff>
    </xdr:to>
    <xdr:cxnSp macro="">
      <xdr:nvCxnSpPr>
        <xdr:cNvPr id="146" name="Straight Connector 145"/>
        <xdr:cNvCxnSpPr/>
      </xdr:nvCxnSpPr>
      <xdr:spPr>
        <a:xfrm flipV="1">
          <a:off x="8561613" y="651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27216</xdr:rowOff>
    </xdr:from>
    <xdr:to>
      <xdr:col>10</xdr:col>
      <xdr:colOff>898071</xdr:colOff>
      <xdr:row>36</xdr:row>
      <xdr:rowOff>0</xdr:rowOff>
    </xdr:to>
    <xdr:cxnSp macro="">
      <xdr:nvCxnSpPr>
        <xdr:cNvPr id="147" name="Straight Connector 146"/>
        <xdr:cNvCxnSpPr/>
      </xdr:nvCxnSpPr>
      <xdr:spPr>
        <a:xfrm flipV="1">
          <a:off x="6096000" y="6504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148" name="Straight Connector 147"/>
        <xdr:cNvCxnSpPr/>
      </xdr:nvCxnSpPr>
      <xdr:spPr>
        <a:xfrm flipV="1">
          <a:off x="9198428" y="650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16</xdr:row>
      <xdr:rowOff>13608</xdr:rowOff>
    </xdr:from>
    <xdr:to>
      <xdr:col>12</xdr:col>
      <xdr:colOff>27214</xdr:colOff>
      <xdr:row>17</xdr:row>
      <xdr:rowOff>190502</xdr:rowOff>
    </xdr:to>
    <xdr:cxnSp macro="">
      <xdr:nvCxnSpPr>
        <xdr:cNvPr id="149" name="Straight Connector 148"/>
        <xdr:cNvCxnSpPr/>
      </xdr:nvCxnSpPr>
      <xdr:spPr>
        <a:xfrm flipV="1">
          <a:off x="6787242" y="306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50" name="Straight Connector 149"/>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51" name="Straight Connector 150"/>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16</xdr:row>
      <xdr:rowOff>2</xdr:rowOff>
    </xdr:from>
    <xdr:to>
      <xdr:col>11</xdr:col>
      <xdr:colOff>40820</xdr:colOff>
      <xdr:row>17</xdr:row>
      <xdr:rowOff>176893</xdr:rowOff>
    </xdr:to>
    <xdr:cxnSp macro="">
      <xdr:nvCxnSpPr>
        <xdr:cNvPr id="152" name="Straight Connector 151"/>
        <xdr:cNvCxnSpPr/>
      </xdr:nvCxnSpPr>
      <xdr:spPr>
        <a:xfrm flipV="1">
          <a:off x="6164035" y="3048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53" name="Straight Connector 152"/>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54" name="Straight Connector 153"/>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55" name="Straight Connector 154"/>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56" name="Straight Connector 155"/>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31750</xdr:colOff>
      <xdr:row>18</xdr:row>
      <xdr:rowOff>3</xdr:rowOff>
    </xdr:from>
    <xdr:to>
      <xdr:col>11</xdr:col>
      <xdr:colOff>40820</xdr:colOff>
      <xdr:row>20</xdr:row>
      <xdr:rowOff>15875</xdr:rowOff>
    </xdr:to>
    <xdr:cxnSp macro="">
      <xdr:nvCxnSpPr>
        <xdr:cNvPr id="157" name="Straight Connector 156"/>
        <xdr:cNvCxnSpPr/>
      </xdr:nvCxnSpPr>
      <xdr:spPr>
        <a:xfrm flipV="1">
          <a:off x="6127750" y="3429003"/>
          <a:ext cx="618670" cy="39687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58" name="Straight Connector 157"/>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59" name="Straight Connector 158"/>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60" name="Straight Connector 159"/>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61" name="Straight Connector 160"/>
        <xdr:cNvCxnSpPr/>
      </xdr:nvCxnSpPr>
      <xdr:spPr>
        <a:xfrm flipV="1">
          <a:off x="8561613" y="1183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62" name="Straight Connector 161"/>
        <xdr:cNvCxnSpPr/>
      </xdr:nvCxnSpPr>
      <xdr:spPr>
        <a:xfrm flipV="1">
          <a:off x="6164035" y="1143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63" name="Straight Connector 162"/>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64" name="Straight Connector 16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65" name="Straight Connector 16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66" name="Straight Connector 16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67" name="Straight Connector 166"/>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68" name="Straight Connector 16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169" name="Straight Connector 168"/>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70" name="Straight Connector 169"/>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71" name="Straight Connector 170"/>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172" name="Straight Connector 171"/>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73" name="Straight Connector 172"/>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74" name="Straight Connector 173"/>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75" name="Straight Connector 174"/>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76" name="Straight Connector 175"/>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77" name="Straight Connector 176"/>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78" name="Straight Connector 177"/>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179" name="Straight Connector 178"/>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80" name="Straight Connector 179"/>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81" name="Straight Connector 180"/>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182" name="Straight Connector 181"/>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83" name="Straight Connector 182"/>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28</xdr:row>
      <xdr:rowOff>13609</xdr:rowOff>
    </xdr:from>
    <xdr:to>
      <xdr:col>12</xdr:col>
      <xdr:colOff>27214</xdr:colOff>
      <xdr:row>30</xdr:row>
      <xdr:rowOff>0</xdr:rowOff>
    </xdr:to>
    <xdr:cxnSp macro="">
      <xdr:nvCxnSpPr>
        <xdr:cNvPr id="184" name="Straight Connector 183"/>
        <xdr:cNvCxnSpPr/>
      </xdr:nvCxnSpPr>
      <xdr:spPr>
        <a:xfrm flipV="1">
          <a:off x="6719207" y="5347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85" name="Straight Connector 184"/>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86" name="Straight Connector 185"/>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2</xdr:rowOff>
    </xdr:from>
    <xdr:to>
      <xdr:col>11</xdr:col>
      <xdr:colOff>40820</xdr:colOff>
      <xdr:row>30</xdr:row>
      <xdr:rowOff>0</xdr:rowOff>
    </xdr:to>
    <xdr:cxnSp macro="">
      <xdr:nvCxnSpPr>
        <xdr:cNvPr id="187" name="Straight Connector 186"/>
        <xdr:cNvCxnSpPr/>
      </xdr:nvCxnSpPr>
      <xdr:spPr>
        <a:xfrm flipV="1">
          <a:off x="6109607" y="5334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88" name="Straight Connector 187"/>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89" name="Straight Connector 188"/>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90" name="Straight Connector 189"/>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91" name="Straight Connector 190"/>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92" name="Straight Connector 191"/>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193" name="Straight Connector 192"/>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194" name="Straight Connector 193"/>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195" name="Straight Connector 194"/>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196" name="Straight Connector 195"/>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197" name="Straight Connector 196"/>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198" name="Straight Connector 197"/>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199" name="Straight Connector 198"/>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200" name="Straight Connector 199"/>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201" name="Straight Connector 200"/>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202" name="Straight Connector 201"/>
        <xdr:cNvCxnSpPr/>
      </xdr:nvCxnSpPr>
      <xdr:spPr>
        <a:xfrm flipV="1">
          <a:off x="6164035" y="2286002"/>
          <a:ext cx="582385"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03" name="Straight Connector 202"/>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44</xdr:row>
      <xdr:rowOff>13608</xdr:rowOff>
    </xdr:from>
    <xdr:to>
      <xdr:col>12</xdr:col>
      <xdr:colOff>27214</xdr:colOff>
      <xdr:row>45</xdr:row>
      <xdr:rowOff>190502</xdr:rowOff>
    </xdr:to>
    <xdr:cxnSp macro="">
      <xdr:nvCxnSpPr>
        <xdr:cNvPr id="204" name="Straight Connector 203"/>
        <xdr:cNvCxnSpPr/>
      </xdr:nvCxnSpPr>
      <xdr:spPr>
        <a:xfrm flipV="1">
          <a:off x="6787242" y="839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44</xdr:row>
      <xdr:rowOff>17011</xdr:rowOff>
    </xdr:from>
    <xdr:to>
      <xdr:col>12</xdr:col>
      <xdr:colOff>916780</xdr:colOff>
      <xdr:row>45</xdr:row>
      <xdr:rowOff>192201</xdr:rowOff>
    </xdr:to>
    <xdr:cxnSp macro="">
      <xdr:nvCxnSpPr>
        <xdr:cNvPr id="205" name="Straight Connector 204"/>
        <xdr:cNvCxnSpPr/>
      </xdr:nvCxnSpPr>
      <xdr:spPr>
        <a:xfrm flipV="1">
          <a:off x="7349218" y="839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44</xdr:row>
      <xdr:rowOff>40821</xdr:rowOff>
    </xdr:from>
    <xdr:to>
      <xdr:col>14</xdr:col>
      <xdr:colOff>911678</xdr:colOff>
      <xdr:row>45</xdr:row>
      <xdr:rowOff>149677</xdr:rowOff>
    </xdr:to>
    <xdr:cxnSp macro="">
      <xdr:nvCxnSpPr>
        <xdr:cNvPr id="206" name="Straight Connector 205"/>
        <xdr:cNvCxnSpPr/>
      </xdr:nvCxnSpPr>
      <xdr:spPr>
        <a:xfrm flipV="1">
          <a:off x="8561613" y="842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44</xdr:row>
      <xdr:rowOff>27215</xdr:rowOff>
    </xdr:from>
    <xdr:to>
      <xdr:col>10</xdr:col>
      <xdr:colOff>911678</xdr:colOff>
      <xdr:row>46</xdr:row>
      <xdr:rowOff>0</xdr:rowOff>
    </xdr:to>
    <xdr:cxnSp macro="">
      <xdr:nvCxnSpPr>
        <xdr:cNvPr id="207" name="Straight Connector 206"/>
        <xdr:cNvCxnSpPr/>
      </xdr:nvCxnSpPr>
      <xdr:spPr>
        <a:xfrm flipV="1">
          <a:off x="6096000" y="8409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44</xdr:row>
      <xdr:rowOff>27216</xdr:rowOff>
    </xdr:from>
    <xdr:to>
      <xdr:col>16</xdr:col>
      <xdr:colOff>27215</xdr:colOff>
      <xdr:row>45</xdr:row>
      <xdr:rowOff>176893</xdr:rowOff>
    </xdr:to>
    <xdr:cxnSp macro="">
      <xdr:nvCxnSpPr>
        <xdr:cNvPr id="208" name="Straight Connector 207"/>
        <xdr:cNvCxnSpPr/>
      </xdr:nvCxnSpPr>
      <xdr:spPr>
        <a:xfrm flipV="1">
          <a:off x="9198428" y="840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209" name="Straight Connector 208"/>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210" name="Straight Connector 209"/>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47</xdr:row>
      <xdr:rowOff>27215</xdr:rowOff>
    </xdr:from>
    <xdr:to>
      <xdr:col>10</xdr:col>
      <xdr:colOff>911678</xdr:colOff>
      <xdr:row>49</xdr:row>
      <xdr:rowOff>0</xdr:rowOff>
    </xdr:to>
    <xdr:cxnSp macro="">
      <xdr:nvCxnSpPr>
        <xdr:cNvPr id="211" name="Straight Connector 210"/>
        <xdr:cNvCxnSpPr/>
      </xdr:nvCxnSpPr>
      <xdr:spPr>
        <a:xfrm flipV="1">
          <a:off x="6096000" y="89807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47</xdr:row>
      <xdr:rowOff>27216</xdr:rowOff>
    </xdr:from>
    <xdr:to>
      <xdr:col>16</xdr:col>
      <xdr:colOff>27215</xdr:colOff>
      <xdr:row>48</xdr:row>
      <xdr:rowOff>176893</xdr:rowOff>
    </xdr:to>
    <xdr:cxnSp macro="">
      <xdr:nvCxnSpPr>
        <xdr:cNvPr id="212" name="Straight Connector 211"/>
        <xdr:cNvCxnSpPr/>
      </xdr:nvCxnSpPr>
      <xdr:spPr>
        <a:xfrm flipV="1">
          <a:off x="9198428" y="8980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213" name="Straight Connector 212"/>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214" name="Straight Connector 213"/>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215" name="Straight Connector 214"/>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216" name="Straight Connector 215"/>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217" name="Straight Connector 216"/>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218" name="Straight Connector 217"/>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219" name="Straight Connector 218"/>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220" name="Straight Connector 219"/>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221" name="Straight Connector 220"/>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222" name="Straight Connector 221"/>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223" name="Straight Connector 222"/>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224" name="Straight Connector 223"/>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225" name="Straight Connector 224"/>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226" name="Straight Connector 225"/>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227" name="Straight Connector 226"/>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228" name="Straight Connector 227"/>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229" name="Straight Connector 228"/>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230" name="Straight Connector 229"/>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231" name="Straight Connector 230"/>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232" name="Straight Connector 231"/>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27216</xdr:rowOff>
    </xdr:from>
    <xdr:to>
      <xdr:col>10</xdr:col>
      <xdr:colOff>898071</xdr:colOff>
      <xdr:row>34</xdr:row>
      <xdr:rowOff>0</xdr:rowOff>
    </xdr:to>
    <xdr:cxnSp macro="">
      <xdr:nvCxnSpPr>
        <xdr:cNvPr id="233" name="Straight Connector 232"/>
        <xdr:cNvCxnSpPr/>
      </xdr:nvCxnSpPr>
      <xdr:spPr>
        <a:xfrm flipV="1">
          <a:off x="6096000" y="6123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234" name="Straight Connector 233"/>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42</xdr:row>
      <xdr:rowOff>13608</xdr:rowOff>
    </xdr:from>
    <xdr:to>
      <xdr:col>12</xdr:col>
      <xdr:colOff>27214</xdr:colOff>
      <xdr:row>43</xdr:row>
      <xdr:rowOff>190502</xdr:rowOff>
    </xdr:to>
    <xdr:cxnSp macro="">
      <xdr:nvCxnSpPr>
        <xdr:cNvPr id="235" name="Straight Connector 234"/>
        <xdr:cNvCxnSpPr/>
      </xdr:nvCxnSpPr>
      <xdr:spPr>
        <a:xfrm flipV="1">
          <a:off x="6787242" y="801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42</xdr:row>
      <xdr:rowOff>17011</xdr:rowOff>
    </xdr:from>
    <xdr:to>
      <xdr:col>12</xdr:col>
      <xdr:colOff>916780</xdr:colOff>
      <xdr:row>43</xdr:row>
      <xdr:rowOff>192201</xdr:rowOff>
    </xdr:to>
    <xdr:cxnSp macro="">
      <xdr:nvCxnSpPr>
        <xdr:cNvPr id="236" name="Straight Connector 235"/>
        <xdr:cNvCxnSpPr/>
      </xdr:nvCxnSpPr>
      <xdr:spPr>
        <a:xfrm flipV="1">
          <a:off x="7349218" y="801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42</xdr:row>
      <xdr:rowOff>40821</xdr:rowOff>
    </xdr:from>
    <xdr:to>
      <xdr:col>14</xdr:col>
      <xdr:colOff>911678</xdr:colOff>
      <xdr:row>43</xdr:row>
      <xdr:rowOff>149677</xdr:rowOff>
    </xdr:to>
    <xdr:cxnSp macro="">
      <xdr:nvCxnSpPr>
        <xdr:cNvPr id="237" name="Straight Connector 236"/>
        <xdr:cNvCxnSpPr/>
      </xdr:nvCxnSpPr>
      <xdr:spPr>
        <a:xfrm flipV="1">
          <a:off x="8561613" y="804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42</xdr:row>
      <xdr:rowOff>27215</xdr:rowOff>
    </xdr:from>
    <xdr:to>
      <xdr:col>10</xdr:col>
      <xdr:colOff>911678</xdr:colOff>
      <xdr:row>44</xdr:row>
      <xdr:rowOff>0</xdr:rowOff>
    </xdr:to>
    <xdr:cxnSp macro="">
      <xdr:nvCxnSpPr>
        <xdr:cNvPr id="238" name="Straight Connector 237"/>
        <xdr:cNvCxnSpPr/>
      </xdr:nvCxnSpPr>
      <xdr:spPr>
        <a:xfrm flipV="1">
          <a:off x="6096000" y="8028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42</xdr:row>
      <xdr:rowOff>27216</xdr:rowOff>
    </xdr:from>
    <xdr:to>
      <xdr:col>16</xdr:col>
      <xdr:colOff>27215</xdr:colOff>
      <xdr:row>43</xdr:row>
      <xdr:rowOff>176893</xdr:rowOff>
    </xdr:to>
    <xdr:cxnSp macro="">
      <xdr:nvCxnSpPr>
        <xdr:cNvPr id="239" name="Straight Connector 238"/>
        <xdr:cNvCxnSpPr/>
      </xdr:nvCxnSpPr>
      <xdr:spPr>
        <a:xfrm flipV="1">
          <a:off x="9198428" y="802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13607</xdr:colOff>
      <xdr:row>70</xdr:row>
      <xdr:rowOff>13608</xdr:rowOff>
    </xdr:from>
    <xdr:to>
      <xdr:col>11</xdr:col>
      <xdr:colOff>898071</xdr:colOff>
      <xdr:row>71</xdr:row>
      <xdr:rowOff>190502</xdr:rowOff>
    </xdr:to>
    <xdr:cxnSp macro="">
      <xdr:nvCxnSpPr>
        <xdr:cNvPr id="2" name="Straight Connector 1"/>
        <xdr:cNvCxnSpPr/>
      </xdr:nvCxnSpPr>
      <xdr:spPr>
        <a:xfrm flipV="1">
          <a:off x="6719207" y="13348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3" name="Straight Connector 2"/>
        <xdr:cNvCxnSpPr/>
      </xdr:nvCxnSpPr>
      <xdr:spPr>
        <a:xfrm flipV="1">
          <a:off x="7315200" y="13375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4" name="Straight Connector 3"/>
        <xdr:cNvCxnSpPr/>
      </xdr:nvCxnSpPr>
      <xdr:spPr>
        <a:xfrm flipV="1">
          <a:off x="8561614" y="13375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70</xdr:row>
      <xdr:rowOff>27214</xdr:rowOff>
    </xdr:from>
    <xdr:to>
      <xdr:col>16</xdr:col>
      <xdr:colOff>0</xdr:colOff>
      <xdr:row>72</xdr:row>
      <xdr:rowOff>0</xdr:rowOff>
    </xdr:to>
    <xdr:cxnSp macro="">
      <xdr:nvCxnSpPr>
        <xdr:cNvPr id="5" name="Straight Connector 4"/>
        <xdr:cNvCxnSpPr/>
      </xdr:nvCxnSpPr>
      <xdr:spPr>
        <a:xfrm flipV="1">
          <a:off x="9144001" y="13362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70</xdr:row>
      <xdr:rowOff>1</xdr:rowOff>
    </xdr:from>
    <xdr:to>
      <xdr:col>11</xdr:col>
      <xdr:colOff>13607</xdr:colOff>
      <xdr:row>71</xdr:row>
      <xdr:rowOff>176895</xdr:rowOff>
    </xdr:to>
    <xdr:cxnSp macro="">
      <xdr:nvCxnSpPr>
        <xdr:cNvPr id="6" name="Straight Connector 5"/>
        <xdr:cNvCxnSpPr/>
      </xdr:nvCxnSpPr>
      <xdr:spPr>
        <a:xfrm flipV="1">
          <a:off x="6150429" y="13335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74</xdr:row>
      <xdr:rowOff>13608</xdr:rowOff>
    </xdr:from>
    <xdr:to>
      <xdr:col>11</xdr:col>
      <xdr:colOff>898071</xdr:colOff>
      <xdr:row>75</xdr:row>
      <xdr:rowOff>190502</xdr:rowOff>
    </xdr:to>
    <xdr:cxnSp macro="">
      <xdr:nvCxnSpPr>
        <xdr:cNvPr id="7" name="Straight Connector 6"/>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8" name="Straight Connector 7"/>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9" name="Straight Connector 8"/>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74</xdr:row>
      <xdr:rowOff>13608</xdr:rowOff>
    </xdr:from>
    <xdr:to>
      <xdr:col>10</xdr:col>
      <xdr:colOff>884464</xdr:colOff>
      <xdr:row>76</xdr:row>
      <xdr:rowOff>0</xdr:rowOff>
    </xdr:to>
    <xdr:cxnSp macro="">
      <xdr:nvCxnSpPr>
        <xdr:cNvPr id="10" name="Straight Connector 9"/>
        <xdr:cNvCxnSpPr/>
      </xdr:nvCxnSpPr>
      <xdr:spPr>
        <a:xfrm flipV="1">
          <a:off x="6097361" y="14110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74</xdr:row>
      <xdr:rowOff>27217</xdr:rowOff>
    </xdr:from>
    <xdr:to>
      <xdr:col>15</xdr:col>
      <xdr:colOff>938894</xdr:colOff>
      <xdr:row>75</xdr:row>
      <xdr:rowOff>163286</xdr:rowOff>
    </xdr:to>
    <xdr:cxnSp macro="">
      <xdr:nvCxnSpPr>
        <xdr:cNvPr id="11" name="Straight Connector 10"/>
        <xdr:cNvCxnSpPr/>
      </xdr:nvCxnSpPr>
      <xdr:spPr>
        <a:xfrm flipV="1">
          <a:off x="9225643" y="14124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72</xdr:row>
      <xdr:rowOff>13608</xdr:rowOff>
    </xdr:from>
    <xdr:to>
      <xdr:col>11</xdr:col>
      <xdr:colOff>898071</xdr:colOff>
      <xdr:row>73</xdr:row>
      <xdr:rowOff>190502</xdr:rowOff>
    </xdr:to>
    <xdr:cxnSp macro="">
      <xdr:nvCxnSpPr>
        <xdr:cNvPr id="12" name="Straight Connector 11"/>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13" name="Straight Connector 12"/>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14" name="Straight Connector 13"/>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72</xdr:row>
      <xdr:rowOff>13608</xdr:rowOff>
    </xdr:from>
    <xdr:to>
      <xdr:col>10</xdr:col>
      <xdr:colOff>884464</xdr:colOff>
      <xdr:row>74</xdr:row>
      <xdr:rowOff>0</xdr:rowOff>
    </xdr:to>
    <xdr:cxnSp macro="">
      <xdr:nvCxnSpPr>
        <xdr:cNvPr id="15" name="Straight Connector 14"/>
        <xdr:cNvCxnSpPr/>
      </xdr:nvCxnSpPr>
      <xdr:spPr>
        <a:xfrm flipV="1">
          <a:off x="6097361" y="13729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72</xdr:row>
      <xdr:rowOff>27217</xdr:rowOff>
    </xdr:from>
    <xdr:to>
      <xdr:col>15</xdr:col>
      <xdr:colOff>938894</xdr:colOff>
      <xdr:row>73</xdr:row>
      <xdr:rowOff>163286</xdr:rowOff>
    </xdr:to>
    <xdr:cxnSp macro="">
      <xdr:nvCxnSpPr>
        <xdr:cNvPr id="16" name="Straight Connector 15"/>
        <xdr:cNvCxnSpPr/>
      </xdr:nvCxnSpPr>
      <xdr:spPr>
        <a:xfrm flipV="1">
          <a:off x="9225643" y="13743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17" name="Straight Connector 16"/>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18" name="Straight Connector 17"/>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19" name="Straight Connector 18"/>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20" name="Straight Connector 19"/>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21" name="Straight Connector 20"/>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22" name="Straight Connector 21"/>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23" name="Straight Connector 22"/>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24" name="Straight Connector 23"/>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25" name="Straight Connector 24"/>
        <xdr:cNvCxnSpPr/>
      </xdr:nvCxnSpPr>
      <xdr:spPr>
        <a:xfrm flipV="1">
          <a:off x="6787242" y="1677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26" name="Straight Connector 25"/>
        <xdr:cNvCxnSpPr/>
      </xdr:nvCxnSpPr>
      <xdr:spPr>
        <a:xfrm flipV="1">
          <a:off x="6109607" y="1677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27" name="Straight Connector 26"/>
        <xdr:cNvCxnSpPr/>
      </xdr:nvCxnSpPr>
      <xdr:spPr>
        <a:xfrm flipV="1">
          <a:off x="73492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28" name="Straight Connector 27"/>
        <xdr:cNvCxnSpPr/>
      </xdr:nvCxnSpPr>
      <xdr:spPr>
        <a:xfrm flipV="1">
          <a:off x="9171214" y="1678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29" name="Straight Connector 28"/>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30" name="Straight Connector 29"/>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31" name="Straight Connector 30"/>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32" name="Straight Connector 31"/>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33" name="Straight Connector 32"/>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4" name="Straight Connector 33"/>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5" name="Straight Connector 34"/>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36" name="Straight Connector 35"/>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37" name="Straight Connector 36"/>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38" name="Straight Connector 37"/>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9" name="Straight Connector 38"/>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94</xdr:row>
      <xdr:rowOff>3</xdr:rowOff>
    </xdr:from>
    <xdr:to>
      <xdr:col>15</xdr:col>
      <xdr:colOff>40822</xdr:colOff>
      <xdr:row>95</xdr:row>
      <xdr:rowOff>149679</xdr:rowOff>
    </xdr:to>
    <xdr:cxnSp macro="">
      <xdr:nvCxnSpPr>
        <xdr:cNvPr id="40" name="Straight Connector 39"/>
        <xdr:cNvCxnSpPr/>
      </xdr:nvCxnSpPr>
      <xdr:spPr>
        <a:xfrm flipV="1">
          <a:off x="8571820" y="17907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41" name="Straight Connector 40"/>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42" name="Straight Connector 41"/>
        <xdr:cNvCxnSpPr/>
      </xdr:nvCxnSpPr>
      <xdr:spPr>
        <a:xfrm flipV="1">
          <a:off x="6787242" y="1849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43" name="Straight Connector 42"/>
        <xdr:cNvCxnSpPr/>
      </xdr:nvCxnSpPr>
      <xdr:spPr>
        <a:xfrm flipV="1">
          <a:off x="6109607" y="1849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44" name="Straight Connector 43"/>
        <xdr:cNvCxnSpPr/>
      </xdr:nvCxnSpPr>
      <xdr:spPr>
        <a:xfrm flipV="1">
          <a:off x="7349218" y="1849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45" name="Straight Connector 44"/>
        <xdr:cNvCxnSpPr/>
      </xdr:nvCxnSpPr>
      <xdr:spPr>
        <a:xfrm flipV="1">
          <a:off x="9171214" y="1849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46" name="Straight Connector 45"/>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47" name="Straight Connector 46"/>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48" name="Straight Connector 47"/>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49" name="Straight Connector 48"/>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50" name="Straight Connector 49"/>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51" name="Straight Connector 50"/>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52" name="Straight Connector 51"/>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101</xdr:row>
      <xdr:rowOff>3</xdr:rowOff>
    </xdr:from>
    <xdr:to>
      <xdr:col>15</xdr:col>
      <xdr:colOff>40822</xdr:colOff>
      <xdr:row>102</xdr:row>
      <xdr:rowOff>149679</xdr:rowOff>
    </xdr:to>
    <xdr:cxnSp macro="">
      <xdr:nvCxnSpPr>
        <xdr:cNvPr id="53" name="Straight Connector 52"/>
        <xdr:cNvCxnSpPr/>
      </xdr:nvCxnSpPr>
      <xdr:spPr>
        <a:xfrm flipV="1">
          <a:off x="8571820" y="19240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54" name="Straight Connector 53"/>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55" name="Straight Connector 54"/>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56" name="Straight Connector 55"/>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57" name="Straight Connector 56"/>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103</xdr:row>
      <xdr:rowOff>3</xdr:rowOff>
    </xdr:from>
    <xdr:to>
      <xdr:col>15</xdr:col>
      <xdr:colOff>40822</xdr:colOff>
      <xdr:row>104</xdr:row>
      <xdr:rowOff>149679</xdr:rowOff>
    </xdr:to>
    <xdr:cxnSp macro="">
      <xdr:nvCxnSpPr>
        <xdr:cNvPr id="58" name="Straight Connector 57"/>
        <xdr:cNvCxnSpPr/>
      </xdr:nvCxnSpPr>
      <xdr:spPr>
        <a:xfrm flipV="1">
          <a:off x="8571820" y="19621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59" name="Straight Connector 58"/>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60" name="Straight Connector 59"/>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61" name="Straight Connector 60"/>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62" name="Straight Connector 61"/>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79</xdr:row>
      <xdr:rowOff>40825</xdr:rowOff>
    </xdr:from>
    <xdr:to>
      <xdr:col>15</xdr:col>
      <xdr:colOff>54429</xdr:colOff>
      <xdr:row>80</xdr:row>
      <xdr:rowOff>190501</xdr:rowOff>
    </xdr:to>
    <xdr:cxnSp macro="">
      <xdr:nvCxnSpPr>
        <xdr:cNvPr id="63" name="Straight Connector 62"/>
        <xdr:cNvCxnSpPr/>
      </xdr:nvCxnSpPr>
      <xdr:spPr>
        <a:xfrm flipV="1">
          <a:off x="8585427" y="15090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64" name="Straight Connector 63"/>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65" name="Straight Connector 64"/>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66" name="Straight Connector 65"/>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67" name="Straight Connector 66"/>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68" name="Straight Connector 67"/>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9" name="Straight Connector 68"/>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70" name="Straight Connector 69"/>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71" name="Straight Connector 70"/>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72" name="Straight Connector 71"/>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99</xdr:row>
      <xdr:rowOff>17010</xdr:rowOff>
    </xdr:from>
    <xdr:to>
      <xdr:col>14</xdr:col>
      <xdr:colOff>903173</xdr:colOff>
      <xdr:row>100</xdr:row>
      <xdr:rowOff>192200</xdr:rowOff>
    </xdr:to>
    <xdr:cxnSp macro="">
      <xdr:nvCxnSpPr>
        <xdr:cNvPr id="73" name="Straight Connector 72"/>
        <xdr:cNvCxnSpPr/>
      </xdr:nvCxnSpPr>
      <xdr:spPr>
        <a:xfrm flipV="1">
          <a:off x="8554811" y="18876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92</xdr:row>
      <xdr:rowOff>3404</xdr:rowOff>
    </xdr:from>
    <xdr:to>
      <xdr:col>15</xdr:col>
      <xdr:colOff>5101</xdr:colOff>
      <xdr:row>93</xdr:row>
      <xdr:rowOff>178593</xdr:rowOff>
    </xdr:to>
    <xdr:cxnSp macro="">
      <xdr:nvCxnSpPr>
        <xdr:cNvPr id="74" name="Straight Connector 73"/>
        <xdr:cNvCxnSpPr/>
      </xdr:nvCxnSpPr>
      <xdr:spPr>
        <a:xfrm flipV="1">
          <a:off x="8582025" y="17529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90</xdr:row>
      <xdr:rowOff>17011</xdr:rowOff>
    </xdr:from>
    <xdr:to>
      <xdr:col>15</xdr:col>
      <xdr:colOff>5101</xdr:colOff>
      <xdr:row>91</xdr:row>
      <xdr:rowOff>192201</xdr:rowOff>
    </xdr:to>
    <xdr:cxnSp macro="">
      <xdr:nvCxnSpPr>
        <xdr:cNvPr id="75" name="Straight Connector 74"/>
        <xdr:cNvCxnSpPr/>
      </xdr:nvCxnSpPr>
      <xdr:spPr>
        <a:xfrm flipV="1">
          <a:off x="8582025" y="17162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88</xdr:row>
      <xdr:rowOff>17011</xdr:rowOff>
    </xdr:from>
    <xdr:to>
      <xdr:col>14</xdr:col>
      <xdr:colOff>916780</xdr:colOff>
      <xdr:row>89</xdr:row>
      <xdr:rowOff>192201</xdr:rowOff>
    </xdr:to>
    <xdr:cxnSp macro="">
      <xdr:nvCxnSpPr>
        <xdr:cNvPr id="76" name="Straight Connector 75"/>
        <xdr:cNvCxnSpPr/>
      </xdr:nvCxnSpPr>
      <xdr:spPr>
        <a:xfrm flipV="1">
          <a:off x="85684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85</xdr:row>
      <xdr:rowOff>17011</xdr:rowOff>
    </xdr:from>
    <xdr:to>
      <xdr:col>15</xdr:col>
      <xdr:colOff>32315</xdr:colOff>
      <xdr:row>86</xdr:row>
      <xdr:rowOff>192201</xdr:rowOff>
    </xdr:to>
    <xdr:cxnSp macro="">
      <xdr:nvCxnSpPr>
        <xdr:cNvPr id="77" name="Straight Connector 76"/>
        <xdr:cNvCxnSpPr/>
      </xdr:nvCxnSpPr>
      <xdr:spPr>
        <a:xfrm flipV="1">
          <a:off x="8609239" y="16209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83</xdr:row>
      <xdr:rowOff>17011</xdr:rowOff>
    </xdr:from>
    <xdr:to>
      <xdr:col>15</xdr:col>
      <xdr:colOff>32315</xdr:colOff>
      <xdr:row>84</xdr:row>
      <xdr:rowOff>192201</xdr:rowOff>
    </xdr:to>
    <xdr:cxnSp macro="">
      <xdr:nvCxnSpPr>
        <xdr:cNvPr id="78" name="Straight Connector 77"/>
        <xdr:cNvCxnSpPr/>
      </xdr:nvCxnSpPr>
      <xdr:spPr>
        <a:xfrm flipV="1">
          <a:off x="8609239" y="15828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81</xdr:row>
      <xdr:rowOff>3403</xdr:rowOff>
    </xdr:from>
    <xdr:to>
      <xdr:col>15</xdr:col>
      <xdr:colOff>18708</xdr:colOff>
      <xdr:row>82</xdr:row>
      <xdr:rowOff>178593</xdr:rowOff>
    </xdr:to>
    <xdr:cxnSp macro="">
      <xdr:nvCxnSpPr>
        <xdr:cNvPr id="79" name="Straight Connector 78"/>
        <xdr:cNvCxnSpPr/>
      </xdr:nvCxnSpPr>
      <xdr:spPr>
        <a:xfrm flipV="1">
          <a:off x="8595632" y="15433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52</xdr:row>
      <xdr:rowOff>27214</xdr:rowOff>
    </xdr:from>
    <xdr:to>
      <xdr:col>15</xdr:col>
      <xdr:colOff>898072</xdr:colOff>
      <xdr:row>53</xdr:row>
      <xdr:rowOff>149678</xdr:rowOff>
    </xdr:to>
    <xdr:cxnSp macro="">
      <xdr:nvCxnSpPr>
        <xdr:cNvPr id="80" name="Straight Connector 79"/>
        <xdr:cNvCxnSpPr/>
      </xdr:nvCxnSpPr>
      <xdr:spPr>
        <a:xfrm flipV="1">
          <a:off x="9171214" y="9933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81" name="Straight Connector 80"/>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82" name="Straight Connector 81"/>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83" name="Straight Connector 82"/>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84" name="Straight Connector 83"/>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62</xdr:row>
      <xdr:rowOff>27214</xdr:rowOff>
    </xdr:from>
    <xdr:to>
      <xdr:col>15</xdr:col>
      <xdr:colOff>898072</xdr:colOff>
      <xdr:row>63</xdr:row>
      <xdr:rowOff>149678</xdr:rowOff>
    </xdr:to>
    <xdr:cxnSp macro="">
      <xdr:nvCxnSpPr>
        <xdr:cNvPr id="85" name="Straight Connector 84"/>
        <xdr:cNvCxnSpPr/>
      </xdr:nvCxnSpPr>
      <xdr:spPr>
        <a:xfrm flipV="1">
          <a:off x="9171214" y="11838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62</xdr:row>
      <xdr:rowOff>13607</xdr:rowOff>
    </xdr:from>
    <xdr:to>
      <xdr:col>10</xdr:col>
      <xdr:colOff>911677</xdr:colOff>
      <xdr:row>64</xdr:row>
      <xdr:rowOff>0</xdr:rowOff>
    </xdr:to>
    <xdr:cxnSp macro="">
      <xdr:nvCxnSpPr>
        <xdr:cNvPr id="86" name="Straight Connector 85"/>
        <xdr:cNvCxnSpPr/>
      </xdr:nvCxnSpPr>
      <xdr:spPr>
        <a:xfrm flipV="1">
          <a:off x="6109607" y="11824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62</xdr:row>
      <xdr:rowOff>13608</xdr:rowOff>
    </xdr:from>
    <xdr:to>
      <xdr:col>12</xdr:col>
      <xdr:colOff>27214</xdr:colOff>
      <xdr:row>63</xdr:row>
      <xdr:rowOff>190502</xdr:rowOff>
    </xdr:to>
    <xdr:cxnSp macro="">
      <xdr:nvCxnSpPr>
        <xdr:cNvPr id="87" name="Straight Connector 86"/>
        <xdr:cNvCxnSpPr/>
      </xdr:nvCxnSpPr>
      <xdr:spPr>
        <a:xfrm flipV="1">
          <a:off x="6787242" y="1182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62</xdr:row>
      <xdr:rowOff>17011</xdr:rowOff>
    </xdr:from>
    <xdr:to>
      <xdr:col>12</xdr:col>
      <xdr:colOff>916780</xdr:colOff>
      <xdr:row>63</xdr:row>
      <xdr:rowOff>192201</xdr:rowOff>
    </xdr:to>
    <xdr:cxnSp macro="">
      <xdr:nvCxnSpPr>
        <xdr:cNvPr id="88" name="Straight Connector 87"/>
        <xdr:cNvCxnSpPr/>
      </xdr:nvCxnSpPr>
      <xdr:spPr>
        <a:xfrm flipV="1">
          <a:off x="7349218" y="1182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62</xdr:row>
      <xdr:rowOff>54428</xdr:rowOff>
    </xdr:from>
    <xdr:to>
      <xdr:col>14</xdr:col>
      <xdr:colOff>884463</xdr:colOff>
      <xdr:row>63</xdr:row>
      <xdr:rowOff>163285</xdr:rowOff>
    </xdr:to>
    <xdr:cxnSp macro="">
      <xdr:nvCxnSpPr>
        <xdr:cNvPr id="89" name="Straight Connector 88"/>
        <xdr:cNvCxnSpPr/>
      </xdr:nvCxnSpPr>
      <xdr:spPr>
        <a:xfrm flipV="1">
          <a:off x="8537119" y="11865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77</xdr:row>
      <xdr:rowOff>13610</xdr:rowOff>
    </xdr:from>
    <xdr:to>
      <xdr:col>15</xdr:col>
      <xdr:colOff>54429</xdr:colOff>
      <xdr:row>78</xdr:row>
      <xdr:rowOff>163286</xdr:rowOff>
    </xdr:to>
    <xdr:cxnSp macro="">
      <xdr:nvCxnSpPr>
        <xdr:cNvPr id="90" name="Straight Connector 89"/>
        <xdr:cNvCxnSpPr/>
      </xdr:nvCxnSpPr>
      <xdr:spPr>
        <a:xfrm flipV="1">
          <a:off x="8585427" y="14682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45</xdr:row>
      <xdr:rowOff>13607</xdr:rowOff>
    </xdr:from>
    <xdr:to>
      <xdr:col>10</xdr:col>
      <xdr:colOff>911677</xdr:colOff>
      <xdr:row>47</xdr:row>
      <xdr:rowOff>0</xdr:rowOff>
    </xdr:to>
    <xdr:cxnSp macro="">
      <xdr:nvCxnSpPr>
        <xdr:cNvPr id="91" name="Straight Connector 90"/>
        <xdr:cNvCxnSpPr/>
      </xdr:nvCxnSpPr>
      <xdr:spPr>
        <a:xfrm flipV="1">
          <a:off x="6109607" y="8586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92" name="Straight Connector 91"/>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93" name="Straight Connector 92"/>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45</xdr:row>
      <xdr:rowOff>54428</xdr:rowOff>
    </xdr:from>
    <xdr:to>
      <xdr:col>14</xdr:col>
      <xdr:colOff>884463</xdr:colOff>
      <xdr:row>46</xdr:row>
      <xdr:rowOff>163285</xdr:rowOff>
    </xdr:to>
    <xdr:cxnSp macro="">
      <xdr:nvCxnSpPr>
        <xdr:cNvPr id="94" name="Straight Connector 93"/>
        <xdr:cNvCxnSpPr/>
      </xdr:nvCxnSpPr>
      <xdr:spPr>
        <a:xfrm flipV="1">
          <a:off x="8537119" y="8626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49</xdr:row>
      <xdr:rowOff>27214</xdr:rowOff>
    </xdr:from>
    <xdr:to>
      <xdr:col>15</xdr:col>
      <xdr:colOff>898072</xdr:colOff>
      <xdr:row>50</xdr:row>
      <xdr:rowOff>149678</xdr:rowOff>
    </xdr:to>
    <xdr:cxnSp macro="">
      <xdr:nvCxnSpPr>
        <xdr:cNvPr id="95" name="Straight Connector 94"/>
        <xdr:cNvCxnSpPr/>
      </xdr:nvCxnSpPr>
      <xdr:spPr>
        <a:xfrm flipV="1">
          <a:off x="9171214" y="9361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49</xdr:row>
      <xdr:rowOff>13607</xdr:rowOff>
    </xdr:from>
    <xdr:to>
      <xdr:col>10</xdr:col>
      <xdr:colOff>911677</xdr:colOff>
      <xdr:row>51</xdr:row>
      <xdr:rowOff>0</xdr:rowOff>
    </xdr:to>
    <xdr:cxnSp macro="">
      <xdr:nvCxnSpPr>
        <xdr:cNvPr id="96" name="Straight Connector 95"/>
        <xdr:cNvCxnSpPr/>
      </xdr:nvCxnSpPr>
      <xdr:spPr>
        <a:xfrm flipV="1">
          <a:off x="6109607" y="9348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49</xdr:row>
      <xdr:rowOff>13608</xdr:rowOff>
    </xdr:from>
    <xdr:to>
      <xdr:col>12</xdr:col>
      <xdr:colOff>27214</xdr:colOff>
      <xdr:row>50</xdr:row>
      <xdr:rowOff>190502</xdr:rowOff>
    </xdr:to>
    <xdr:cxnSp macro="">
      <xdr:nvCxnSpPr>
        <xdr:cNvPr id="97" name="Straight Connector 96"/>
        <xdr:cNvCxnSpPr/>
      </xdr:nvCxnSpPr>
      <xdr:spPr>
        <a:xfrm flipV="1">
          <a:off x="6787242" y="934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49</xdr:row>
      <xdr:rowOff>17011</xdr:rowOff>
    </xdr:from>
    <xdr:to>
      <xdr:col>12</xdr:col>
      <xdr:colOff>916780</xdr:colOff>
      <xdr:row>50</xdr:row>
      <xdr:rowOff>192201</xdr:rowOff>
    </xdr:to>
    <xdr:cxnSp macro="">
      <xdr:nvCxnSpPr>
        <xdr:cNvPr id="98" name="Straight Connector 97"/>
        <xdr:cNvCxnSpPr/>
      </xdr:nvCxnSpPr>
      <xdr:spPr>
        <a:xfrm flipV="1">
          <a:off x="7349218" y="935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49</xdr:row>
      <xdr:rowOff>54428</xdr:rowOff>
    </xdr:from>
    <xdr:to>
      <xdr:col>14</xdr:col>
      <xdr:colOff>884463</xdr:colOff>
      <xdr:row>50</xdr:row>
      <xdr:rowOff>163285</xdr:rowOff>
    </xdr:to>
    <xdr:cxnSp macro="">
      <xdr:nvCxnSpPr>
        <xdr:cNvPr id="99" name="Straight Connector 98"/>
        <xdr:cNvCxnSpPr/>
      </xdr:nvCxnSpPr>
      <xdr:spPr>
        <a:xfrm flipV="1">
          <a:off x="8537119" y="9388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47</xdr:row>
      <xdr:rowOff>27214</xdr:rowOff>
    </xdr:from>
    <xdr:to>
      <xdr:col>15</xdr:col>
      <xdr:colOff>898072</xdr:colOff>
      <xdr:row>48</xdr:row>
      <xdr:rowOff>149678</xdr:rowOff>
    </xdr:to>
    <xdr:cxnSp macro="">
      <xdr:nvCxnSpPr>
        <xdr:cNvPr id="100" name="Straight Connector 99"/>
        <xdr:cNvCxnSpPr/>
      </xdr:nvCxnSpPr>
      <xdr:spPr>
        <a:xfrm flipV="1">
          <a:off x="9171214" y="8980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101" name="Straight Connector 100"/>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102" name="Straight Connector 101"/>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103" name="Straight Connector 102"/>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104" name="Straight Connector 103"/>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108</xdr:row>
      <xdr:rowOff>0</xdr:rowOff>
    </xdr:from>
    <xdr:ext cx="17150072" cy="3743326"/>
    <xdr:pic>
      <xdr:nvPicPr>
        <xdr:cNvPr id="105" name="Picture 104"/>
        <xdr:cNvPicPr>
          <a:picLocks noChangeAspect="1" noChangeArrowheads="1"/>
          <a:extLst/>
        </xdr:cNvPicPr>
      </xdr:nvPicPr>
      <xdr:blipFill>
        <a:blip xmlns:r="http://schemas.openxmlformats.org/officeDocument/2006/relationships" r:embed="rId1"/>
        <a:srcRect/>
        <a:stretch>
          <a:fillRect/>
        </a:stretch>
      </xdr:blipFill>
      <xdr:spPr bwMode="auto">
        <a:xfrm>
          <a:off x="609600" y="20574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124</xdr:row>
      <xdr:rowOff>176894</xdr:rowOff>
    </xdr:from>
    <xdr:ext cx="18008063" cy="3743325"/>
    <xdr:pic>
      <xdr:nvPicPr>
        <xdr:cNvPr id="106" name="Picture 105"/>
        <xdr:cNvPicPr>
          <a:picLocks noChangeAspect="1" noChangeArrowheads="1"/>
          <a:extLst/>
        </xdr:cNvPicPr>
      </xdr:nvPicPr>
      <xdr:blipFill>
        <a:blip xmlns:r="http://schemas.openxmlformats.org/officeDocument/2006/relationships" r:embed="rId2"/>
        <a:srcRect/>
        <a:stretch>
          <a:fillRect/>
        </a:stretch>
      </xdr:blipFill>
      <xdr:spPr bwMode="auto">
        <a:xfrm>
          <a:off x="621846" y="23798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34</xdr:row>
      <xdr:rowOff>13608</xdr:rowOff>
    </xdr:from>
    <xdr:to>
      <xdr:col>12</xdr:col>
      <xdr:colOff>27214</xdr:colOff>
      <xdr:row>35</xdr:row>
      <xdr:rowOff>190502</xdr:rowOff>
    </xdr:to>
    <xdr:cxnSp macro="">
      <xdr:nvCxnSpPr>
        <xdr:cNvPr id="107" name="Straight Connector 106"/>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08" name="Straight Connector 107"/>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34</xdr:row>
      <xdr:rowOff>0</xdr:rowOff>
    </xdr:from>
    <xdr:to>
      <xdr:col>15</xdr:col>
      <xdr:colOff>0</xdr:colOff>
      <xdr:row>35</xdr:row>
      <xdr:rowOff>190501</xdr:rowOff>
    </xdr:to>
    <xdr:cxnSp macro="">
      <xdr:nvCxnSpPr>
        <xdr:cNvPr id="109" name="Straight Connector 108"/>
        <xdr:cNvCxnSpPr/>
      </xdr:nvCxnSpPr>
      <xdr:spPr>
        <a:xfrm flipV="1">
          <a:off x="8533039" y="6477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27215</xdr:rowOff>
    </xdr:from>
    <xdr:to>
      <xdr:col>10</xdr:col>
      <xdr:colOff>911678</xdr:colOff>
      <xdr:row>36</xdr:row>
      <xdr:rowOff>0</xdr:rowOff>
    </xdr:to>
    <xdr:cxnSp macro="">
      <xdr:nvCxnSpPr>
        <xdr:cNvPr id="110" name="Straight Connector 109"/>
        <xdr:cNvCxnSpPr/>
      </xdr:nvCxnSpPr>
      <xdr:spPr>
        <a:xfrm flipV="1">
          <a:off x="6096000" y="6504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34</xdr:row>
      <xdr:rowOff>13607</xdr:rowOff>
    </xdr:from>
    <xdr:to>
      <xdr:col>16</xdr:col>
      <xdr:colOff>0</xdr:colOff>
      <xdr:row>36</xdr:row>
      <xdr:rowOff>0</xdr:rowOff>
    </xdr:to>
    <xdr:cxnSp macro="">
      <xdr:nvCxnSpPr>
        <xdr:cNvPr id="111" name="Straight Connector 110"/>
        <xdr:cNvCxnSpPr/>
      </xdr:nvCxnSpPr>
      <xdr:spPr>
        <a:xfrm flipV="1">
          <a:off x="9171214" y="6490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54</xdr:row>
      <xdr:rowOff>40821</xdr:rowOff>
    </xdr:from>
    <xdr:to>
      <xdr:col>15</xdr:col>
      <xdr:colOff>952500</xdr:colOff>
      <xdr:row>55</xdr:row>
      <xdr:rowOff>163285</xdr:rowOff>
    </xdr:to>
    <xdr:cxnSp macro="">
      <xdr:nvCxnSpPr>
        <xdr:cNvPr id="112" name="Straight Connector 111"/>
        <xdr:cNvCxnSpPr/>
      </xdr:nvCxnSpPr>
      <xdr:spPr>
        <a:xfrm flipV="1">
          <a:off x="9225642" y="10327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13" name="Straight Connector 112"/>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14" name="Straight Connector 113"/>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15" name="Straight Connector 114"/>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16" name="Straight Connector 115"/>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117" name="Straight Connector 116"/>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18" name="Straight Connector 117"/>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19" name="Straight Connector 118"/>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20" name="Straight Connector 119"/>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21" name="Straight Connector 120"/>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22" name="Straight Connector 121"/>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23" name="Straight Connector 122"/>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24" name="Straight Connector 123"/>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25" name="Straight Connector 124"/>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26" name="Straight Connector 125"/>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127" name="Straight Connector 126"/>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128" name="Straight Connector 127"/>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129" name="Straight Connector 128"/>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130" name="Straight Connector 129"/>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131" name="Straight Connector 130"/>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45</xdr:row>
      <xdr:rowOff>27216</xdr:rowOff>
    </xdr:from>
    <xdr:to>
      <xdr:col>16</xdr:col>
      <xdr:colOff>27215</xdr:colOff>
      <xdr:row>46</xdr:row>
      <xdr:rowOff>176893</xdr:rowOff>
    </xdr:to>
    <xdr:cxnSp macro="">
      <xdr:nvCxnSpPr>
        <xdr:cNvPr id="132" name="Straight Connector 131"/>
        <xdr:cNvCxnSpPr/>
      </xdr:nvCxnSpPr>
      <xdr:spPr>
        <a:xfrm flipV="1">
          <a:off x="9198428" y="8599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28</xdr:row>
      <xdr:rowOff>13608</xdr:rowOff>
    </xdr:from>
    <xdr:to>
      <xdr:col>12</xdr:col>
      <xdr:colOff>27214</xdr:colOff>
      <xdr:row>29</xdr:row>
      <xdr:rowOff>190502</xdr:rowOff>
    </xdr:to>
    <xdr:cxnSp macro="">
      <xdr:nvCxnSpPr>
        <xdr:cNvPr id="134" name="Straight Connector 133"/>
        <xdr:cNvCxnSpPr/>
      </xdr:nvCxnSpPr>
      <xdr:spPr>
        <a:xfrm flipV="1">
          <a:off x="6787242" y="534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35" name="Straight Connector 134"/>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36" name="Straight Connector 135"/>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13609</xdr:rowOff>
    </xdr:from>
    <xdr:to>
      <xdr:col>10</xdr:col>
      <xdr:colOff>911678</xdr:colOff>
      <xdr:row>29</xdr:row>
      <xdr:rowOff>190501</xdr:rowOff>
    </xdr:to>
    <xdr:cxnSp macro="">
      <xdr:nvCxnSpPr>
        <xdr:cNvPr id="137" name="Straight Connector 136"/>
        <xdr:cNvCxnSpPr/>
      </xdr:nvCxnSpPr>
      <xdr:spPr>
        <a:xfrm flipV="1">
          <a:off x="6109607" y="5347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38" name="Straight Connector 137"/>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36</xdr:row>
      <xdr:rowOff>13608</xdr:rowOff>
    </xdr:from>
    <xdr:to>
      <xdr:col>12</xdr:col>
      <xdr:colOff>27214</xdr:colOff>
      <xdr:row>37</xdr:row>
      <xdr:rowOff>190500</xdr:rowOff>
    </xdr:to>
    <xdr:cxnSp macro="">
      <xdr:nvCxnSpPr>
        <xdr:cNvPr id="139" name="Straight Connector 138"/>
        <xdr:cNvCxnSpPr/>
      </xdr:nvCxnSpPr>
      <xdr:spPr>
        <a:xfrm flipV="1">
          <a:off x="6732814" y="6871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40" name="Straight Connector 139"/>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35</xdr:row>
      <xdr:rowOff>190500</xdr:rowOff>
    </xdr:from>
    <xdr:to>
      <xdr:col>15</xdr:col>
      <xdr:colOff>27214</xdr:colOff>
      <xdr:row>37</xdr:row>
      <xdr:rowOff>176894</xdr:rowOff>
    </xdr:to>
    <xdr:cxnSp macro="">
      <xdr:nvCxnSpPr>
        <xdr:cNvPr id="141" name="Straight Connector 140"/>
        <xdr:cNvCxnSpPr/>
      </xdr:nvCxnSpPr>
      <xdr:spPr>
        <a:xfrm flipV="1">
          <a:off x="8561614" y="6858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36</xdr:row>
      <xdr:rowOff>0</xdr:rowOff>
    </xdr:from>
    <xdr:to>
      <xdr:col>11</xdr:col>
      <xdr:colOff>13607</xdr:colOff>
      <xdr:row>37</xdr:row>
      <xdr:rowOff>176892</xdr:rowOff>
    </xdr:to>
    <xdr:cxnSp macro="">
      <xdr:nvCxnSpPr>
        <xdr:cNvPr id="142" name="Straight Connector 141"/>
        <xdr:cNvCxnSpPr/>
      </xdr:nvCxnSpPr>
      <xdr:spPr>
        <a:xfrm flipV="1">
          <a:off x="6123215" y="6858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36</xdr:row>
      <xdr:rowOff>0</xdr:rowOff>
    </xdr:from>
    <xdr:to>
      <xdr:col>15</xdr:col>
      <xdr:colOff>952500</xdr:colOff>
      <xdr:row>37</xdr:row>
      <xdr:rowOff>190501</xdr:rowOff>
    </xdr:to>
    <xdr:cxnSp macro="">
      <xdr:nvCxnSpPr>
        <xdr:cNvPr id="143" name="Straight Connector 142"/>
        <xdr:cNvCxnSpPr/>
      </xdr:nvCxnSpPr>
      <xdr:spPr>
        <a:xfrm flipV="1">
          <a:off x="9141279" y="6858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144" name="Straight Connector 143"/>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45" name="Straight Connector 144"/>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146" name="Straight Connector 145"/>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27216</xdr:rowOff>
    </xdr:from>
    <xdr:to>
      <xdr:col>10</xdr:col>
      <xdr:colOff>898071</xdr:colOff>
      <xdr:row>34</xdr:row>
      <xdr:rowOff>0</xdr:rowOff>
    </xdr:to>
    <xdr:cxnSp macro="">
      <xdr:nvCxnSpPr>
        <xdr:cNvPr id="147" name="Straight Connector 146"/>
        <xdr:cNvCxnSpPr/>
      </xdr:nvCxnSpPr>
      <xdr:spPr>
        <a:xfrm flipV="1">
          <a:off x="6096000" y="6123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148" name="Straight Connector 147"/>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16</xdr:row>
      <xdr:rowOff>13608</xdr:rowOff>
    </xdr:from>
    <xdr:to>
      <xdr:col>12</xdr:col>
      <xdr:colOff>27214</xdr:colOff>
      <xdr:row>17</xdr:row>
      <xdr:rowOff>190502</xdr:rowOff>
    </xdr:to>
    <xdr:cxnSp macro="">
      <xdr:nvCxnSpPr>
        <xdr:cNvPr id="149" name="Straight Connector 148"/>
        <xdr:cNvCxnSpPr/>
      </xdr:nvCxnSpPr>
      <xdr:spPr>
        <a:xfrm flipV="1">
          <a:off x="6787242" y="306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50" name="Straight Connector 149"/>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51" name="Straight Connector 150"/>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16</xdr:row>
      <xdr:rowOff>2</xdr:rowOff>
    </xdr:from>
    <xdr:to>
      <xdr:col>11</xdr:col>
      <xdr:colOff>40820</xdr:colOff>
      <xdr:row>17</xdr:row>
      <xdr:rowOff>176893</xdr:rowOff>
    </xdr:to>
    <xdr:cxnSp macro="">
      <xdr:nvCxnSpPr>
        <xdr:cNvPr id="152" name="Straight Connector 151"/>
        <xdr:cNvCxnSpPr/>
      </xdr:nvCxnSpPr>
      <xdr:spPr>
        <a:xfrm flipV="1">
          <a:off x="6164035" y="3048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53" name="Straight Connector 152"/>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54" name="Straight Connector 153"/>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55" name="Straight Connector 154"/>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56" name="Straight Connector 155"/>
        <xdr:cNvCxnSpPr/>
      </xdr:nvCxnSpPr>
      <xdr:spPr>
        <a:xfrm flipV="1">
          <a:off x="8561613" y="1183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57" name="Straight Connector 156"/>
        <xdr:cNvCxnSpPr/>
      </xdr:nvCxnSpPr>
      <xdr:spPr>
        <a:xfrm flipV="1">
          <a:off x="6164035" y="1143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58" name="Straight Connector 157"/>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59" name="Straight Connector 158"/>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60" name="Straight Connector 159"/>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61" name="Straight Connector 160"/>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62" name="Straight Connector 161"/>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63" name="Straight Connector 162"/>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164" name="Straight Connector 163"/>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65" name="Straight Connector 164"/>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66" name="Straight Connector 165"/>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167" name="Straight Connector 166"/>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68" name="Straight Connector 167"/>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69" name="Straight Connector 168"/>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70" name="Straight Connector 169"/>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71" name="Straight Connector 170"/>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72" name="Straight Connector 171"/>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73" name="Straight Connector 172"/>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174" name="Straight Connector 173"/>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75" name="Straight Connector 174"/>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76" name="Straight Connector 175"/>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177" name="Straight Connector 176"/>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78" name="Straight Connector 177"/>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179" name="Straight Connector 178"/>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80" name="Straight Connector 179"/>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81" name="Straight Connector 180"/>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182" name="Straight Connector 181"/>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83" name="Straight Connector 182"/>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84" name="Straight Connector 183"/>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85" name="Straight Connector 184"/>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86" name="Straight Connector 185"/>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87" name="Straight Connector 186"/>
        <xdr:cNvCxnSpPr/>
      </xdr:nvCxnSpPr>
      <xdr:spPr>
        <a:xfrm flipV="1">
          <a:off x="6109607" y="3429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88" name="Straight Connector 187"/>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89" name="Straight Connector 188"/>
        <xdr:cNvCxnSpPr/>
      </xdr:nvCxnSpPr>
      <xdr:spPr>
        <a:xfrm flipV="1">
          <a:off x="6719207" y="3823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90" name="Straight Connector 189"/>
        <xdr:cNvCxnSpPr/>
      </xdr:nvCxnSpPr>
      <xdr:spPr>
        <a:xfrm flipV="1">
          <a:off x="7349218" y="3827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91" name="Straight Connector 190"/>
        <xdr:cNvCxnSpPr/>
      </xdr:nvCxnSpPr>
      <xdr:spPr>
        <a:xfrm flipV="1">
          <a:off x="8561613" y="3850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92" name="Straight Connector 191"/>
        <xdr:cNvCxnSpPr/>
      </xdr:nvCxnSpPr>
      <xdr:spPr>
        <a:xfrm flipV="1">
          <a:off x="6109607" y="3810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193" name="Straight Connector 192"/>
        <xdr:cNvCxnSpPr/>
      </xdr:nvCxnSpPr>
      <xdr:spPr>
        <a:xfrm flipV="1">
          <a:off x="9198428" y="3837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194" name="Straight Connector 193"/>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195" name="Straight Connector 194"/>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196" name="Straight Connector 195"/>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197" name="Straight Connector 196"/>
        <xdr:cNvCxnSpPr/>
      </xdr:nvCxnSpPr>
      <xdr:spPr>
        <a:xfrm flipV="1">
          <a:off x="6164035" y="2286002"/>
          <a:ext cx="582385"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198" name="Straight Connector 197"/>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42</xdr:row>
      <xdr:rowOff>13608</xdr:rowOff>
    </xdr:from>
    <xdr:to>
      <xdr:col>12</xdr:col>
      <xdr:colOff>27214</xdr:colOff>
      <xdr:row>43</xdr:row>
      <xdr:rowOff>190502</xdr:rowOff>
    </xdr:to>
    <xdr:cxnSp macro="">
      <xdr:nvCxnSpPr>
        <xdr:cNvPr id="199" name="Straight Connector 198"/>
        <xdr:cNvCxnSpPr/>
      </xdr:nvCxnSpPr>
      <xdr:spPr>
        <a:xfrm flipV="1">
          <a:off x="6787242" y="801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42</xdr:row>
      <xdr:rowOff>17011</xdr:rowOff>
    </xdr:from>
    <xdr:to>
      <xdr:col>12</xdr:col>
      <xdr:colOff>916780</xdr:colOff>
      <xdr:row>43</xdr:row>
      <xdr:rowOff>192201</xdr:rowOff>
    </xdr:to>
    <xdr:cxnSp macro="">
      <xdr:nvCxnSpPr>
        <xdr:cNvPr id="200" name="Straight Connector 199"/>
        <xdr:cNvCxnSpPr/>
      </xdr:nvCxnSpPr>
      <xdr:spPr>
        <a:xfrm flipV="1">
          <a:off x="7349218" y="801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42</xdr:row>
      <xdr:rowOff>40821</xdr:rowOff>
    </xdr:from>
    <xdr:to>
      <xdr:col>14</xdr:col>
      <xdr:colOff>911678</xdr:colOff>
      <xdr:row>43</xdr:row>
      <xdr:rowOff>149677</xdr:rowOff>
    </xdr:to>
    <xdr:cxnSp macro="">
      <xdr:nvCxnSpPr>
        <xdr:cNvPr id="201" name="Straight Connector 200"/>
        <xdr:cNvCxnSpPr/>
      </xdr:nvCxnSpPr>
      <xdr:spPr>
        <a:xfrm flipV="1">
          <a:off x="8561613" y="804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42</xdr:row>
      <xdr:rowOff>27215</xdr:rowOff>
    </xdr:from>
    <xdr:to>
      <xdr:col>10</xdr:col>
      <xdr:colOff>911678</xdr:colOff>
      <xdr:row>44</xdr:row>
      <xdr:rowOff>0</xdr:rowOff>
    </xdr:to>
    <xdr:cxnSp macro="">
      <xdr:nvCxnSpPr>
        <xdr:cNvPr id="202" name="Straight Connector 201"/>
        <xdr:cNvCxnSpPr/>
      </xdr:nvCxnSpPr>
      <xdr:spPr>
        <a:xfrm flipV="1">
          <a:off x="6096000" y="8028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42</xdr:row>
      <xdr:rowOff>27216</xdr:rowOff>
    </xdr:from>
    <xdr:to>
      <xdr:col>16</xdr:col>
      <xdr:colOff>27215</xdr:colOff>
      <xdr:row>43</xdr:row>
      <xdr:rowOff>176893</xdr:rowOff>
    </xdr:to>
    <xdr:cxnSp macro="">
      <xdr:nvCxnSpPr>
        <xdr:cNvPr id="203" name="Straight Connector 202"/>
        <xdr:cNvCxnSpPr/>
      </xdr:nvCxnSpPr>
      <xdr:spPr>
        <a:xfrm flipV="1">
          <a:off x="9198428" y="802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204" name="Straight Connector 203"/>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205" name="Straight Connector 204"/>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45</xdr:row>
      <xdr:rowOff>27215</xdr:rowOff>
    </xdr:from>
    <xdr:to>
      <xdr:col>10</xdr:col>
      <xdr:colOff>911678</xdr:colOff>
      <xdr:row>47</xdr:row>
      <xdr:rowOff>0</xdr:rowOff>
    </xdr:to>
    <xdr:cxnSp macro="">
      <xdr:nvCxnSpPr>
        <xdr:cNvPr id="206" name="Straight Connector 205"/>
        <xdr:cNvCxnSpPr/>
      </xdr:nvCxnSpPr>
      <xdr:spPr>
        <a:xfrm flipV="1">
          <a:off x="6096000" y="85997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45</xdr:row>
      <xdr:rowOff>27216</xdr:rowOff>
    </xdr:from>
    <xdr:to>
      <xdr:col>16</xdr:col>
      <xdr:colOff>27215</xdr:colOff>
      <xdr:row>46</xdr:row>
      <xdr:rowOff>176893</xdr:rowOff>
    </xdr:to>
    <xdr:cxnSp macro="">
      <xdr:nvCxnSpPr>
        <xdr:cNvPr id="207" name="Straight Connector 206"/>
        <xdr:cNvCxnSpPr/>
      </xdr:nvCxnSpPr>
      <xdr:spPr>
        <a:xfrm flipV="1">
          <a:off x="9198428" y="8599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208" name="Straight Connector 207"/>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209" name="Straight Connector 208"/>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210" name="Straight Connector 209"/>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211" name="Straight Connector 210"/>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212" name="Straight Connector 211"/>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213" name="Straight Connector 212"/>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14" name="Straight Connector 213"/>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38</xdr:row>
      <xdr:rowOff>13608</xdr:rowOff>
    </xdr:from>
    <xdr:to>
      <xdr:col>12</xdr:col>
      <xdr:colOff>27214</xdr:colOff>
      <xdr:row>39</xdr:row>
      <xdr:rowOff>190502</xdr:rowOff>
    </xdr:to>
    <xdr:cxnSp macro="">
      <xdr:nvCxnSpPr>
        <xdr:cNvPr id="215" name="Straight Connector 214"/>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216" name="Straight Connector 215"/>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38</xdr:row>
      <xdr:rowOff>40821</xdr:rowOff>
    </xdr:from>
    <xdr:to>
      <xdr:col>14</xdr:col>
      <xdr:colOff>911678</xdr:colOff>
      <xdr:row>39</xdr:row>
      <xdr:rowOff>149677</xdr:rowOff>
    </xdr:to>
    <xdr:cxnSp macro="">
      <xdr:nvCxnSpPr>
        <xdr:cNvPr id="217" name="Straight Connector 216"/>
        <xdr:cNvCxnSpPr/>
      </xdr:nvCxnSpPr>
      <xdr:spPr>
        <a:xfrm flipV="1">
          <a:off x="8561613" y="727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218" name="Straight Connector 217"/>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219" name="Straight Connector 218"/>
        <xdr:cNvCxnSpPr/>
      </xdr:nvCxnSpPr>
      <xdr:spPr>
        <a:xfrm flipV="1">
          <a:off x="9198428" y="726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220" name="Straight Connector 219"/>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221" name="Straight Connector 220"/>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222" name="Straight Connector 221"/>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223" name="Straight Connector 222"/>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224" name="Straight Connector 223"/>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225" name="Straight Connector 224"/>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226" name="Straight Connector 225"/>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227" name="Straight Connector 226"/>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27216</xdr:rowOff>
    </xdr:from>
    <xdr:to>
      <xdr:col>10</xdr:col>
      <xdr:colOff>898071</xdr:colOff>
      <xdr:row>32</xdr:row>
      <xdr:rowOff>0</xdr:rowOff>
    </xdr:to>
    <xdr:cxnSp macro="">
      <xdr:nvCxnSpPr>
        <xdr:cNvPr id="228" name="Straight Connector 227"/>
        <xdr:cNvCxnSpPr/>
      </xdr:nvCxnSpPr>
      <xdr:spPr>
        <a:xfrm flipV="1">
          <a:off x="6096000" y="5742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229" name="Straight Connector 228"/>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230" name="Straight Connector 229"/>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231" name="Straight Connector 230"/>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232" name="Straight Connector 231"/>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233" name="Straight Connector 232"/>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234" name="Straight Connector 233"/>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13607</xdr:colOff>
      <xdr:row>68</xdr:row>
      <xdr:rowOff>13608</xdr:rowOff>
    </xdr:from>
    <xdr:to>
      <xdr:col>11</xdr:col>
      <xdr:colOff>898071</xdr:colOff>
      <xdr:row>69</xdr:row>
      <xdr:rowOff>190502</xdr:rowOff>
    </xdr:to>
    <xdr:cxnSp macro="">
      <xdr:nvCxnSpPr>
        <xdr:cNvPr id="2" name="Straight Connector 1"/>
        <xdr:cNvCxnSpPr/>
      </xdr:nvCxnSpPr>
      <xdr:spPr>
        <a:xfrm flipV="1">
          <a:off x="6719207" y="12967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68</xdr:row>
      <xdr:rowOff>40824</xdr:rowOff>
    </xdr:from>
    <xdr:to>
      <xdr:col>12</xdr:col>
      <xdr:colOff>898072</xdr:colOff>
      <xdr:row>69</xdr:row>
      <xdr:rowOff>190500</xdr:rowOff>
    </xdr:to>
    <xdr:cxnSp macro="">
      <xdr:nvCxnSpPr>
        <xdr:cNvPr id="3" name="Straight Connector 2"/>
        <xdr:cNvCxnSpPr/>
      </xdr:nvCxnSpPr>
      <xdr:spPr>
        <a:xfrm flipV="1">
          <a:off x="7315200" y="12994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68</xdr:row>
      <xdr:rowOff>40824</xdr:rowOff>
    </xdr:from>
    <xdr:to>
      <xdr:col>14</xdr:col>
      <xdr:colOff>884465</xdr:colOff>
      <xdr:row>69</xdr:row>
      <xdr:rowOff>176893</xdr:rowOff>
    </xdr:to>
    <xdr:cxnSp macro="">
      <xdr:nvCxnSpPr>
        <xdr:cNvPr id="4" name="Straight Connector 3"/>
        <xdr:cNvCxnSpPr/>
      </xdr:nvCxnSpPr>
      <xdr:spPr>
        <a:xfrm flipV="1">
          <a:off x="8561614" y="12994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68</xdr:row>
      <xdr:rowOff>27214</xdr:rowOff>
    </xdr:from>
    <xdr:to>
      <xdr:col>16</xdr:col>
      <xdr:colOff>0</xdr:colOff>
      <xdr:row>70</xdr:row>
      <xdr:rowOff>0</xdr:rowOff>
    </xdr:to>
    <xdr:cxnSp macro="">
      <xdr:nvCxnSpPr>
        <xdr:cNvPr id="5" name="Straight Connector 4"/>
        <xdr:cNvCxnSpPr/>
      </xdr:nvCxnSpPr>
      <xdr:spPr>
        <a:xfrm flipV="1">
          <a:off x="9144001" y="12981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68</xdr:row>
      <xdr:rowOff>1</xdr:rowOff>
    </xdr:from>
    <xdr:to>
      <xdr:col>11</xdr:col>
      <xdr:colOff>13607</xdr:colOff>
      <xdr:row>69</xdr:row>
      <xdr:rowOff>176895</xdr:rowOff>
    </xdr:to>
    <xdr:cxnSp macro="">
      <xdr:nvCxnSpPr>
        <xdr:cNvPr id="6" name="Straight Connector 5"/>
        <xdr:cNvCxnSpPr/>
      </xdr:nvCxnSpPr>
      <xdr:spPr>
        <a:xfrm flipV="1">
          <a:off x="6150429" y="12954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72</xdr:row>
      <xdr:rowOff>13608</xdr:rowOff>
    </xdr:from>
    <xdr:to>
      <xdr:col>11</xdr:col>
      <xdr:colOff>898071</xdr:colOff>
      <xdr:row>73</xdr:row>
      <xdr:rowOff>190502</xdr:rowOff>
    </xdr:to>
    <xdr:cxnSp macro="">
      <xdr:nvCxnSpPr>
        <xdr:cNvPr id="7" name="Straight Connector 6"/>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8" name="Straight Connector 7"/>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9" name="Straight Connector 8"/>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72</xdr:row>
      <xdr:rowOff>13608</xdr:rowOff>
    </xdr:from>
    <xdr:to>
      <xdr:col>10</xdr:col>
      <xdr:colOff>884464</xdr:colOff>
      <xdr:row>74</xdr:row>
      <xdr:rowOff>0</xdr:rowOff>
    </xdr:to>
    <xdr:cxnSp macro="">
      <xdr:nvCxnSpPr>
        <xdr:cNvPr id="10" name="Straight Connector 9"/>
        <xdr:cNvCxnSpPr/>
      </xdr:nvCxnSpPr>
      <xdr:spPr>
        <a:xfrm flipV="1">
          <a:off x="6097361" y="13729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72</xdr:row>
      <xdr:rowOff>27217</xdr:rowOff>
    </xdr:from>
    <xdr:to>
      <xdr:col>15</xdr:col>
      <xdr:colOff>938894</xdr:colOff>
      <xdr:row>73</xdr:row>
      <xdr:rowOff>163286</xdr:rowOff>
    </xdr:to>
    <xdr:cxnSp macro="">
      <xdr:nvCxnSpPr>
        <xdr:cNvPr id="11" name="Straight Connector 10"/>
        <xdr:cNvCxnSpPr/>
      </xdr:nvCxnSpPr>
      <xdr:spPr>
        <a:xfrm flipV="1">
          <a:off x="9225643" y="13743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70</xdr:row>
      <xdr:rowOff>13608</xdr:rowOff>
    </xdr:from>
    <xdr:to>
      <xdr:col>11</xdr:col>
      <xdr:colOff>898071</xdr:colOff>
      <xdr:row>71</xdr:row>
      <xdr:rowOff>190502</xdr:rowOff>
    </xdr:to>
    <xdr:cxnSp macro="">
      <xdr:nvCxnSpPr>
        <xdr:cNvPr id="12" name="Straight Connector 11"/>
        <xdr:cNvCxnSpPr/>
      </xdr:nvCxnSpPr>
      <xdr:spPr>
        <a:xfrm flipV="1">
          <a:off x="6719207" y="13348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13" name="Straight Connector 12"/>
        <xdr:cNvCxnSpPr/>
      </xdr:nvCxnSpPr>
      <xdr:spPr>
        <a:xfrm flipV="1">
          <a:off x="7315200" y="13375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14" name="Straight Connector 13"/>
        <xdr:cNvCxnSpPr/>
      </xdr:nvCxnSpPr>
      <xdr:spPr>
        <a:xfrm flipV="1">
          <a:off x="8561614" y="13375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70</xdr:row>
      <xdr:rowOff>13608</xdr:rowOff>
    </xdr:from>
    <xdr:to>
      <xdr:col>10</xdr:col>
      <xdr:colOff>884464</xdr:colOff>
      <xdr:row>72</xdr:row>
      <xdr:rowOff>0</xdr:rowOff>
    </xdr:to>
    <xdr:cxnSp macro="">
      <xdr:nvCxnSpPr>
        <xdr:cNvPr id="15" name="Straight Connector 14"/>
        <xdr:cNvCxnSpPr/>
      </xdr:nvCxnSpPr>
      <xdr:spPr>
        <a:xfrm flipV="1">
          <a:off x="6097361" y="13348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70</xdr:row>
      <xdr:rowOff>27217</xdr:rowOff>
    </xdr:from>
    <xdr:to>
      <xdr:col>15</xdr:col>
      <xdr:colOff>938894</xdr:colOff>
      <xdr:row>71</xdr:row>
      <xdr:rowOff>163286</xdr:rowOff>
    </xdr:to>
    <xdr:cxnSp macro="">
      <xdr:nvCxnSpPr>
        <xdr:cNvPr id="16" name="Straight Connector 15"/>
        <xdr:cNvCxnSpPr/>
      </xdr:nvCxnSpPr>
      <xdr:spPr>
        <a:xfrm flipV="1">
          <a:off x="9225643" y="13362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17" name="Straight Connector 16"/>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18" name="Straight Connector 17"/>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19" name="Straight Connector 18"/>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20" name="Straight Connector 19"/>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21" name="Straight Connector 20"/>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22" name="Straight Connector 21"/>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23" name="Straight Connector 22"/>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24" name="Straight Connector 23"/>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86</xdr:row>
      <xdr:rowOff>13608</xdr:rowOff>
    </xdr:from>
    <xdr:to>
      <xdr:col>12</xdr:col>
      <xdr:colOff>27214</xdr:colOff>
      <xdr:row>87</xdr:row>
      <xdr:rowOff>190502</xdr:rowOff>
    </xdr:to>
    <xdr:cxnSp macro="">
      <xdr:nvCxnSpPr>
        <xdr:cNvPr id="25" name="Straight Connector 24"/>
        <xdr:cNvCxnSpPr/>
      </xdr:nvCxnSpPr>
      <xdr:spPr>
        <a:xfrm flipV="1">
          <a:off x="6787242" y="1639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86</xdr:row>
      <xdr:rowOff>13608</xdr:rowOff>
    </xdr:from>
    <xdr:to>
      <xdr:col>11</xdr:col>
      <xdr:colOff>51026</xdr:colOff>
      <xdr:row>88</xdr:row>
      <xdr:rowOff>0</xdr:rowOff>
    </xdr:to>
    <xdr:cxnSp macro="">
      <xdr:nvCxnSpPr>
        <xdr:cNvPr id="26" name="Straight Connector 25"/>
        <xdr:cNvCxnSpPr/>
      </xdr:nvCxnSpPr>
      <xdr:spPr>
        <a:xfrm flipV="1">
          <a:off x="6109607" y="16396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86</xdr:row>
      <xdr:rowOff>17011</xdr:rowOff>
    </xdr:from>
    <xdr:to>
      <xdr:col>12</xdr:col>
      <xdr:colOff>916780</xdr:colOff>
      <xdr:row>87</xdr:row>
      <xdr:rowOff>192201</xdr:rowOff>
    </xdr:to>
    <xdr:cxnSp macro="">
      <xdr:nvCxnSpPr>
        <xdr:cNvPr id="27" name="Straight Connector 26"/>
        <xdr:cNvCxnSpPr/>
      </xdr:nvCxnSpPr>
      <xdr:spPr>
        <a:xfrm flipV="1">
          <a:off x="7349218" y="1640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86</xdr:row>
      <xdr:rowOff>18714</xdr:rowOff>
    </xdr:from>
    <xdr:to>
      <xdr:col>15</xdr:col>
      <xdr:colOff>887864</xdr:colOff>
      <xdr:row>87</xdr:row>
      <xdr:rowOff>190500</xdr:rowOff>
    </xdr:to>
    <xdr:cxnSp macro="">
      <xdr:nvCxnSpPr>
        <xdr:cNvPr id="28" name="Straight Connector 27"/>
        <xdr:cNvCxnSpPr/>
      </xdr:nvCxnSpPr>
      <xdr:spPr>
        <a:xfrm flipV="1">
          <a:off x="9171214" y="16401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29" name="Straight Connector 28"/>
        <xdr:cNvCxnSpPr/>
      </xdr:nvCxnSpPr>
      <xdr:spPr>
        <a:xfrm flipV="1">
          <a:off x="6787242" y="1677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30" name="Straight Connector 29"/>
        <xdr:cNvCxnSpPr/>
      </xdr:nvCxnSpPr>
      <xdr:spPr>
        <a:xfrm flipV="1">
          <a:off x="6109607" y="1677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31" name="Straight Connector 30"/>
        <xdr:cNvCxnSpPr/>
      </xdr:nvCxnSpPr>
      <xdr:spPr>
        <a:xfrm flipV="1">
          <a:off x="73492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32" name="Straight Connector 31"/>
        <xdr:cNvCxnSpPr/>
      </xdr:nvCxnSpPr>
      <xdr:spPr>
        <a:xfrm flipV="1">
          <a:off x="9171214" y="1678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33" name="Straight Connector 32"/>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34" name="Straight Connector 33"/>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35" name="Straight Connector 34"/>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36" name="Straight Connector 35"/>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37" name="Straight Connector 36"/>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8" name="Straight Connector 37"/>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9" name="Straight Connector 38"/>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92</xdr:row>
      <xdr:rowOff>3</xdr:rowOff>
    </xdr:from>
    <xdr:to>
      <xdr:col>15</xdr:col>
      <xdr:colOff>40822</xdr:colOff>
      <xdr:row>93</xdr:row>
      <xdr:rowOff>149679</xdr:rowOff>
    </xdr:to>
    <xdr:cxnSp macro="">
      <xdr:nvCxnSpPr>
        <xdr:cNvPr id="40" name="Straight Connector 39"/>
        <xdr:cNvCxnSpPr/>
      </xdr:nvCxnSpPr>
      <xdr:spPr>
        <a:xfrm flipV="1">
          <a:off x="8571820" y="17526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41" name="Straight Connector 40"/>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95</xdr:row>
      <xdr:rowOff>13608</xdr:rowOff>
    </xdr:from>
    <xdr:to>
      <xdr:col>12</xdr:col>
      <xdr:colOff>27214</xdr:colOff>
      <xdr:row>96</xdr:row>
      <xdr:rowOff>190502</xdr:rowOff>
    </xdr:to>
    <xdr:cxnSp macro="">
      <xdr:nvCxnSpPr>
        <xdr:cNvPr id="42" name="Straight Connector 41"/>
        <xdr:cNvCxnSpPr/>
      </xdr:nvCxnSpPr>
      <xdr:spPr>
        <a:xfrm flipV="1">
          <a:off x="6787242" y="1811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95</xdr:row>
      <xdr:rowOff>13608</xdr:rowOff>
    </xdr:from>
    <xdr:to>
      <xdr:col>11</xdr:col>
      <xdr:colOff>51026</xdr:colOff>
      <xdr:row>97</xdr:row>
      <xdr:rowOff>0</xdr:rowOff>
    </xdr:to>
    <xdr:cxnSp macro="">
      <xdr:nvCxnSpPr>
        <xdr:cNvPr id="43" name="Straight Connector 42"/>
        <xdr:cNvCxnSpPr/>
      </xdr:nvCxnSpPr>
      <xdr:spPr>
        <a:xfrm flipV="1">
          <a:off x="6109607" y="1811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95</xdr:row>
      <xdr:rowOff>17011</xdr:rowOff>
    </xdr:from>
    <xdr:to>
      <xdr:col>12</xdr:col>
      <xdr:colOff>916780</xdr:colOff>
      <xdr:row>96</xdr:row>
      <xdr:rowOff>192201</xdr:rowOff>
    </xdr:to>
    <xdr:cxnSp macro="">
      <xdr:nvCxnSpPr>
        <xdr:cNvPr id="44" name="Straight Connector 43"/>
        <xdr:cNvCxnSpPr/>
      </xdr:nvCxnSpPr>
      <xdr:spPr>
        <a:xfrm flipV="1">
          <a:off x="7349218" y="1811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95</xdr:row>
      <xdr:rowOff>18714</xdr:rowOff>
    </xdr:from>
    <xdr:to>
      <xdr:col>15</xdr:col>
      <xdr:colOff>887864</xdr:colOff>
      <xdr:row>96</xdr:row>
      <xdr:rowOff>190500</xdr:rowOff>
    </xdr:to>
    <xdr:cxnSp macro="">
      <xdr:nvCxnSpPr>
        <xdr:cNvPr id="45" name="Straight Connector 44"/>
        <xdr:cNvCxnSpPr/>
      </xdr:nvCxnSpPr>
      <xdr:spPr>
        <a:xfrm flipV="1">
          <a:off x="9171214" y="1811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46" name="Straight Connector 45"/>
        <xdr:cNvCxnSpPr/>
      </xdr:nvCxnSpPr>
      <xdr:spPr>
        <a:xfrm flipV="1">
          <a:off x="6787242" y="1849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47" name="Straight Connector 46"/>
        <xdr:cNvCxnSpPr/>
      </xdr:nvCxnSpPr>
      <xdr:spPr>
        <a:xfrm flipV="1">
          <a:off x="6109607" y="1849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48" name="Straight Connector 47"/>
        <xdr:cNvCxnSpPr/>
      </xdr:nvCxnSpPr>
      <xdr:spPr>
        <a:xfrm flipV="1">
          <a:off x="7349218" y="1849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49" name="Straight Connector 48"/>
        <xdr:cNvCxnSpPr/>
      </xdr:nvCxnSpPr>
      <xdr:spPr>
        <a:xfrm flipV="1">
          <a:off x="9171214" y="1849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50" name="Straight Connector 49"/>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51" name="Straight Connector 50"/>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52" name="Straight Connector 51"/>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99</xdr:row>
      <xdr:rowOff>3</xdr:rowOff>
    </xdr:from>
    <xdr:to>
      <xdr:col>15</xdr:col>
      <xdr:colOff>40822</xdr:colOff>
      <xdr:row>100</xdr:row>
      <xdr:rowOff>149679</xdr:rowOff>
    </xdr:to>
    <xdr:cxnSp macro="">
      <xdr:nvCxnSpPr>
        <xdr:cNvPr id="53" name="Straight Connector 52"/>
        <xdr:cNvCxnSpPr/>
      </xdr:nvCxnSpPr>
      <xdr:spPr>
        <a:xfrm flipV="1">
          <a:off x="8571820" y="18859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54" name="Straight Connector 53"/>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55" name="Straight Connector 54"/>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56" name="Straight Connector 55"/>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57" name="Straight Connector 56"/>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101</xdr:row>
      <xdr:rowOff>3</xdr:rowOff>
    </xdr:from>
    <xdr:to>
      <xdr:col>15</xdr:col>
      <xdr:colOff>40822</xdr:colOff>
      <xdr:row>102</xdr:row>
      <xdr:rowOff>149679</xdr:rowOff>
    </xdr:to>
    <xdr:cxnSp macro="">
      <xdr:nvCxnSpPr>
        <xdr:cNvPr id="58" name="Straight Connector 57"/>
        <xdr:cNvCxnSpPr/>
      </xdr:nvCxnSpPr>
      <xdr:spPr>
        <a:xfrm flipV="1">
          <a:off x="8571820" y="19240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59" name="Straight Connector 58"/>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75</xdr:row>
      <xdr:rowOff>13608</xdr:rowOff>
    </xdr:from>
    <xdr:to>
      <xdr:col>12</xdr:col>
      <xdr:colOff>27214</xdr:colOff>
      <xdr:row>76</xdr:row>
      <xdr:rowOff>190502</xdr:rowOff>
    </xdr:to>
    <xdr:cxnSp macro="">
      <xdr:nvCxnSpPr>
        <xdr:cNvPr id="60" name="Straight Connector 59"/>
        <xdr:cNvCxnSpPr/>
      </xdr:nvCxnSpPr>
      <xdr:spPr>
        <a:xfrm flipV="1">
          <a:off x="6787242" y="1430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75</xdr:row>
      <xdr:rowOff>13608</xdr:rowOff>
    </xdr:from>
    <xdr:to>
      <xdr:col>11</xdr:col>
      <xdr:colOff>51026</xdr:colOff>
      <xdr:row>77</xdr:row>
      <xdr:rowOff>0</xdr:rowOff>
    </xdr:to>
    <xdr:cxnSp macro="">
      <xdr:nvCxnSpPr>
        <xdr:cNvPr id="61" name="Straight Connector 60"/>
        <xdr:cNvCxnSpPr/>
      </xdr:nvCxnSpPr>
      <xdr:spPr>
        <a:xfrm flipV="1">
          <a:off x="6109607" y="1430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75</xdr:row>
      <xdr:rowOff>17011</xdr:rowOff>
    </xdr:from>
    <xdr:to>
      <xdr:col>12</xdr:col>
      <xdr:colOff>916780</xdr:colOff>
      <xdr:row>76</xdr:row>
      <xdr:rowOff>192201</xdr:rowOff>
    </xdr:to>
    <xdr:cxnSp macro="">
      <xdr:nvCxnSpPr>
        <xdr:cNvPr id="62" name="Straight Connector 61"/>
        <xdr:cNvCxnSpPr/>
      </xdr:nvCxnSpPr>
      <xdr:spPr>
        <a:xfrm flipV="1">
          <a:off x="7349218" y="1430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77</xdr:row>
      <xdr:rowOff>40825</xdr:rowOff>
    </xdr:from>
    <xdr:to>
      <xdr:col>15</xdr:col>
      <xdr:colOff>54429</xdr:colOff>
      <xdr:row>78</xdr:row>
      <xdr:rowOff>190501</xdr:rowOff>
    </xdr:to>
    <xdr:cxnSp macro="">
      <xdr:nvCxnSpPr>
        <xdr:cNvPr id="63" name="Straight Connector 62"/>
        <xdr:cNvCxnSpPr/>
      </xdr:nvCxnSpPr>
      <xdr:spPr>
        <a:xfrm flipV="1">
          <a:off x="8585427" y="14709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75</xdr:row>
      <xdr:rowOff>18714</xdr:rowOff>
    </xdr:from>
    <xdr:to>
      <xdr:col>15</xdr:col>
      <xdr:colOff>887864</xdr:colOff>
      <xdr:row>76</xdr:row>
      <xdr:rowOff>190500</xdr:rowOff>
    </xdr:to>
    <xdr:cxnSp macro="">
      <xdr:nvCxnSpPr>
        <xdr:cNvPr id="64" name="Straight Connector 63"/>
        <xdr:cNvCxnSpPr/>
      </xdr:nvCxnSpPr>
      <xdr:spPr>
        <a:xfrm flipV="1">
          <a:off x="9171214" y="1430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5" name="Straight Connector 64"/>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66" name="Straight Connector 65"/>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67" name="Straight Connector 66"/>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68" name="Straight Connector 67"/>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69" name="Straight Connector 68"/>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70" name="Straight Connector 69"/>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71" name="Straight Connector 70"/>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72" name="Straight Connector 71"/>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97</xdr:row>
      <xdr:rowOff>17010</xdr:rowOff>
    </xdr:from>
    <xdr:to>
      <xdr:col>14</xdr:col>
      <xdr:colOff>903173</xdr:colOff>
      <xdr:row>98</xdr:row>
      <xdr:rowOff>192200</xdr:rowOff>
    </xdr:to>
    <xdr:cxnSp macro="">
      <xdr:nvCxnSpPr>
        <xdr:cNvPr id="73" name="Straight Connector 72"/>
        <xdr:cNvCxnSpPr/>
      </xdr:nvCxnSpPr>
      <xdr:spPr>
        <a:xfrm flipV="1">
          <a:off x="8554811" y="18495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90</xdr:row>
      <xdr:rowOff>3404</xdr:rowOff>
    </xdr:from>
    <xdr:to>
      <xdr:col>15</xdr:col>
      <xdr:colOff>5101</xdr:colOff>
      <xdr:row>91</xdr:row>
      <xdr:rowOff>178593</xdr:rowOff>
    </xdr:to>
    <xdr:cxnSp macro="">
      <xdr:nvCxnSpPr>
        <xdr:cNvPr id="74" name="Straight Connector 73"/>
        <xdr:cNvCxnSpPr/>
      </xdr:nvCxnSpPr>
      <xdr:spPr>
        <a:xfrm flipV="1">
          <a:off x="8582025" y="17148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88</xdr:row>
      <xdr:rowOff>17011</xdr:rowOff>
    </xdr:from>
    <xdr:to>
      <xdr:col>15</xdr:col>
      <xdr:colOff>5101</xdr:colOff>
      <xdr:row>89</xdr:row>
      <xdr:rowOff>192201</xdr:rowOff>
    </xdr:to>
    <xdr:cxnSp macro="">
      <xdr:nvCxnSpPr>
        <xdr:cNvPr id="75" name="Straight Connector 74"/>
        <xdr:cNvCxnSpPr/>
      </xdr:nvCxnSpPr>
      <xdr:spPr>
        <a:xfrm flipV="1">
          <a:off x="8582025" y="16781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86</xdr:row>
      <xdr:rowOff>17011</xdr:rowOff>
    </xdr:from>
    <xdr:to>
      <xdr:col>14</xdr:col>
      <xdr:colOff>916780</xdr:colOff>
      <xdr:row>87</xdr:row>
      <xdr:rowOff>192201</xdr:rowOff>
    </xdr:to>
    <xdr:cxnSp macro="">
      <xdr:nvCxnSpPr>
        <xdr:cNvPr id="76" name="Straight Connector 75"/>
        <xdr:cNvCxnSpPr/>
      </xdr:nvCxnSpPr>
      <xdr:spPr>
        <a:xfrm flipV="1">
          <a:off x="8568418" y="1640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83</xdr:row>
      <xdr:rowOff>17011</xdr:rowOff>
    </xdr:from>
    <xdr:to>
      <xdr:col>15</xdr:col>
      <xdr:colOff>32315</xdr:colOff>
      <xdr:row>84</xdr:row>
      <xdr:rowOff>192201</xdr:rowOff>
    </xdr:to>
    <xdr:cxnSp macro="">
      <xdr:nvCxnSpPr>
        <xdr:cNvPr id="77" name="Straight Connector 76"/>
        <xdr:cNvCxnSpPr/>
      </xdr:nvCxnSpPr>
      <xdr:spPr>
        <a:xfrm flipV="1">
          <a:off x="8609239" y="15828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81</xdr:row>
      <xdr:rowOff>17011</xdr:rowOff>
    </xdr:from>
    <xdr:to>
      <xdr:col>15</xdr:col>
      <xdr:colOff>32315</xdr:colOff>
      <xdr:row>82</xdr:row>
      <xdr:rowOff>192201</xdr:rowOff>
    </xdr:to>
    <xdr:cxnSp macro="">
      <xdr:nvCxnSpPr>
        <xdr:cNvPr id="78" name="Straight Connector 77"/>
        <xdr:cNvCxnSpPr/>
      </xdr:nvCxnSpPr>
      <xdr:spPr>
        <a:xfrm flipV="1">
          <a:off x="8609239" y="15447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79</xdr:row>
      <xdr:rowOff>3403</xdr:rowOff>
    </xdr:from>
    <xdr:to>
      <xdr:col>15</xdr:col>
      <xdr:colOff>18708</xdr:colOff>
      <xdr:row>80</xdr:row>
      <xdr:rowOff>178593</xdr:rowOff>
    </xdr:to>
    <xdr:cxnSp macro="">
      <xdr:nvCxnSpPr>
        <xdr:cNvPr id="79" name="Straight Connector 78"/>
        <xdr:cNvCxnSpPr/>
      </xdr:nvCxnSpPr>
      <xdr:spPr>
        <a:xfrm flipV="1">
          <a:off x="8595632" y="15052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50</xdr:row>
      <xdr:rowOff>27214</xdr:rowOff>
    </xdr:from>
    <xdr:to>
      <xdr:col>15</xdr:col>
      <xdr:colOff>898072</xdr:colOff>
      <xdr:row>51</xdr:row>
      <xdr:rowOff>149678</xdr:rowOff>
    </xdr:to>
    <xdr:cxnSp macro="">
      <xdr:nvCxnSpPr>
        <xdr:cNvPr id="80" name="Straight Connector 79"/>
        <xdr:cNvCxnSpPr/>
      </xdr:nvCxnSpPr>
      <xdr:spPr>
        <a:xfrm flipV="1">
          <a:off x="9171214" y="9552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50</xdr:row>
      <xdr:rowOff>13607</xdr:rowOff>
    </xdr:from>
    <xdr:to>
      <xdr:col>10</xdr:col>
      <xdr:colOff>911677</xdr:colOff>
      <xdr:row>52</xdr:row>
      <xdr:rowOff>0</xdr:rowOff>
    </xdr:to>
    <xdr:cxnSp macro="">
      <xdr:nvCxnSpPr>
        <xdr:cNvPr id="81" name="Straight Connector 80"/>
        <xdr:cNvCxnSpPr/>
      </xdr:nvCxnSpPr>
      <xdr:spPr>
        <a:xfrm flipV="1">
          <a:off x="6109607" y="9538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82" name="Straight Connector 81"/>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83" name="Straight Connector 82"/>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50</xdr:row>
      <xdr:rowOff>54428</xdr:rowOff>
    </xdr:from>
    <xdr:to>
      <xdr:col>14</xdr:col>
      <xdr:colOff>884463</xdr:colOff>
      <xdr:row>51</xdr:row>
      <xdr:rowOff>163285</xdr:rowOff>
    </xdr:to>
    <xdr:cxnSp macro="">
      <xdr:nvCxnSpPr>
        <xdr:cNvPr id="84" name="Straight Connector 83"/>
        <xdr:cNvCxnSpPr/>
      </xdr:nvCxnSpPr>
      <xdr:spPr>
        <a:xfrm flipV="1">
          <a:off x="8537119" y="9579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85" name="Straight Connector 84"/>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86" name="Straight Connector 85"/>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87" name="Straight Connector 86"/>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88" name="Straight Connector 87"/>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89" name="Straight Connector 88"/>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75</xdr:row>
      <xdr:rowOff>13610</xdr:rowOff>
    </xdr:from>
    <xdr:to>
      <xdr:col>15</xdr:col>
      <xdr:colOff>54429</xdr:colOff>
      <xdr:row>76</xdr:row>
      <xdr:rowOff>163286</xdr:rowOff>
    </xdr:to>
    <xdr:cxnSp macro="">
      <xdr:nvCxnSpPr>
        <xdr:cNvPr id="90" name="Straight Connector 89"/>
        <xdr:cNvCxnSpPr/>
      </xdr:nvCxnSpPr>
      <xdr:spPr>
        <a:xfrm flipV="1">
          <a:off x="8585427" y="14301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43</xdr:row>
      <xdr:rowOff>13607</xdr:rowOff>
    </xdr:from>
    <xdr:to>
      <xdr:col>10</xdr:col>
      <xdr:colOff>911677</xdr:colOff>
      <xdr:row>45</xdr:row>
      <xdr:rowOff>0</xdr:rowOff>
    </xdr:to>
    <xdr:cxnSp macro="">
      <xdr:nvCxnSpPr>
        <xdr:cNvPr id="91" name="Straight Connector 90"/>
        <xdr:cNvCxnSpPr/>
      </xdr:nvCxnSpPr>
      <xdr:spPr>
        <a:xfrm flipV="1">
          <a:off x="6109607" y="8205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92" name="Straight Connector 91"/>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93" name="Straight Connector 92"/>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43</xdr:row>
      <xdr:rowOff>54428</xdr:rowOff>
    </xdr:from>
    <xdr:to>
      <xdr:col>14</xdr:col>
      <xdr:colOff>884463</xdr:colOff>
      <xdr:row>44</xdr:row>
      <xdr:rowOff>163285</xdr:rowOff>
    </xdr:to>
    <xdr:cxnSp macro="">
      <xdr:nvCxnSpPr>
        <xdr:cNvPr id="94" name="Straight Connector 93"/>
        <xdr:cNvCxnSpPr/>
      </xdr:nvCxnSpPr>
      <xdr:spPr>
        <a:xfrm flipV="1">
          <a:off x="8537119" y="8245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47</xdr:row>
      <xdr:rowOff>27214</xdr:rowOff>
    </xdr:from>
    <xdr:to>
      <xdr:col>15</xdr:col>
      <xdr:colOff>898072</xdr:colOff>
      <xdr:row>48</xdr:row>
      <xdr:rowOff>149678</xdr:rowOff>
    </xdr:to>
    <xdr:cxnSp macro="">
      <xdr:nvCxnSpPr>
        <xdr:cNvPr id="95" name="Straight Connector 94"/>
        <xdr:cNvCxnSpPr/>
      </xdr:nvCxnSpPr>
      <xdr:spPr>
        <a:xfrm flipV="1">
          <a:off x="9171214" y="8980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96" name="Straight Connector 95"/>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97" name="Straight Connector 96"/>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98" name="Straight Connector 97"/>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99" name="Straight Connector 98"/>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45</xdr:row>
      <xdr:rowOff>27214</xdr:rowOff>
    </xdr:from>
    <xdr:to>
      <xdr:col>15</xdr:col>
      <xdr:colOff>898072</xdr:colOff>
      <xdr:row>46</xdr:row>
      <xdr:rowOff>149678</xdr:rowOff>
    </xdr:to>
    <xdr:cxnSp macro="">
      <xdr:nvCxnSpPr>
        <xdr:cNvPr id="100" name="Straight Connector 99"/>
        <xdr:cNvCxnSpPr/>
      </xdr:nvCxnSpPr>
      <xdr:spPr>
        <a:xfrm flipV="1">
          <a:off x="9171214" y="8599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45</xdr:row>
      <xdr:rowOff>13607</xdr:rowOff>
    </xdr:from>
    <xdr:to>
      <xdr:col>10</xdr:col>
      <xdr:colOff>911677</xdr:colOff>
      <xdr:row>47</xdr:row>
      <xdr:rowOff>0</xdr:rowOff>
    </xdr:to>
    <xdr:cxnSp macro="">
      <xdr:nvCxnSpPr>
        <xdr:cNvPr id="101" name="Straight Connector 100"/>
        <xdr:cNvCxnSpPr/>
      </xdr:nvCxnSpPr>
      <xdr:spPr>
        <a:xfrm flipV="1">
          <a:off x="6109607" y="8586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102" name="Straight Connector 101"/>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103" name="Straight Connector 102"/>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45</xdr:row>
      <xdr:rowOff>54428</xdr:rowOff>
    </xdr:from>
    <xdr:to>
      <xdr:col>14</xdr:col>
      <xdr:colOff>884463</xdr:colOff>
      <xdr:row>46</xdr:row>
      <xdr:rowOff>163285</xdr:rowOff>
    </xdr:to>
    <xdr:cxnSp macro="">
      <xdr:nvCxnSpPr>
        <xdr:cNvPr id="104" name="Straight Connector 103"/>
        <xdr:cNvCxnSpPr/>
      </xdr:nvCxnSpPr>
      <xdr:spPr>
        <a:xfrm flipV="1">
          <a:off x="8537119" y="8626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106</xdr:row>
      <xdr:rowOff>0</xdr:rowOff>
    </xdr:from>
    <xdr:ext cx="17150072" cy="3743326"/>
    <xdr:pic>
      <xdr:nvPicPr>
        <xdr:cNvPr id="105" name="Picture 104"/>
        <xdr:cNvPicPr>
          <a:picLocks noChangeAspect="1" noChangeArrowheads="1"/>
          <a:extLst/>
        </xdr:cNvPicPr>
      </xdr:nvPicPr>
      <xdr:blipFill>
        <a:blip xmlns:r="http://schemas.openxmlformats.org/officeDocument/2006/relationships" r:embed="rId1"/>
        <a:srcRect/>
        <a:stretch>
          <a:fillRect/>
        </a:stretch>
      </xdr:blipFill>
      <xdr:spPr bwMode="auto">
        <a:xfrm>
          <a:off x="609600" y="20193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122</xdr:row>
      <xdr:rowOff>176894</xdr:rowOff>
    </xdr:from>
    <xdr:ext cx="18008063" cy="3743325"/>
    <xdr:pic>
      <xdr:nvPicPr>
        <xdr:cNvPr id="106" name="Picture 105"/>
        <xdr:cNvPicPr>
          <a:picLocks noChangeAspect="1" noChangeArrowheads="1"/>
          <a:extLst/>
        </xdr:cNvPicPr>
      </xdr:nvPicPr>
      <xdr:blipFill>
        <a:blip xmlns:r="http://schemas.openxmlformats.org/officeDocument/2006/relationships" r:embed="rId2"/>
        <a:srcRect/>
        <a:stretch>
          <a:fillRect/>
        </a:stretch>
      </xdr:blipFill>
      <xdr:spPr bwMode="auto">
        <a:xfrm>
          <a:off x="621846" y="23417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32</xdr:row>
      <xdr:rowOff>13608</xdr:rowOff>
    </xdr:from>
    <xdr:to>
      <xdr:col>12</xdr:col>
      <xdr:colOff>27214</xdr:colOff>
      <xdr:row>33</xdr:row>
      <xdr:rowOff>190502</xdr:rowOff>
    </xdr:to>
    <xdr:cxnSp macro="">
      <xdr:nvCxnSpPr>
        <xdr:cNvPr id="107" name="Straight Connector 106"/>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08" name="Straight Connector 107"/>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32</xdr:row>
      <xdr:rowOff>0</xdr:rowOff>
    </xdr:from>
    <xdr:to>
      <xdr:col>15</xdr:col>
      <xdr:colOff>0</xdr:colOff>
      <xdr:row>33</xdr:row>
      <xdr:rowOff>190501</xdr:rowOff>
    </xdr:to>
    <xdr:cxnSp macro="">
      <xdr:nvCxnSpPr>
        <xdr:cNvPr id="109" name="Straight Connector 108"/>
        <xdr:cNvCxnSpPr/>
      </xdr:nvCxnSpPr>
      <xdr:spPr>
        <a:xfrm flipV="1">
          <a:off x="8533039" y="6096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27215</xdr:rowOff>
    </xdr:from>
    <xdr:to>
      <xdr:col>10</xdr:col>
      <xdr:colOff>911678</xdr:colOff>
      <xdr:row>34</xdr:row>
      <xdr:rowOff>0</xdr:rowOff>
    </xdr:to>
    <xdr:cxnSp macro="">
      <xdr:nvCxnSpPr>
        <xdr:cNvPr id="110" name="Straight Connector 109"/>
        <xdr:cNvCxnSpPr/>
      </xdr:nvCxnSpPr>
      <xdr:spPr>
        <a:xfrm flipV="1">
          <a:off x="6096000" y="6123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32</xdr:row>
      <xdr:rowOff>13607</xdr:rowOff>
    </xdr:from>
    <xdr:to>
      <xdr:col>16</xdr:col>
      <xdr:colOff>0</xdr:colOff>
      <xdr:row>34</xdr:row>
      <xdr:rowOff>0</xdr:rowOff>
    </xdr:to>
    <xdr:cxnSp macro="">
      <xdr:nvCxnSpPr>
        <xdr:cNvPr id="111" name="Straight Connector 110"/>
        <xdr:cNvCxnSpPr/>
      </xdr:nvCxnSpPr>
      <xdr:spPr>
        <a:xfrm flipV="1">
          <a:off x="9171214" y="6109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52</xdr:row>
      <xdr:rowOff>40821</xdr:rowOff>
    </xdr:from>
    <xdr:to>
      <xdr:col>15</xdr:col>
      <xdr:colOff>952500</xdr:colOff>
      <xdr:row>53</xdr:row>
      <xdr:rowOff>163285</xdr:rowOff>
    </xdr:to>
    <xdr:cxnSp macro="">
      <xdr:nvCxnSpPr>
        <xdr:cNvPr id="112" name="Straight Connector 111"/>
        <xdr:cNvCxnSpPr/>
      </xdr:nvCxnSpPr>
      <xdr:spPr>
        <a:xfrm flipV="1">
          <a:off x="9225642" y="9946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113" name="Straight Connector 112"/>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14" name="Straight Connector 113"/>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15" name="Straight Connector 114"/>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116" name="Straight Connector 115"/>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117" name="Straight Connector 116"/>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18" name="Straight Connector 117"/>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19" name="Straight Connector 118"/>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20" name="Straight Connector 119"/>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21" name="Straight Connector 120"/>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122" name="Straight Connector 121"/>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23" name="Straight Connector 122"/>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24" name="Straight Connector 123"/>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25" name="Straight Connector 124"/>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26" name="Straight Connector 125"/>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27" name="Straight Connector 126"/>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28" name="Straight Connector 127"/>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29" name="Straight Connector 128"/>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30" name="Straight Connector 129"/>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31" name="Straight Connector 130"/>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43</xdr:row>
      <xdr:rowOff>27216</xdr:rowOff>
    </xdr:from>
    <xdr:to>
      <xdr:col>16</xdr:col>
      <xdr:colOff>27215</xdr:colOff>
      <xdr:row>44</xdr:row>
      <xdr:rowOff>176893</xdr:rowOff>
    </xdr:to>
    <xdr:cxnSp macro="">
      <xdr:nvCxnSpPr>
        <xdr:cNvPr id="132" name="Straight Connector 131"/>
        <xdr:cNvCxnSpPr/>
      </xdr:nvCxnSpPr>
      <xdr:spPr>
        <a:xfrm flipV="1">
          <a:off x="9198428" y="8218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26</xdr:row>
      <xdr:rowOff>13608</xdr:rowOff>
    </xdr:from>
    <xdr:to>
      <xdr:col>12</xdr:col>
      <xdr:colOff>27214</xdr:colOff>
      <xdr:row>27</xdr:row>
      <xdr:rowOff>190502</xdr:rowOff>
    </xdr:to>
    <xdr:cxnSp macro="">
      <xdr:nvCxnSpPr>
        <xdr:cNvPr id="134" name="Straight Connector 133"/>
        <xdr:cNvCxnSpPr/>
      </xdr:nvCxnSpPr>
      <xdr:spPr>
        <a:xfrm flipV="1">
          <a:off x="6787242" y="496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35" name="Straight Connector 134"/>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36" name="Straight Connector 135"/>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13609</xdr:rowOff>
    </xdr:from>
    <xdr:to>
      <xdr:col>10</xdr:col>
      <xdr:colOff>911678</xdr:colOff>
      <xdr:row>27</xdr:row>
      <xdr:rowOff>190501</xdr:rowOff>
    </xdr:to>
    <xdr:cxnSp macro="">
      <xdr:nvCxnSpPr>
        <xdr:cNvPr id="137" name="Straight Connector 136"/>
        <xdr:cNvCxnSpPr/>
      </xdr:nvCxnSpPr>
      <xdr:spPr>
        <a:xfrm flipV="1">
          <a:off x="6109607" y="4966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38" name="Straight Connector 137"/>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34</xdr:row>
      <xdr:rowOff>13608</xdr:rowOff>
    </xdr:from>
    <xdr:to>
      <xdr:col>12</xdr:col>
      <xdr:colOff>27214</xdr:colOff>
      <xdr:row>35</xdr:row>
      <xdr:rowOff>190500</xdr:rowOff>
    </xdr:to>
    <xdr:cxnSp macro="">
      <xdr:nvCxnSpPr>
        <xdr:cNvPr id="139" name="Straight Connector 138"/>
        <xdr:cNvCxnSpPr/>
      </xdr:nvCxnSpPr>
      <xdr:spPr>
        <a:xfrm flipV="1">
          <a:off x="6732814" y="6490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40" name="Straight Connector 139"/>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33</xdr:row>
      <xdr:rowOff>190500</xdr:rowOff>
    </xdr:from>
    <xdr:to>
      <xdr:col>15</xdr:col>
      <xdr:colOff>27214</xdr:colOff>
      <xdr:row>35</xdr:row>
      <xdr:rowOff>176894</xdr:rowOff>
    </xdr:to>
    <xdr:cxnSp macro="">
      <xdr:nvCxnSpPr>
        <xdr:cNvPr id="141" name="Straight Connector 140"/>
        <xdr:cNvCxnSpPr/>
      </xdr:nvCxnSpPr>
      <xdr:spPr>
        <a:xfrm flipV="1">
          <a:off x="8561614" y="6477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34</xdr:row>
      <xdr:rowOff>0</xdr:rowOff>
    </xdr:from>
    <xdr:to>
      <xdr:col>11</xdr:col>
      <xdr:colOff>13607</xdr:colOff>
      <xdr:row>35</xdr:row>
      <xdr:rowOff>176892</xdr:rowOff>
    </xdr:to>
    <xdr:cxnSp macro="">
      <xdr:nvCxnSpPr>
        <xdr:cNvPr id="142" name="Straight Connector 141"/>
        <xdr:cNvCxnSpPr/>
      </xdr:nvCxnSpPr>
      <xdr:spPr>
        <a:xfrm flipV="1">
          <a:off x="6123215" y="6477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34</xdr:row>
      <xdr:rowOff>0</xdr:rowOff>
    </xdr:from>
    <xdr:to>
      <xdr:col>15</xdr:col>
      <xdr:colOff>952500</xdr:colOff>
      <xdr:row>35</xdr:row>
      <xdr:rowOff>190501</xdr:rowOff>
    </xdr:to>
    <xdr:cxnSp macro="">
      <xdr:nvCxnSpPr>
        <xdr:cNvPr id="143" name="Straight Connector 142"/>
        <xdr:cNvCxnSpPr/>
      </xdr:nvCxnSpPr>
      <xdr:spPr>
        <a:xfrm flipV="1">
          <a:off x="9141279" y="6477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44" name="Straight Connector 143"/>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45" name="Straight Connector 144"/>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46" name="Straight Connector 145"/>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27216</xdr:rowOff>
    </xdr:from>
    <xdr:to>
      <xdr:col>10</xdr:col>
      <xdr:colOff>898071</xdr:colOff>
      <xdr:row>32</xdr:row>
      <xdr:rowOff>0</xdr:rowOff>
    </xdr:to>
    <xdr:cxnSp macro="">
      <xdr:nvCxnSpPr>
        <xdr:cNvPr id="147" name="Straight Connector 146"/>
        <xdr:cNvCxnSpPr/>
      </xdr:nvCxnSpPr>
      <xdr:spPr>
        <a:xfrm flipV="1">
          <a:off x="6096000" y="5742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48" name="Straight Connector 147"/>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149" name="Straight Connector 148"/>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50" name="Straight Connector 149"/>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51" name="Straight Connector 150"/>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152" name="Straight Connector 151"/>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53" name="Straight Connector 152"/>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55" name="Straight Connector 154"/>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56" name="Straight Connector 155"/>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57" name="Straight Connector 156"/>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58" name="Straight Connector 157"/>
        <xdr:cNvCxnSpPr/>
      </xdr:nvCxnSpPr>
      <xdr:spPr>
        <a:xfrm flipV="1">
          <a:off x="6164035" y="1143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59" name="Straight Connector 158"/>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60" name="Straight Connector 159"/>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61" name="Straight Connector 160"/>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62" name="Straight Connector 161"/>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63" name="Straight Connector 162"/>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64" name="Straight Connector 163"/>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165" name="Straight Connector 164"/>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166" name="Straight Connector 165"/>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167" name="Straight Connector 166"/>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168" name="Straight Connector 167"/>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169" name="Straight Connector 168"/>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170" name="Straight Connector 169"/>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71" name="Straight Connector 170"/>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72" name="Straight Connector 171"/>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173" name="Straight Connector 172"/>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74" name="Straight Connector 173"/>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75" name="Straight Connector 174"/>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76" name="Straight Connector 175"/>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77" name="Straight Connector 176"/>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178" name="Straight Connector 177"/>
        <xdr:cNvCxnSpPr/>
      </xdr:nvCxnSpPr>
      <xdr:spPr>
        <a:xfrm flipV="1">
          <a:off x="6109607" y="3048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79" name="Straight Connector 178"/>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80" name="Straight Connector 179"/>
        <xdr:cNvCxnSpPr/>
      </xdr:nvCxnSpPr>
      <xdr:spPr>
        <a:xfrm flipV="1">
          <a:off x="6719207" y="3442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81" name="Straight Connector 180"/>
        <xdr:cNvCxnSpPr/>
      </xdr:nvCxnSpPr>
      <xdr:spPr>
        <a:xfrm flipV="1">
          <a:off x="7349218" y="3446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82" name="Straight Connector 181"/>
        <xdr:cNvCxnSpPr/>
      </xdr:nvCxnSpPr>
      <xdr:spPr>
        <a:xfrm flipV="1">
          <a:off x="8561613" y="3469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83" name="Straight Connector 182"/>
        <xdr:cNvCxnSpPr/>
      </xdr:nvCxnSpPr>
      <xdr:spPr>
        <a:xfrm flipV="1">
          <a:off x="6109607" y="3429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84" name="Straight Connector 183"/>
        <xdr:cNvCxnSpPr/>
      </xdr:nvCxnSpPr>
      <xdr:spPr>
        <a:xfrm flipV="1">
          <a:off x="9198428" y="3456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85" name="Straight Connector 184"/>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86" name="Straight Connector 185"/>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87" name="Straight Connector 186"/>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88" name="Straight Connector 187"/>
        <xdr:cNvCxnSpPr/>
      </xdr:nvCxnSpPr>
      <xdr:spPr>
        <a:xfrm flipV="1">
          <a:off x="6164035" y="1524002"/>
          <a:ext cx="582385"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89" name="Straight Connector 188"/>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190" name="Straight Connector 189"/>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191" name="Straight Connector 190"/>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192" name="Straight Connector 191"/>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193" name="Straight Connector 192"/>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194" name="Straight Connector 193"/>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195" name="Straight Connector 194"/>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196" name="Straight Connector 195"/>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43</xdr:row>
      <xdr:rowOff>27215</xdr:rowOff>
    </xdr:from>
    <xdr:to>
      <xdr:col>10</xdr:col>
      <xdr:colOff>911678</xdr:colOff>
      <xdr:row>45</xdr:row>
      <xdr:rowOff>0</xdr:rowOff>
    </xdr:to>
    <xdr:cxnSp macro="">
      <xdr:nvCxnSpPr>
        <xdr:cNvPr id="197" name="Straight Connector 196"/>
        <xdr:cNvCxnSpPr/>
      </xdr:nvCxnSpPr>
      <xdr:spPr>
        <a:xfrm flipV="1">
          <a:off x="6096000" y="82187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43</xdr:row>
      <xdr:rowOff>27216</xdr:rowOff>
    </xdr:from>
    <xdr:to>
      <xdr:col>16</xdr:col>
      <xdr:colOff>27215</xdr:colOff>
      <xdr:row>44</xdr:row>
      <xdr:rowOff>176893</xdr:rowOff>
    </xdr:to>
    <xdr:cxnSp macro="">
      <xdr:nvCxnSpPr>
        <xdr:cNvPr id="198" name="Straight Connector 197"/>
        <xdr:cNvCxnSpPr/>
      </xdr:nvCxnSpPr>
      <xdr:spPr>
        <a:xfrm flipV="1">
          <a:off x="9198428" y="8218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199" name="Straight Connector 198"/>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200" name="Straight Connector 199"/>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201" name="Straight Connector 200"/>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202" name="Straight Connector 201"/>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203" name="Straight Connector 202"/>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204" name="Straight Connector 203"/>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05" name="Straight Connector 204"/>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206" name="Straight Connector 205"/>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207" name="Straight Connector 206"/>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36</xdr:row>
      <xdr:rowOff>40821</xdr:rowOff>
    </xdr:from>
    <xdr:to>
      <xdr:col>14</xdr:col>
      <xdr:colOff>911678</xdr:colOff>
      <xdr:row>37</xdr:row>
      <xdr:rowOff>149677</xdr:rowOff>
    </xdr:to>
    <xdr:cxnSp macro="">
      <xdr:nvCxnSpPr>
        <xdr:cNvPr id="208" name="Straight Connector 207"/>
        <xdr:cNvCxnSpPr/>
      </xdr:nvCxnSpPr>
      <xdr:spPr>
        <a:xfrm flipV="1">
          <a:off x="8561613" y="689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209" name="Straight Connector 208"/>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210" name="Straight Connector 209"/>
        <xdr:cNvCxnSpPr/>
      </xdr:nvCxnSpPr>
      <xdr:spPr>
        <a:xfrm flipV="1">
          <a:off x="9198428" y="688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211" name="Straight Connector 210"/>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212" name="Straight Connector 211"/>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213" name="Straight Connector 212"/>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214" name="Straight Connector 213"/>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215" name="Straight Connector 214"/>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28</xdr:row>
      <xdr:rowOff>13608</xdr:rowOff>
    </xdr:from>
    <xdr:to>
      <xdr:col>12</xdr:col>
      <xdr:colOff>27214</xdr:colOff>
      <xdr:row>29</xdr:row>
      <xdr:rowOff>190502</xdr:rowOff>
    </xdr:to>
    <xdr:cxnSp macro="">
      <xdr:nvCxnSpPr>
        <xdr:cNvPr id="216" name="Straight Connector 215"/>
        <xdr:cNvCxnSpPr/>
      </xdr:nvCxnSpPr>
      <xdr:spPr>
        <a:xfrm flipV="1">
          <a:off x="6787242" y="534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217" name="Straight Connector 216"/>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218" name="Straight Connector 217"/>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28</xdr:row>
      <xdr:rowOff>27216</xdr:rowOff>
    </xdr:from>
    <xdr:to>
      <xdr:col>10</xdr:col>
      <xdr:colOff>898071</xdr:colOff>
      <xdr:row>30</xdr:row>
      <xdr:rowOff>0</xdr:rowOff>
    </xdr:to>
    <xdr:cxnSp macro="">
      <xdr:nvCxnSpPr>
        <xdr:cNvPr id="219" name="Straight Connector 218"/>
        <xdr:cNvCxnSpPr/>
      </xdr:nvCxnSpPr>
      <xdr:spPr>
        <a:xfrm flipV="1">
          <a:off x="6096000" y="5361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220" name="Straight Connector 219"/>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38</xdr:row>
      <xdr:rowOff>13608</xdr:rowOff>
    </xdr:from>
    <xdr:to>
      <xdr:col>12</xdr:col>
      <xdr:colOff>27214</xdr:colOff>
      <xdr:row>39</xdr:row>
      <xdr:rowOff>190502</xdr:rowOff>
    </xdr:to>
    <xdr:cxnSp macro="">
      <xdr:nvCxnSpPr>
        <xdr:cNvPr id="221" name="Straight Connector 220"/>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222" name="Straight Connector 221"/>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38</xdr:row>
      <xdr:rowOff>40821</xdr:rowOff>
    </xdr:from>
    <xdr:to>
      <xdr:col>14</xdr:col>
      <xdr:colOff>911678</xdr:colOff>
      <xdr:row>39</xdr:row>
      <xdr:rowOff>149677</xdr:rowOff>
    </xdr:to>
    <xdr:cxnSp macro="">
      <xdr:nvCxnSpPr>
        <xdr:cNvPr id="223" name="Straight Connector 222"/>
        <xdr:cNvCxnSpPr/>
      </xdr:nvCxnSpPr>
      <xdr:spPr>
        <a:xfrm flipV="1">
          <a:off x="8561613" y="727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224" name="Straight Connector 223"/>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225" name="Straight Connector 224"/>
        <xdr:cNvCxnSpPr/>
      </xdr:nvCxnSpPr>
      <xdr:spPr>
        <a:xfrm flipV="1">
          <a:off x="9198428" y="726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226" name="Straight Connector 225"/>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227" name="Straight Connector 226"/>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228" name="Straight Connector 227"/>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229" name="Straight Connector 228"/>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30" name="Straight Connector 229"/>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13607</xdr:colOff>
      <xdr:row>70</xdr:row>
      <xdr:rowOff>13608</xdr:rowOff>
    </xdr:from>
    <xdr:to>
      <xdr:col>11</xdr:col>
      <xdr:colOff>898071</xdr:colOff>
      <xdr:row>71</xdr:row>
      <xdr:rowOff>190502</xdr:rowOff>
    </xdr:to>
    <xdr:cxnSp macro="">
      <xdr:nvCxnSpPr>
        <xdr:cNvPr id="2" name="Straight Connector 1"/>
        <xdr:cNvCxnSpPr/>
      </xdr:nvCxnSpPr>
      <xdr:spPr>
        <a:xfrm flipV="1">
          <a:off x="6719207" y="13348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3" name="Straight Connector 2"/>
        <xdr:cNvCxnSpPr/>
      </xdr:nvCxnSpPr>
      <xdr:spPr>
        <a:xfrm flipV="1">
          <a:off x="7315200" y="13375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4" name="Straight Connector 3"/>
        <xdr:cNvCxnSpPr/>
      </xdr:nvCxnSpPr>
      <xdr:spPr>
        <a:xfrm flipV="1">
          <a:off x="8561614" y="13375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70</xdr:row>
      <xdr:rowOff>27214</xdr:rowOff>
    </xdr:from>
    <xdr:to>
      <xdr:col>16</xdr:col>
      <xdr:colOff>0</xdr:colOff>
      <xdr:row>72</xdr:row>
      <xdr:rowOff>0</xdr:rowOff>
    </xdr:to>
    <xdr:cxnSp macro="">
      <xdr:nvCxnSpPr>
        <xdr:cNvPr id="5" name="Straight Connector 4"/>
        <xdr:cNvCxnSpPr/>
      </xdr:nvCxnSpPr>
      <xdr:spPr>
        <a:xfrm flipV="1">
          <a:off x="9144001" y="13362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70</xdr:row>
      <xdr:rowOff>1</xdr:rowOff>
    </xdr:from>
    <xdr:to>
      <xdr:col>11</xdr:col>
      <xdr:colOff>13607</xdr:colOff>
      <xdr:row>71</xdr:row>
      <xdr:rowOff>176895</xdr:rowOff>
    </xdr:to>
    <xdr:cxnSp macro="">
      <xdr:nvCxnSpPr>
        <xdr:cNvPr id="6" name="Straight Connector 5"/>
        <xdr:cNvCxnSpPr/>
      </xdr:nvCxnSpPr>
      <xdr:spPr>
        <a:xfrm flipV="1">
          <a:off x="6150429" y="13335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74</xdr:row>
      <xdr:rowOff>13608</xdr:rowOff>
    </xdr:from>
    <xdr:to>
      <xdr:col>11</xdr:col>
      <xdr:colOff>898071</xdr:colOff>
      <xdr:row>75</xdr:row>
      <xdr:rowOff>190502</xdr:rowOff>
    </xdr:to>
    <xdr:cxnSp macro="">
      <xdr:nvCxnSpPr>
        <xdr:cNvPr id="7" name="Straight Connector 6"/>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8" name="Straight Connector 7"/>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9" name="Straight Connector 8"/>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74</xdr:row>
      <xdr:rowOff>13608</xdr:rowOff>
    </xdr:from>
    <xdr:to>
      <xdr:col>10</xdr:col>
      <xdr:colOff>884464</xdr:colOff>
      <xdr:row>76</xdr:row>
      <xdr:rowOff>0</xdr:rowOff>
    </xdr:to>
    <xdr:cxnSp macro="">
      <xdr:nvCxnSpPr>
        <xdr:cNvPr id="10" name="Straight Connector 9"/>
        <xdr:cNvCxnSpPr/>
      </xdr:nvCxnSpPr>
      <xdr:spPr>
        <a:xfrm flipV="1">
          <a:off x="6097361" y="14110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74</xdr:row>
      <xdr:rowOff>27217</xdr:rowOff>
    </xdr:from>
    <xdr:to>
      <xdr:col>15</xdr:col>
      <xdr:colOff>938894</xdr:colOff>
      <xdr:row>75</xdr:row>
      <xdr:rowOff>163286</xdr:rowOff>
    </xdr:to>
    <xdr:cxnSp macro="">
      <xdr:nvCxnSpPr>
        <xdr:cNvPr id="11" name="Straight Connector 10"/>
        <xdr:cNvCxnSpPr/>
      </xdr:nvCxnSpPr>
      <xdr:spPr>
        <a:xfrm flipV="1">
          <a:off x="9225643" y="14124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72</xdr:row>
      <xdr:rowOff>13608</xdr:rowOff>
    </xdr:from>
    <xdr:to>
      <xdr:col>11</xdr:col>
      <xdr:colOff>898071</xdr:colOff>
      <xdr:row>73</xdr:row>
      <xdr:rowOff>190502</xdr:rowOff>
    </xdr:to>
    <xdr:cxnSp macro="">
      <xdr:nvCxnSpPr>
        <xdr:cNvPr id="12" name="Straight Connector 11"/>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13" name="Straight Connector 12"/>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14" name="Straight Connector 13"/>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72</xdr:row>
      <xdr:rowOff>13608</xdr:rowOff>
    </xdr:from>
    <xdr:to>
      <xdr:col>10</xdr:col>
      <xdr:colOff>884464</xdr:colOff>
      <xdr:row>74</xdr:row>
      <xdr:rowOff>0</xdr:rowOff>
    </xdr:to>
    <xdr:cxnSp macro="">
      <xdr:nvCxnSpPr>
        <xdr:cNvPr id="15" name="Straight Connector 14"/>
        <xdr:cNvCxnSpPr/>
      </xdr:nvCxnSpPr>
      <xdr:spPr>
        <a:xfrm flipV="1">
          <a:off x="6097361" y="13729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72</xdr:row>
      <xdr:rowOff>27217</xdr:rowOff>
    </xdr:from>
    <xdr:to>
      <xdr:col>15</xdr:col>
      <xdr:colOff>938894</xdr:colOff>
      <xdr:row>73</xdr:row>
      <xdr:rowOff>163286</xdr:rowOff>
    </xdr:to>
    <xdr:cxnSp macro="">
      <xdr:nvCxnSpPr>
        <xdr:cNvPr id="16" name="Straight Connector 15"/>
        <xdr:cNvCxnSpPr/>
      </xdr:nvCxnSpPr>
      <xdr:spPr>
        <a:xfrm flipV="1">
          <a:off x="9225643" y="13743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17" name="Straight Connector 16"/>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18" name="Straight Connector 17"/>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19" name="Straight Connector 18"/>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20" name="Straight Connector 19"/>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21" name="Straight Connector 20"/>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22" name="Straight Connector 21"/>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23" name="Straight Connector 22"/>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24" name="Straight Connector 23"/>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25" name="Straight Connector 24"/>
        <xdr:cNvCxnSpPr/>
      </xdr:nvCxnSpPr>
      <xdr:spPr>
        <a:xfrm flipV="1">
          <a:off x="6787242" y="1677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26" name="Straight Connector 25"/>
        <xdr:cNvCxnSpPr/>
      </xdr:nvCxnSpPr>
      <xdr:spPr>
        <a:xfrm flipV="1">
          <a:off x="6109607" y="1677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27" name="Straight Connector 26"/>
        <xdr:cNvCxnSpPr/>
      </xdr:nvCxnSpPr>
      <xdr:spPr>
        <a:xfrm flipV="1">
          <a:off x="73492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28" name="Straight Connector 27"/>
        <xdr:cNvCxnSpPr/>
      </xdr:nvCxnSpPr>
      <xdr:spPr>
        <a:xfrm flipV="1">
          <a:off x="9171214" y="1678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29" name="Straight Connector 28"/>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30" name="Straight Connector 29"/>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31" name="Straight Connector 30"/>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32" name="Straight Connector 31"/>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33" name="Straight Connector 32"/>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4" name="Straight Connector 33"/>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5" name="Straight Connector 34"/>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36" name="Straight Connector 35"/>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37" name="Straight Connector 36"/>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38" name="Straight Connector 37"/>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9" name="Straight Connector 38"/>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94</xdr:row>
      <xdr:rowOff>3</xdr:rowOff>
    </xdr:from>
    <xdr:to>
      <xdr:col>15</xdr:col>
      <xdr:colOff>40822</xdr:colOff>
      <xdr:row>95</xdr:row>
      <xdr:rowOff>149679</xdr:rowOff>
    </xdr:to>
    <xdr:cxnSp macro="">
      <xdr:nvCxnSpPr>
        <xdr:cNvPr id="40" name="Straight Connector 39"/>
        <xdr:cNvCxnSpPr/>
      </xdr:nvCxnSpPr>
      <xdr:spPr>
        <a:xfrm flipV="1">
          <a:off x="8571820" y="17907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41" name="Straight Connector 40"/>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42" name="Straight Connector 41"/>
        <xdr:cNvCxnSpPr/>
      </xdr:nvCxnSpPr>
      <xdr:spPr>
        <a:xfrm flipV="1">
          <a:off x="6787242" y="1849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43" name="Straight Connector 42"/>
        <xdr:cNvCxnSpPr/>
      </xdr:nvCxnSpPr>
      <xdr:spPr>
        <a:xfrm flipV="1">
          <a:off x="6109607" y="1849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44" name="Straight Connector 43"/>
        <xdr:cNvCxnSpPr/>
      </xdr:nvCxnSpPr>
      <xdr:spPr>
        <a:xfrm flipV="1">
          <a:off x="7349218" y="1849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45" name="Straight Connector 44"/>
        <xdr:cNvCxnSpPr/>
      </xdr:nvCxnSpPr>
      <xdr:spPr>
        <a:xfrm flipV="1">
          <a:off x="9171214" y="1849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46" name="Straight Connector 45"/>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47" name="Straight Connector 46"/>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48" name="Straight Connector 47"/>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49" name="Straight Connector 48"/>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50" name="Straight Connector 49"/>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51" name="Straight Connector 50"/>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52" name="Straight Connector 51"/>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101</xdr:row>
      <xdr:rowOff>3</xdr:rowOff>
    </xdr:from>
    <xdr:to>
      <xdr:col>15</xdr:col>
      <xdr:colOff>40822</xdr:colOff>
      <xdr:row>102</xdr:row>
      <xdr:rowOff>149679</xdr:rowOff>
    </xdr:to>
    <xdr:cxnSp macro="">
      <xdr:nvCxnSpPr>
        <xdr:cNvPr id="53" name="Straight Connector 52"/>
        <xdr:cNvCxnSpPr/>
      </xdr:nvCxnSpPr>
      <xdr:spPr>
        <a:xfrm flipV="1">
          <a:off x="8571820" y="19240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54" name="Straight Connector 53"/>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55" name="Straight Connector 54"/>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56" name="Straight Connector 55"/>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57" name="Straight Connector 56"/>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103</xdr:row>
      <xdr:rowOff>3</xdr:rowOff>
    </xdr:from>
    <xdr:to>
      <xdr:col>15</xdr:col>
      <xdr:colOff>40822</xdr:colOff>
      <xdr:row>104</xdr:row>
      <xdr:rowOff>149679</xdr:rowOff>
    </xdr:to>
    <xdr:cxnSp macro="">
      <xdr:nvCxnSpPr>
        <xdr:cNvPr id="58" name="Straight Connector 57"/>
        <xdr:cNvCxnSpPr/>
      </xdr:nvCxnSpPr>
      <xdr:spPr>
        <a:xfrm flipV="1">
          <a:off x="8571820" y="19621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59" name="Straight Connector 58"/>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60" name="Straight Connector 59"/>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61" name="Straight Connector 60"/>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62" name="Straight Connector 61"/>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79</xdr:row>
      <xdr:rowOff>40825</xdr:rowOff>
    </xdr:from>
    <xdr:to>
      <xdr:col>15</xdr:col>
      <xdr:colOff>54429</xdr:colOff>
      <xdr:row>80</xdr:row>
      <xdr:rowOff>190501</xdr:rowOff>
    </xdr:to>
    <xdr:cxnSp macro="">
      <xdr:nvCxnSpPr>
        <xdr:cNvPr id="63" name="Straight Connector 62"/>
        <xdr:cNvCxnSpPr/>
      </xdr:nvCxnSpPr>
      <xdr:spPr>
        <a:xfrm flipV="1">
          <a:off x="8585427" y="15090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64" name="Straight Connector 63"/>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65" name="Straight Connector 64"/>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66" name="Straight Connector 65"/>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67" name="Straight Connector 66"/>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68" name="Straight Connector 67"/>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9" name="Straight Connector 68"/>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70" name="Straight Connector 69"/>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71" name="Straight Connector 70"/>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72" name="Straight Connector 71"/>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99</xdr:row>
      <xdr:rowOff>17010</xdr:rowOff>
    </xdr:from>
    <xdr:to>
      <xdr:col>14</xdr:col>
      <xdr:colOff>903173</xdr:colOff>
      <xdr:row>100</xdr:row>
      <xdr:rowOff>192200</xdr:rowOff>
    </xdr:to>
    <xdr:cxnSp macro="">
      <xdr:nvCxnSpPr>
        <xdr:cNvPr id="73" name="Straight Connector 72"/>
        <xdr:cNvCxnSpPr/>
      </xdr:nvCxnSpPr>
      <xdr:spPr>
        <a:xfrm flipV="1">
          <a:off x="8554811" y="18876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92</xdr:row>
      <xdr:rowOff>3404</xdr:rowOff>
    </xdr:from>
    <xdr:to>
      <xdr:col>15</xdr:col>
      <xdr:colOff>5101</xdr:colOff>
      <xdr:row>93</xdr:row>
      <xdr:rowOff>178593</xdr:rowOff>
    </xdr:to>
    <xdr:cxnSp macro="">
      <xdr:nvCxnSpPr>
        <xdr:cNvPr id="74" name="Straight Connector 73"/>
        <xdr:cNvCxnSpPr/>
      </xdr:nvCxnSpPr>
      <xdr:spPr>
        <a:xfrm flipV="1">
          <a:off x="8582025" y="17529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90</xdr:row>
      <xdr:rowOff>17011</xdr:rowOff>
    </xdr:from>
    <xdr:to>
      <xdr:col>15</xdr:col>
      <xdr:colOff>5101</xdr:colOff>
      <xdr:row>91</xdr:row>
      <xdr:rowOff>192201</xdr:rowOff>
    </xdr:to>
    <xdr:cxnSp macro="">
      <xdr:nvCxnSpPr>
        <xdr:cNvPr id="75" name="Straight Connector 74"/>
        <xdr:cNvCxnSpPr/>
      </xdr:nvCxnSpPr>
      <xdr:spPr>
        <a:xfrm flipV="1">
          <a:off x="8582025" y="17162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88</xdr:row>
      <xdr:rowOff>17011</xdr:rowOff>
    </xdr:from>
    <xdr:to>
      <xdr:col>14</xdr:col>
      <xdr:colOff>916780</xdr:colOff>
      <xdr:row>89</xdr:row>
      <xdr:rowOff>192201</xdr:rowOff>
    </xdr:to>
    <xdr:cxnSp macro="">
      <xdr:nvCxnSpPr>
        <xdr:cNvPr id="76" name="Straight Connector 75"/>
        <xdr:cNvCxnSpPr/>
      </xdr:nvCxnSpPr>
      <xdr:spPr>
        <a:xfrm flipV="1">
          <a:off x="85684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85</xdr:row>
      <xdr:rowOff>17011</xdr:rowOff>
    </xdr:from>
    <xdr:to>
      <xdr:col>15</xdr:col>
      <xdr:colOff>32315</xdr:colOff>
      <xdr:row>86</xdr:row>
      <xdr:rowOff>192201</xdr:rowOff>
    </xdr:to>
    <xdr:cxnSp macro="">
      <xdr:nvCxnSpPr>
        <xdr:cNvPr id="77" name="Straight Connector 76"/>
        <xdr:cNvCxnSpPr/>
      </xdr:nvCxnSpPr>
      <xdr:spPr>
        <a:xfrm flipV="1">
          <a:off x="8609239" y="16209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83</xdr:row>
      <xdr:rowOff>17011</xdr:rowOff>
    </xdr:from>
    <xdr:to>
      <xdr:col>15</xdr:col>
      <xdr:colOff>32315</xdr:colOff>
      <xdr:row>84</xdr:row>
      <xdr:rowOff>192201</xdr:rowOff>
    </xdr:to>
    <xdr:cxnSp macro="">
      <xdr:nvCxnSpPr>
        <xdr:cNvPr id="78" name="Straight Connector 77"/>
        <xdr:cNvCxnSpPr/>
      </xdr:nvCxnSpPr>
      <xdr:spPr>
        <a:xfrm flipV="1">
          <a:off x="8609239" y="15828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81</xdr:row>
      <xdr:rowOff>3403</xdr:rowOff>
    </xdr:from>
    <xdr:to>
      <xdr:col>15</xdr:col>
      <xdr:colOff>18708</xdr:colOff>
      <xdr:row>82</xdr:row>
      <xdr:rowOff>178593</xdr:rowOff>
    </xdr:to>
    <xdr:cxnSp macro="">
      <xdr:nvCxnSpPr>
        <xdr:cNvPr id="79" name="Straight Connector 78"/>
        <xdr:cNvCxnSpPr/>
      </xdr:nvCxnSpPr>
      <xdr:spPr>
        <a:xfrm flipV="1">
          <a:off x="8595632" y="15433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52</xdr:row>
      <xdr:rowOff>27214</xdr:rowOff>
    </xdr:from>
    <xdr:to>
      <xdr:col>15</xdr:col>
      <xdr:colOff>898072</xdr:colOff>
      <xdr:row>53</xdr:row>
      <xdr:rowOff>149678</xdr:rowOff>
    </xdr:to>
    <xdr:cxnSp macro="">
      <xdr:nvCxnSpPr>
        <xdr:cNvPr id="80" name="Straight Connector 79"/>
        <xdr:cNvCxnSpPr/>
      </xdr:nvCxnSpPr>
      <xdr:spPr>
        <a:xfrm flipV="1">
          <a:off x="9171214" y="9933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81" name="Straight Connector 80"/>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82" name="Straight Connector 81"/>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83" name="Straight Connector 82"/>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84" name="Straight Connector 83"/>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62</xdr:row>
      <xdr:rowOff>27214</xdr:rowOff>
    </xdr:from>
    <xdr:to>
      <xdr:col>15</xdr:col>
      <xdr:colOff>898072</xdr:colOff>
      <xdr:row>63</xdr:row>
      <xdr:rowOff>149678</xdr:rowOff>
    </xdr:to>
    <xdr:cxnSp macro="">
      <xdr:nvCxnSpPr>
        <xdr:cNvPr id="85" name="Straight Connector 84"/>
        <xdr:cNvCxnSpPr/>
      </xdr:nvCxnSpPr>
      <xdr:spPr>
        <a:xfrm flipV="1">
          <a:off x="9171214" y="11838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62</xdr:row>
      <xdr:rowOff>13607</xdr:rowOff>
    </xdr:from>
    <xdr:to>
      <xdr:col>10</xdr:col>
      <xdr:colOff>911677</xdr:colOff>
      <xdr:row>64</xdr:row>
      <xdr:rowOff>0</xdr:rowOff>
    </xdr:to>
    <xdr:cxnSp macro="">
      <xdr:nvCxnSpPr>
        <xdr:cNvPr id="86" name="Straight Connector 85"/>
        <xdr:cNvCxnSpPr/>
      </xdr:nvCxnSpPr>
      <xdr:spPr>
        <a:xfrm flipV="1">
          <a:off x="6109607" y="11824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62</xdr:row>
      <xdr:rowOff>13608</xdr:rowOff>
    </xdr:from>
    <xdr:to>
      <xdr:col>12</xdr:col>
      <xdr:colOff>27214</xdr:colOff>
      <xdr:row>63</xdr:row>
      <xdr:rowOff>190502</xdr:rowOff>
    </xdr:to>
    <xdr:cxnSp macro="">
      <xdr:nvCxnSpPr>
        <xdr:cNvPr id="87" name="Straight Connector 86"/>
        <xdr:cNvCxnSpPr/>
      </xdr:nvCxnSpPr>
      <xdr:spPr>
        <a:xfrm flipV="1">
          <a:off x="6787242" y="1182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62</xdr:row>
      <xdr:rowOff>17011</xdr:rowOff>
    </xdr:from>
    <xdr:to>
      <xdr:col>12</xdr:col>
      <xdr:colOff>916780</xdr:colOff>
      <xdr:row>63</xdr:row>
      <xdr:rowOff>192201</xdr:rowOff>
    </xdr:to>
    <xdr:cxnSp macro="">
      <xdr:nvCxnSpPr>
        <xdr:cNvPr id="88" name="Straight Connector 87"/>
        <xdr:cNvCxnSpPr/>
      </xdr:nvCxnSpPr>
      <xdr:spPr>
        <a:xfrm flipV="1">
          <a:off x="7349218" y="1182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62</xdr:row>
      <xdr:rowOff>54428</xdr:rowOff>
    </xdr:from>
    <xdr:to>
      <xdr:col>14</xdr:col>
      <xdr:colOff>884463</xdr:colOff>
      <xdr:row>63</xdr:row>
      <xdr:rowOff>163285</xdr:rowOff>
    </xdr:to>
    <xdr:cxnSp macro="">
      <xdr:nvCxnSpPr>
        <xdr:cNvPr id="89" name="Straight Connector 88"/>
        <xdr:cNvCxnSpPr/>
      </xdr:nvCxnSpPr>
      <xdr:spPr>
        <a:xfrm flipV="1">
          <a:off x="8537119" y="11865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77</xdr:row>
      <xdr:rowOff>13610</xdr:rowOff>
    </xdr:from>
    <xdr:to>
      <xdr:col>15</xdr:col>
      <xdr:colOff>54429</xdr:colOff>
      <xdr:row>78</xdr:row>
      <xdr:rowOff>163286</xdr:rowOff>
    </xdr:to>
    <xdr:cxnSp macro="">
      <xdr:nvCxnSpPr>
        <xdr:cNvPr id="90" name="Straight Connector 89"/>
        <xdr:cNvCxnSpPr/>
      </xdr:nvCxnSpPr>
      <xdr:spPr>
        <a:xfrm flipV="1">
          <a:off x="8585427" y="14682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45</xdr:row>
      <xdr:rowOff>13607</xdr:rowOff>
    </xdr:from>
    <xdr:to>
      <xdr:col>10</xdr:col>
      <xdr:colOff>911677</xdr:colOff>
      <xdr:row>47</xdr:row>
      <xdr:rowOff>0</xdr:rowOff>
    </xdr:to>
    <xdr:cxnSp macro="">
      <xdr:nvCxnSpPr>
        <xdr:cNvPr id="91" name="Straight Connector 90"/>
        <xdr:cNvCxnSpPr/>
      </xdr:nvCxnSpPr>
      <xdr:spPr>
        <a:xfrm flipV="1">
          <a:off x="6109607" y="8586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92" name="Straight Connector 91"/>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93" name="Straight Connector 92"/>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45</xdr:row>
      <xdr:rowOff>54428</xdr:rowOff>
    </xdr:from>
    <xdr:to>
      <xdr:col>14</xdr:col>
      <xdr:colOff>884463</xdr:colOff>
      <xdr:row>46</xdr:row>
      <xdr:rowOff>163285</xdr:rowOff>
    </xdr:to>
    <xdr:cxnSp macro="">
      <xdr:nvCxnSpPr>
        <xdr:cNvPr id="94" name="Straight Connector 93"/>
        <xdr:cNvCxnSpPr/>
      </xdr:nvCxnSpPr>
      <xdr:spPr>
        <a:xfrm flipV="1">
          <a:off x="8537119" y="8626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49</xdr:row>
      <xdr:rowOff>27214</xdr:rowOff>
    </xdr:from>
    <xdr:to>
      <xdr:col>15</xdr:col>
      <xdr:colOff>898072</xdr:colOff>
      <xdr:row>50</xdr:row>
      <xdr:rowOff>149678</xdr:rowOff>
    </xdr:to>
    <xdr:cxnSp macro="">
      <xdr:nvCxnSpPr>
        <xdr:cNvPr id="95" name="Straight Connector 94"/>
        <xdr:cNvCxnSpPr/>
      </xdr:nvCxnSpPr>
      <xdr:spPr>
        <a:xfrm flipV="1">
          <a:off x="9171214" y="9361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49</xdr:row>
      <xdr:rowOff>13607</xdr:rowOff>
    </xdr:from>
    <xdr:to>
      <xdr:col>10</xdr:col>
      <xdr:colOff>911677</xdr:colOff>
      <xdr:row>51</xdr:row>
      <xdr:rowOff>0</xdr:rowOff>
    </xdr:to>
    <xdr:cxnSp macro="">
      <xdr:nvCxnSpPr>
        <xdr:cNvPr id="96" name="Straight Connector 95"/>
        <xdr:cNvCxnSpPr/>
      </xdr:nvCxnSpPr>
      <xdr:spPr>
        <a:xfrm flipV="1">
          <a:off x="6109607" y="9348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49</xdr:row>
      <xdr:rowOff>13608</xdr:rowOff>
    </xdr:from>
    <xdr:to>
      <xdr:col>12</xdr:col>
      <xdr:colOff>27214</xdr:colOff>
      <xdr:row>50</xdr:row>
      <xdr:rowOff>190502</xdr:rowOff>
    </xdr:to>
    <xdr:cxnSp macro="">
      <xdr:nvCxnSpPr>
        <xdr:cNvPr id="97" name="Straight Connector 96"/>
        <xdr:cNvCxnSpPr/>
      </xdr:nvCxnSpPr>
      <xdr:spPr>
        <a:xfrm flipV="1">
          <a:off x="6787242" y="934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49</xdr:row>
      <xdr:rowOff>17011</xdr:rowOff>
    </xdr:from>
    <xdr:to>
      <xdr:col>12</xdr:col>
      <xdr:colOff>916780</xdr:colOff>
      <xdr:row>50</xdr:row>
      <xdr:rowOff>192201</xdr:rowOff>
    </xdr:to>
    <xdr:cxnSp macro="">
      <xdr:nvCxnSpPr>
        <xdr:cNvPr id="98" name="Straight Connector 97"/>
        <xdr:cNvCxnSpPr/>
      </xdr:nvCxnSpPr>
      <xdr:spPr>
        <a:xfrm flipV="1">
          <a:off x="7349218" y="935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49</xdr:row>
      <xdr:rowOff>54428</xdr:rowOff>
    </xdr:from>
    <xdr:to>
      <xdr:col>14</xdr:col>
      <xdr:colOff>884463</xdr:colOff>
      <xdr:row>50</xdr:row>
      <xdr:rowOff>163285</xdr:rowOff>
    </xdr:to>
    <xdr:cxnSp macro="">
      <xdr:nvCxnSpPr>
        <xdr:cNvPr id="99" name="Straight Connector 98"/>
        <xdr:cNvCxnSpPr/>
      </xdr:nvCxnSpPr>
      <xdr:spPr>
        <a:xfrm flipV="1">
          <a:off x="8537119" y="9388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47</xdr:row>
      <xdr:rowOff>27214</xdr:rowOff>
    </xdr:from>
    <xdr:to>
      <xdr:col>15</xdr:col>
      <xdr:colOff>898072</xdr:colOff>
      <xdr:row>48</xdr:row>
      <xdr:rowOff>149678</xdr:rowOff>
    </xdr:to>
    <xdr:cxnSp macro="">
      <xdr:nvCxnSpPr>
        <xdr:cNvPr id="100" name="Straight Connector 99"/>
        <xdr:cNvCxnSpPr/>
      </xdr:nvCxnSpPr>
      <xdr:spPr>
        <a:xfrm flipV="1">
          <a:off x="9171214" y="8980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101" name="Straight Connector 100"/>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102" name="Straight Connector 101"/>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103" name="Straight Connector 102"/>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104" name="Straight Connector 103"/>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108</xdr:row>
      <xdr:rowOff>0</xdr:rowOff>
    </xdr:from>
    <xdr:ext cx="17150072" cy="3743326"/>
    <xdr:pic>
      <xdr:nvPicPr>
        <xdr:cNvPr id="105" name="Picture 104"/>
        <xdr:cNvPicPr>
          <a:picLocks noChangeAspect="1" noChangeArrowheads="1"/>
          <a:extLst/>
        </xdr:cNvPicPr>
      </xdr:nvPicPr>
      <xdr:blipFill>
        <a:blip xmlns:r="http://schemas.openxmlformats.org/officeDocument/2006/relationships" r:embed="rId1"/>
        <a:srcRect/>
        <a:stretch>
          <a:fillRect/>
        </a:stretch>
      </xdr:blipFill>
      <xdr:spPr bwMode="auto">
        <a:xfrm>
          <a:off x="609600" y="20574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124</xdr:row>
      <xdr:rowOff>176894</xdr:rowOff>
    </xdr:from>
    <xdr:ext cx="18008063" cy="3743325"/>
    <xdr:pic>
      <xdr:nvPicPr>
        <xdr:cNvPr id="106" name="Picture 105"/>
        <xdr:cNvPicPr>
          <a:picLocks noChangeAspect="1" noChangeArrowheads="1"/>
          <a:extLst/>
        </xdr:cNvPicPr>
      </xdr:nvPicPr>
      <xdr:blipFill>
        <a:blip xmlns:r="http://schemas.openxmlformats.org/officeDocument/2006/relationships" r:embed="rId2"/>
        <a:srcRect/>
        <a:stretch>
          <a:fillRect/>
        </a:stretch>
      </xdr:blipFill>
      <xdr:spPr bwMode="auto">
        <a:xfrm>
          <a:off x="621846" y="23798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34</xdr:row>
      <xdr:rowOff>13608</xdr:rowOff>
    </xdr:from>
    <xdr:to>
      <xdr:col>12</xdr:col>
      <xdr:colOff>27214</xdr:colOff>
      <xdr:row>35</xdr:row>
      <xdr:rowOff>190502</xdr:rowOff>
    </xdr:to>
    <xdr:cxnSp macro="">
      <xdr:nvCxnSpPr>
        <xdr:cNvPr id="107" name="Straight Connector 106"/>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08" name="Straight Connector 107"/>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34</xdr:row>
      <xdr:rowOff>0</xdr:rowOff>
    </xdr:from>
    <xdr:to>
      <xdr:col>15</xdr:col>
      <xdr:colOff>0</xdr:colOff>
      <xdr:row>35</xdr:row>
      <xdr:rowOff>190501</xdr:rowOff>
    </xdr:to>
    <xdr:cxnSp macro="">
      <xdr:nvCxnSpPr>
        <xdr:cNvPr id="109" name="Straight Connector 108"/>
        <xdr:cNvCxnSpPr/>
      </xdr:nvCxnSpPr>
      <xdr:spPr>
        <a:xfrm flipV="1">
          <a:off x="8533039" y="6477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27215</xdr:rowOff>
    </xdr:from>
    <xdr:to>
      <xdr:col>10</xdr:col>
      <xdr:colOff>911678</xdr:colOff>
      <xdr:row>36</xdr:row>
      <xdr:rowOff>0</xdr:rowOff>
    </xdr:to>
    <xdr:cxnSp macro="">
      <xdr:nvCxnSpPr>
        <xdr:cNvPr id="110" name="Straight Connector 109"/>
        <xdr:cNvCxnSpPr/>
      </xdr:nvCxnSpPr>
      <xdr:spPr>
        <a:xfrm flipV="1">
          <a:off x="6096000" y="6504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34</xdr:row>
      <xdr:rowOff>13607</xdr:rowOff>
    </xdr:from>
    <xdr:to>
      <xdr:col>16</xdr:col>
      <xdr:colOff>0</xdr:colOff>
      <xdr:row>36</xdr:row>
      <xdr:rowOff>0</xdr:rowOff>
    </xdr:to>
    <xdr:cxnSp macro="">
      <xdr:nvCxnSpPr>
        <xdr:cNvPr id="111" name="Straight Connector 110"/>
        <xdr:cNvCxnSpPr/>
      </xdr:nvCxnSpPr>
      <xdr:spPr>
        <a:xfrm flipV="1">
          <a:off x="9171214" y="6490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54</xdr:row>
      <xdr:rowOff>40821</xdr:rowOff>
    </xdr:from>
    <xdr:to>
      <xdr:col>15</xdr:col>
      <xdr:colOff>952500</xdr:colOff>
      <xdr:row>55</xdr:row>
      <xdr:rowOff>163285</xdr:rowOff>
    </xdr:to>
    <xdr:cxnSp macro="">
      <xdr:nvCxnSpPr>
        <xdr:cNvPr id="112" name="Straight Connector 111"/>
        <xdr:cNvCxnSpPr/>
      </xdr:nvCxnSpPr>
      <xdr:spPr>
        <a:xfrm flipV="1">
          <a:off x="9225642" y="10327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13" name="Straight Connector 112"/>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14" name="Straight Connector 113"/>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15" name="Straight Connector 114"/>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16" name="Straight Connector 115"/>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117" name="Straight Connector 116"/>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18" name="Straight Connector 117"/>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19" name="Straight Connector 118"/>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20" name="Straight Connector 119"/>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21" name="Straight Connector 120"/>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22" name="Straight Connector 121"/>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23" name="Straight Connector 122"/>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24" name="Straight Connector 123"/>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25" name="Straight Connector 124"/>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26" name="Straight Connector 125"/>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127" name="Straight Connector 126"/>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128" name="Straight Connector 127"/>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129" name="Straight Connector 128"/>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130" name="Straight Connector 129"/>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131" name="Straight Connector 130"/>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45</xdr:row>
      <xdr:rowOff>27216</xdr:rowOff>
    </xdr:from>
    <xdr:to>
      <xdr:col>16</xdr:col>
      <xdr:colOff>27215</xdr:colOff>
      <xdr:row>46</xdr:row>
      <xdr:rowOff>176893</xdr:rowOff>
    </xdr:to>
    <xdr:cxnSp macro="">
      <xdr:nvCxnSpPr>
        <xdr:cNvPr id="132" name="Straight Connector 131"/>
        <xdr:cNvCxnSpPr/>
      </xdr:nvCxnSpPr>
      <xdr:spPr>
        <a:xfrm flipV="1">
          <a:off x="9198428" y="8599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898070</xdr:colOff>
      <xdr:row>37</xdr:row>
      <xdr:rowOff>176892</xdr:rowOff>
    </xdr:from>
    <xdr:to>
      <xdr:col>14</xdr:col>
      <xdr:colOff>911679</xdr:colOff>
      <xdr:row>38</xdr:row>
      <xdr:rowOff>0</xdr:rowOff>
    </xdr:to>
    <xdr:cxnSp macro="">
      <xdr:nvCxnSpPr>
        <xdr:cNvPr id="133" name="Straight Connector 132"/>
        <xdr:cNvCxnSpPr/>
      </xdr:nvCxnSpPr>
      <xdr:spPr>
        <a:xfrm flipV="1">
          <a:off x="8537120" y="7225392"/>
          <a:ext cx="604159" cy="136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28</xdr:row>
      <xdr:rowOff>13608</xdr:rowOff>
    </xdr:from>
    <xdr:to>
      <xdr:col>12</xdr:col>
      <xdr:colOff>27214</xdr:colOff>
      <xdr:row>29</xdr:row>
      <xdr:rowOff>190502</xdr:rowOff>
    </xdr:to>
    <xdr:cxnSp macro="">
      <xdr:nvCxnSpPr>
        <xdr:cNvPr id="134" name="Straight Connector 133"/>
        <xdr:cNvCxnSpPr/>
      </xdr:nvCxnSpPr>
      <xdr:spPr>
        <a:xfrm flipV="1">
          <a:off x="6787242" y="534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35" name="Straight Connector 134"/>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36" name="Straight Connector 135"/>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13609</xdr:rowOff>
    </xdr:from>
    <xdr:to>
      <xdr:col>10</xdr:col>
      <xdr:colOff>911678</xdr:colOff>
      <xdr:row>29</xdr:row>
      <xdr:rowOff>190501</xdr:rowOff>
    </xdr:to>
    <xdr:cxnSp macro="">
      <xdr:nvCxnSpPr>
        <xdr:cNvPr id="137" name="Straight Connector 136"/>
        <xdr:cNvCxnSpPr/>
      </xdr:nvCxnSpPr>
      <xdr:spPr>
        <a:xfrm flipV="1">
          <a:off x="6109607" y="5347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38" name="Straight Connector 137"/>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36</xdr:row>
      <xdr:rowOff>13608</xdr:rowOff>
    </xdr:from>
    <xdr:to>
      <xdr:col>12</xdr:col>
      <xdr:colOff>27214</xdr:colOff>
      <xdr:row>37</xdr:row>
      <xdr:rowOff>190500</xdr:rowOff>
    </xdr:to>
    <xdr:cxnSp macro="">
      <xdr:nvCxnSpPr>
        <xdr:cNvPr id="139" name="Straight Connector 138"/>
        <xdr:cNvCxnSpPr/>
      </xdr:nvCxnSpPr>
      <xdr:spPr>
        <a:xfrm flipV="1">
          <a:off x="6732814" y="6871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40" name="Straight Connector 139"/>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35</xdr:row>
      <xdr:rowOff>190500</xdr:rowOff>
    </xdr:from>
    <xdr:to>
      <xdr:col>15</xdr:col>
      <xdr:colOff>27214</xdr:colOff>
      <xdr:row>37</xdr:row>
      <xdr:rowOff>176894</xdr:rowOff>
    </xdr:to>
    <xdr:cxnSp macro="">
      <xdr:nvCxnSpPr>
        <xdr:cNvPr id="141" name="Straight Connector 140"/>
        <xdr:cNvCxnSpPr/>
      </xdr:nvCxnSpPr>
      <xdr:spPr>
        <a:xfrm flipV="1">
          <a:off x="8561614" y="6858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36</xdr:row>
      <xdr:rowOff>0</xdr:rowOff>
    </xdr:from>
    <xdr:to>
      <xdr:col>11</xdr:col>
      <xdr:colOff>13607</xdr:colOff>
      <xdr:row>37</xdr:row>
      <xdr:rowOff>176892</xdr:rowOff>
    </xdr:to>
    <xdr:cxnSp macro="">
      <xdr:nvCxnSpPr>
        <xdr:cNvPr id="142" name="Straight Connector 141"/>
        <xdr:cNvCxnSpPr/>
      </xdr:nvCxnSpPr>
      <xdr:spPr>
        <a:xfrm flipV="1">
          <a:off x="6123215" y="6858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36</xdr:row>
      <xdr:rowOff>0</xdr:rowOff>
    </xdr:from>
    <xdr:to>
      <xdr:col>15</xdr:col>
      <xdr:colOff>952500</xdr:colOff>
      <xdr:row>37</xdr:row>
      <xdr:rowOff>190501</xdr:rowOff>
    </xdr:to>
    <xdr:cxnSp macro="">
      <xdr:nvCxnSpPr>
        <xdr:cNvPr id="143" name="Straight Connector 142"/>
        <xdr:cNvCxnSpPr/>
      </xdr:nvCxnSpPr>
      <xdr:spPr>
        <a:xfrm flipV="1">
          <a:off x="9141279" y="6858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144" name="Straight Connector 143"/>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45" name="Straight Connector 144"/>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146" name="Straight Connector 145"/>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27216</xdr:rowOff>
    </xdr:from>
    <xdr:to>
      <xdr:col>10</xdr:col>
      <xdr:colOff>898071</xdr:colOff>
      <xdr:row>34</xdr:row>
      <xdr:rowOff>0</xdr:rowOff>
    </xdr:to>
    <xdr:cxnSp macro="">
      <xdr:nvCxnSpPr>
        <xdr:cNvPr id="147" name="Straight Connector 146"/>
        <xdr:cNvCxnSpPr/>
      </xdr:nvCxnSpPr>
      <xdr:spPr>
        <a:xfrm flipV="1">
          <a:off x="6096000" y="6123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148" name="Straight Connector 147"/>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149" name="Straight Connector 148"/>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50" name="Straight Connector 149"/>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51" name="Straight Connector 150"/>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152" name="Straight Connector 151"/>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53" name="Straight Connector 152"/>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55" name="Straight Connector 154"/>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56" name="Straight Connector 155"/>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57" name="Straight Connector 156"/>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13609</xdr:rowOff>
    </xdr:from>
    <xdr:to>
      <xdr:col>11</xdr:col>
      <xdr:colOff>40820</xdr:colOff>
      <xdr:row>7</xdr:row>
      <xdr:rowOff>190500</xdr:rowOff>
    </xdr:to>
    <xdr:cxnSp macro="">
      <xdr:nvCxnSpPr>
        <xdr:cNvPr id="158" name="Straight Connector 157"/>
        <xdr:cNvCxnSpPr/>
      </xdr:nvCxnSpPr>
      <xdr:spPr>
        <a:xfrm flipV="1">
          <a:off x="6164035" y="1156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59" name="Straight Connector 158"/>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60" name="Straight Connector 159"/>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61" name="Straight Connector 160"/>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62" name="Straight Connector 161"/>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63" name="Straight Connector 162"/>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64" name="Straight Connector 163"/>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165" name="Straight Connector 164"/>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166" name="Straight Connector 165"/>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167" name="Straight Connector 166"/>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168" name="Straight Connector 167"/>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169" name="Straight Connector 168"/>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170" name="Straight Connector 169"/>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71" name="Straight Connector 170"/>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72" name="Straight Connector 171"/>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173" name="Straight Connector 172"/>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74" name="Straight Connector 173"/>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75" name="Straight Connector 174"/>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76" name="Straight Connector 175"/>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77" name="Straight Connector 176"/>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178" name="Straight Connector 177"/>
        <xdr:cNvCxnSpPr/>
      </xdr:nvCxnSpPr>
      <xdr:spPr>
        <a:xfrm flipV="1">
          <a:off x="6109607" y="3048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79" name="Straight Connector 178"/>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80" name="Straight Connector 179"/>
        <xdr:cNvCxnSpPr/>
      </xdr:nvCxnSpPr>
      <xdr:spPr>
        <a:xfrm flipV="1">
          <a:off x="6719207" y="3442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81" name="Straight Connector 180"/>
        <xdr:cNvCxnSpPr/>
      </xdr:nvCxnSpPr>
      <xdr:spPr>
        <a:xfrm flipV="1">
          <a:off x="7349218" y="3446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82" name="Straight Connector 181"/>
        <xdr:cNvCxnSpPr/>
      </xdr:nvCxnSpPr>
      <xdr:spPr>
        <a:xfrm flipV="1">
          <a:off x="8561613" y="3469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83" name="Straight Connector 182"/>
        <xdr:cNvCxnSpPr/>
      </xdr:nvCxnSpPr>
      <xdr:spPr>
        <a:xfrm flipV="1">
          <a:off x="6109607" y="3429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84" name="Straight Connector 183"/>
        <xdr:cNvCxnSpPr/>
      </xdr:nvCxnSpPr>
      <xdr:spPr>
        <a:xfrm flipV="1">
          <a:off x="9198428" y="3456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85" name="Straight Connector 184"/>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86" name="Straight Connector 185"/>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87" name="Straight Connector 186"/>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88" name="Straight Connector 187"/>
        <xdr:cNvCxnSpPr/>
      </xdr:nvCxnSpPr>
      <xdr:spPr>
        <a:xfrm flipV="1">
          <a:off x="6164035" y="1524002"/>
          <a:ext cx="582385"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89" name="Straight Connector 188"/>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42</xdr:row>
      <xdr:rowOff>13608</xdr:rowOff>
    </xdr:from>
    <xdr:to>
      <xdr:col>12</xdr:col>
      <xdr:colOff>27214</xdr:colOff>
      <xdr:row>43</xdr:row>
      <xdr:rowOff>190502</xdr:rowOff>
    </xdr:to>
    <xdr:cxnSp macro="">
      <xdr:nvCxnSpPr>
        <xdr:cNvPr id="190" name="Straight Connector 189"/>
        <xdr:cNvCxnSpPr/>
      </xdr:nvCxnSpPr>
      <xdr:spPr>
        <a:xfrm flipV="1">
          <a:off x="6787242" y="801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42</xdr:row>
      <xdr:rowOff>17011</xdr:rowOff>
    </xdr:from>
    <xdr:to>
      <xdr:col>12</xdr:col>
      <xdr:colOff>916780</xdr:colOff>
      <xdr:row>43</xdr:row>
      <xdr:rowOff>192201</xdr:rowOff>
    </xdr:to>
    <xdr:cxnSp macro="">
      <xdr:nvCxnSpPr>
        <xdr:cNvPr id="191" name="Straight Connector 190"/>
        <xdr:cNvCxnSpPr/>
      </xdr:nvCxnSpPr>
      <xdr:spPr>
        <a:xfrm flipV="1">
          <a:off x="7349218" y="801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42</xdr:row>
      <xdr:rowOff>40821</xdr:rowOff>
    </xdr:from>
    <xdr:to>
      <xdr:col>14</xdr:col>
      <xdr:colOff>911678</xdr:colOff>
      <xdr:row>43</xdr:row>
      <xdr:rowOff>149677</xdr:rowOff>
    </xdr:to>
    <xdr:cxnSp macro="">
      <xdr:nvCxnSpPr>
        <xdr:cNvPr id="192" name="Straight Connector 191"/>
        <xdr:cNvCxnSpPr/>
      </xdr:nvCxnSpPr>
      <xdr:spPr>
        <a:xfrm flipV="1">
          <a:off x="8561613" y="804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42</xdr:row>
      <xdr:rowOff>27215</xdr:rowOff>
    </xdr:from>
    <xdr:to>
      <xdr:col>10</xdr:col>
      <xdr:colOff>911678</xdr:colOff>
      <xdr:row>44</xdr:row>
      <xdr:rowOff>0</xdr:rowOff>
    </xdr:to>
    <xdr:cxnSp macro="">
      <xdr:nvCxnSpPr>
        <xdr:cNvPr id="193" name="Straight Connector 192"/>
        <xdr:cNvCxnSpPr/>
      </xdr:nvCxnSpPr>
      <xdr:spPr>
        <a:xfrm flipV="1">
          <a:off x="6096000" y="8028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42</xdr:row>
      <xdr:rowOff>27216</xdr:rowOff>
    </xdr:from>
    <xdr:to>
      <xdr:col>16</xdr:col>
      <xdr:colOff>27215</xdr:colOff>
      <xdr:row>43</xdr:row>
      <xdr:rowOff>176893</xdr:rowOff>
    </xdr:to>
    <xdr:cxnSp macro="">
      <xdr:nvCxnSpPr>
        <xdr:cNvPr id="194" name="Straight Connector 193"/>
        <xdr:cNvCxnSpPr/>
      </xdr:nvCxnSpPr>
      <xdr:spPr>
        <a:xfrm flipV="1">
          <a:off x="9198428" y="802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195" name="Straight Connector 194"/>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196" name="Straight Connector 195"/>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45</xdr:row>
      <xdr:rowOff>27215</xdr:rowOff>
    </xdr:from>
    <xdr:to>
      <xdr:col>10</xdr:col>
      <xdr:colOff>911678</xdr:colOff>
      <xdr:row>47</xdr:row>
      <xdr:rowOff>0</xdr:rowOff>
    </xdr:to>
    <xdr:cxnSp macro="">
      <xdr:nvCxnSpPr>
        <xdr:cNvPr id="197" name="Straight Connector 196"/>
        <xdr:cNvCxnSpPr/>
      </xdr:nvCxnSpPr>
      <xdr:spPr>
        <a:xfrm flipV="1">
          <a:off x="6096000" y="85997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45</xdr:row>
      <xdr:rowOff>27216</xdr:rowOff>
    </xdr:from>
    <xdr:to>
      <xdr:col>16</xdr:col>
      <xdr:colOff>27215</xdr:colOff>
      <xdr:row>46</xdr:row>
      <xdr:rowOff>176893</xdr:rowOff>
    </xdr:to>
    <xdr:cxnSp macro="">
      <xdr:nvCxnSpPr>
        <xdr:cNvPr id="198" name="Straight Connector 197"/>
        <xdr:cNvCxnSpPr/>
      </xdr:nvCxnSpPr>
      <xdr:spPr>
        <a:xfrm flipV="1">
          <a:off x="9198428" y="8599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99" name="Straight Connector 198"/>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200" name="Straight Connector 199"/>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201" name="Straight Connector 200"/>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202" name="Straight Connector 201"/>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203" name="Straight Connector 202"/>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204" name="Straight Connector 203"/>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05" name="Straight Connector 204"/>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38</xdr:row>
      <xdr:rowOff>13608</xdr:rowOff>
    </xdr:from>
    <xdr:to>
      <xdr:col>12</xdr:col>
      <xdr:colOff>27214</xdr:colOff>
      <xdr:row>39</xdr:row>
      <xdr:rowOff>190502</xdr:rowOff>
    </xdr:to>
    <xdr:cxnSp macro="">
      <xdr:nvCxnSpPr>
        <xdr:cNvPr id="206" name="Straight Connector 205"/>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207" name="Straight Connector 206"/>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38</xdr:row>
      <xdr:rowOff>40821</xdr:rowOff>
    </xdr:from>
    <xdr:to>
      <xdr:col>14</xdr:col>
      <xdr:colOff>911678</xdr:colOff>
      <xdr:row>39</xdr:row>
      <xdr:rowOff>149677</xdr:rowOff>
    </xdr:to>
    <xdr:cxnSp macro="">
      <xdr:nvCxnSpPr>
        <xdr:cNvPr id="208" name="Straight Connector 207"/>
        <xdr:cNvCxnSpPr/>
      </xdr:nvCxnSpPr>
      <xdr:spPr>
        <a:xfrm flipV="1">
          <a:off x="8561613" y="727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209" name="Straight Connector 208"/>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210" name="Straight Connector 209"/>
        <xdr:cNvCxnSpPr/>
      </xdr:nvCxnSpPr>
      <xdr:spPr>
        <a:xfrm flipV="1">
          <a:off x="9198428" y="726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211" name="Straight Connector 210"/>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212" name="Straight Connector 211"/>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213" name="Straight Connector 212"/>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214" name="Straight Connector 213"/>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215" name="Straight Connector 214"/>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216" name="Straight Connector 215"/>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217" name="Straight Connector 216"/>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218" name="Straight Connector 217"/>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27216</xdr:rowOff>
    </xdr:from>
    <xdr:to>
      <xdr:col>10</xdr:col>
      <xdr:colOff>898071</xdr:colOff>
      <xdr:row>32</xdr:row>
      <xdr:rowOff>0</xdr:rowOff>
    </xdr:to>
    <xdr:cxnSp macro="">
      <xdr:nvCxnSpPr>
        <xdr:cNvPr id="219" name="Straight Connector 218"/>
        <xdr:cNvCxnSpPr/>
      </xdr:nvCxnSpPr>
      <xdr:spPr>
        <a:xfrm flipV="1">
          <a:off x="6096000" y="5742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220" name="Straight Connector 219"/>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221" name="Straight Connector 220"/>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222" name="Straight Connector 221"/>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223" name="Straight Connector 222"/>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224" name="Straight Connector 223"/>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225" name="Straight Connector 224"/>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226" name="Straight Connector 225"/>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227" name="Straight Connector 226"/>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228" name="Straight Connector 227"/>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229" name="Straight Connector 228"/>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30" name="Straight Connector 229"/>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231" name="Straight Connector 230"/>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232" name="Straight Connector 231"/>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233" name="Straight Connector 232"/>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234" name="Straight Connector 233"/>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235" name="Straight Connector 234"/>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236" name="Straight Connector 235"/>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237" name="Straight Connector 236"/>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238" name="Straight Connector 237"/>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39" name="Straight Connector 238"/>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240" name="Straight Connector 239"/>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241" name="Straight Connector 240"/>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242" name="Straight Connector 241"/>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43" name="Straight Connector 242"/>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44" name="Straight Connector 243"/>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245" name="Straight Connector 244"/>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246" name="Straight Connector 245"/>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247" name="Straight Connector 246"/>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248" name="Straight Connector 247"/>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249" name="Straight Connector 248"/>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250" name="Straight Connector 249"/>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251" name="Straight Connector 250"/>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252" name="Straight Connector 251"/>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253" name="Straight Connector 252"/>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42</xdr:row>
      <xdr:rowOff>27216</xdr:rowOff>
    </xdr:from>
    <xdr:to>
      <xdr:col>16</xdr:col>
      <xdr:colOff>27215</xdr:colOff>
      <xdr:row>43</xdr:row>
      <xdr:rowOff>176893</xdr:rowOff>
    </xdr:to>
    <xdr:cxnSp macro="">
      <xdr:nvCxnSpPr>
        <xdr:cNvPr id="254" name="Straight Connector 253"/>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13607</xdr:colOff>
      <xdr:row>72</xdr:row>
      <xdr:rowOff>13608</xdr:rowOff>
    </xdr:from>
    <xdr:to>
      <xdr:col>11</xdr:col>
      <xdr:colOff>898071</xdr:colOff>
      <xdr:row>73</xdr:row>
      <xdr:rowOff>190502</xdr:rowOff>
    </xdr:to>
    <xdr:cxnSp macro="">
      <xdr:nvCxnSpPr>
        <xdr:cNvPr id="2" name="Straight Connector 1"/>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3" name="Straight Connector 2"/>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4" name="Straight Connector 3"/>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72</xdr:row>
      <xdr:rowOff>27214</xdr:rowOff>
    </xdr:from>
    <xdr:to>
      <xdr:col>16</xdr:col>
      <xdr:colOff>0</xdr:colOff>
      <xdr:row>74</xdr:row>
      <xdr:rowOff>0</xdr:rowOff>
    </xdr:to>
    <xdr:cxnSp macro="">
      <xdr:nvCxnSpPr>
        <xdr:cNvPr id="5" name="Straight Connector 4"/>
        <xdr:cNvCxnSpPr/>
      </xdr:nvCxnSpPr>
      <xdr:spPr>
        <a:xfrm flipV="1">
          <a:off x="9144001" y="13743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72</xdr:row>
      <xdr:rowOff>1</xdr:rowOff>
    </xdr:from>
    <xdr:to>
      <xdr:col>11</xdr:col>
      <xdr:colOff>13607</xdr:colOff>
      <xdr:row>73</xdr:row>
      <xdr:rowOff>176895</xdr:rowOff>
    </xdr:to>
    <xdr:cxnSp macro="">
      <xdr:nvCxnSpPr>
        <xdr:cNvPr id="6" name="Straight Connector 5"/>
        <xdr:cNvCxnSpPr/>
      </xdr:nvCxnSpPr>
      <xdr:spPr>
        <a:xfrm flipV="1">
          <a:off x="6150429" y="13716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76</xdr:row>
      <xdr:rowOff>13608</xdr:rowOff>
    </xdr:from>
    <xdr:to>
      <xdr:col>11</xdr:col>
      <xdr:colOff>898071</xdr:colOff>
      <xdr:row>77</xdr:row>
      <xdr:rowOff>190502</xdr:rowOff>
    </xdr:to>
    <xdr:cxnSp macro="">
      <xdr:nvCxnSpPr>
        <xdr:cNvPr id="7" name="Straight Connector 6"/>
        <xdr:cNvCxnSpPr/>
      </xdr:nvCxnSpPr>
      <xdr:spPr>
        <a:xfrm flipV="1">
          <a:off x="6719207" y="14491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76</xdr:row>
      <xdr:rowOff>40824</xdr:rowOff>
    </xdr:from>
    <xdr:to>
      <xdr:col>12</xdr:col>
      <xdr:colOff>898072</xdr:colOff>
      <xdr:row>77</xdr:row>
      <xdr:rowOff>190500</xdr:rowOff>
    </xdr:to>
    <xdr:cxnSp macro="">
      <xdr:nvCxnSpPr>
        <xdr:cNvPr id="8" name="Straight Connector 7"/>
        <xdr:cNvCxnSpPr/>
      </xdr:nvCxnSpPr>
      <xdr:spPr>
        <a:xfrm flipV="1">
          <a:off x="7315200" y="14518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76</xdr:row>
      <xdr:rowOff>40824</xdr:rowOff>
    </xdr:from>
    <xdr:to>
      <xdr:col>14</xdr:col>
      <xdr:colOff>884465</xdr:colOff>
      <xdr:row>77</xdr:row>
      <xdr:rowOff>176893</xdr:rowOff>
    </xdr:to>
    <xdr:cxnSp macro="">
      <xdr:nvCxnSpPr>
        <xdr:cNvPr id="9" name="Straight Connector 8"/>
        <xdr:cNvCxnSpPr/>
      </xdr:nvCxnSpPr>
      <xdr:spPr>
        <a:xfrm flipV="1">
          <a:off x="8561614" y="14518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76</xdr:row>
      <xdr:rowOff>13608</xdr:rowOff>
    </xdr:from>
    <xdr:to>
      <xdr:col>10</xdr:col>
      <xdr:colOff>884464</xdr:colOff>
      <xdr:row>78</xdr:row>
      <xdr:rowOff>0</xdr:rowOff>
    </xdr:to>
    <xdr:cxnSp macro="">
      <xdr:nvCxnSpPr>
        <xdr:cNvPr id="10" name="Straight Connector 9"/>
        <xdr:cNvCxnSpPr/>
      </xdr:nvCxnSpPr>
      <xdr:spPr>
        <a:xfrm flipV="1">
          <a:off x="6097361" y="14491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76</xdr:row>
      <xdr:rowOff>27217</xdr:rowOff>
    </xdr:from>
    <xdr:to>
      <xdr:col>15</xdr:col>
      <xdr:colOff>938894</xdr:colOff>
      <xdr:row>77</xdr:row>
      <xdr:rowOff>163286</xdr:rowOff>
    </xdr:to>
    <xdr:cxnSp macro="">
      <xdr:nvCxnSpPr>
        <xdr:cNvPr id="11" name="Straight Connector 10"/>
        <xdr:cNvCxnSpPr/>
      </xdr:nvCxnSpPr>
      <xdr:spPr>
        <a:xfrm flipV="1">
          <a:off x="9225643" y="14505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74</xdr:row>
      <xdr:rowOff>13608</xdr:rowOff>
    </xdr:from>
    <xdr:to>
      <xdr:col>11</xdr:col>
      <xdr:colOff>898071</xdr:colOff>
      <xdr:row>75</xdr:row>
      <xdr:rowOff>190502</xdr:rowOff>
    </xdr:to>
    <xdr:cxnSp macro="">
      <xdr:nvCxnSpPr>
        <xdr:cNvPr id="12" name="Straight Connector 11"/>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13" name="Straight Connector 12"/>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14" name="Straight Connector 13"/>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74</xdr:row>
      <xdr:rowOff>13608</xdr:rowOff>
    </xdr:from>
    <xdr:to>
      <xdr:col>10</xdr:col>
      <xdr:colOff>884464</xdr:colOff>
      <xdr:row>76</xdr:row>
      <xdr:rowOff>0</xdr:rowOff>
    </xdr:to>
    <xdr:cxnSp macro="">
      <xdr:nvCxnSpPr>
        <xdr:cNvPr id="15" name="Straight Connector 14"/>
        <xdr:cNvCxnSpPr/>
      </xdr:nvCxnSpPr>
      <xdr:spPr>
        <a:xfrm flipV="1">
          <a:off x="6097361" y="14110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74</xdr:row>
      <xdr:rowOff>27217</xdr:rowOff>
    </xdr:from>
    <xdr:to>
      <xdr:col>15</xdr:col>
      <xdr:colOff>938894</xdr:colOff>
      <xdr:row>75</xdr:row>
      <xdr:rowOff>163286</xdr:rowOff>
    </xdr:to>
    <xdr:cxnSp macro="">
      <xdr:nvCxnSpPr>
        <xdr:cNvPr id="16" name="Straight Connector 15"/>
        <xdr:cNvCxnSpPr/>
      </xdr:nvCxnSpPr>
      <xdr:spPr>
        <a:xfrm flipV="1">
          <a:off x="9225643" y="14124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17" name="Straight Connector 16"/>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18" name="Straight Connector 17"/>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19" name="Straight Connector 18"/>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20" name="Straight Connector 19"/>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87</xdr:row>
      <xdr:rowOff>13608</xdr:rowOff>
    </xdr:from>
    <xdr:to>
      <xdr:col>12</xdr:col>
      <xdr:colOff>27214</xdr:colOff>
      <xdr:row>88</xdr:row>
      <xdr:rowOff>190502</xdr:rowOff>
    </xdr:to>
    <xdr:cxnSp macro="">
      <xdr:nvCxnSpPr>
        <xdr:cNvPr id="21" name="Straight Connector 20"/>
        <xdr:cNvCxnSpPr/>
      </xdr:nvCxnSpPr>
      <xdr:spPr>
        <a:xfrm flipV="1">
          <a:off x="6787242" y="1658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87</xdr:row>
      <xdr:rowOff>13608</xdr:rowOff>
    </xdr:from>
    <xdr:to>
      <xdr:col>11</xdr:col>
      <xdr:colOff>51026</xdr:colOff>
      <xdr:row>89</xdr:row>
      <xdr:rowOff>0</xdr:rowOff>
    </xdr:to>
    <xdr:cxnSp macro="">
      <xdr:nvCxnSpPr>
        <xdr:cNvPr id="22" name="Straight Connector 21"/>
        <xdr:cNvCxnSpPr/>
      </xdr:nvCxnSpPr>
      <xdr:spPr>
        <a:xfrm flipV="1">
          <a:off x="6109607" y="16587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87</xdr:row>
      <xdr:rowOff>17011</xdr:rowOff>
    </xdr:from>
    <xdr:to>
      <xdr:col>12</xdr:col>
      <xdr:colOff>916780</xdr:colOff>
      <xdr:row>88</xdr:row>
      <xdr:rowOff>192201</xdr:rowOff>
    </xdr:to>
    <xdr:cxnSp macro="">
      <xdr:nvCxnSpPr>
        <xdr:cNvPr id="23" name="Straight Connector 22"/>
        <xdr:cNvCxnSpPr/>
      </xdr:nvCxnSpPr>
      <xdr:spPr>
        <a:xfrm flipV="1">
          <a:off x="7349218" y="1659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87</xdr:row>
      <xdr:rowOff>18714</xdr:rowOff>
    </xdr:from>
    <xdr:to>
      <xdr:col>15</xdr:col>
      <xdr:colOff>887864</xdr:colOff>
      <xdr:row>88</xdr:row>
      <xdr:rowOff>190500</xdr:rowOff>
    </xdr:to>
    <xdr:cxnSp macro="">
      <xdr:nvCxnSpPr>
        <xdr:cNvPr id="24" name="Straight Connector 23"/>
        <xdr:cNvCxnSpPr/>
      </xdr:nvCxnSpPr>
      <xdr:spPr>
        <a:xfrm flipV="1">
          <a:off x="9171214" y="16592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25" name="Straight Connector 24"/>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26" name="Straight Connector 25"/>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27" name="Straight Connector 26"/>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28" name="Straight Connector 27"/>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29" name="Straight Connector 28"/>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0" name="Straight Connector 29"/>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1" name="Straight Connector 30"/>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32" name="Straight Connector 31"/>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33" name="Straight Connector 32"/>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34" name="Straight Connector 33"/>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5" name="Straight Connector 34"/>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36" name="Straight Connector 35"/>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96</xdr:row>
      <xdr:rowOff>13608</xdr:rowOff>
    </xdr:from>
    <xdr:to>
      <xdr:col>12</xdr:col>
      <xdr:colOff>27214</xdr:colOff>
      <xdr:row>97</xdr:row>
      <xdr:rowOff>190502</xdr:rowOff>
    </xdr:to>
    <xdr:cxnSp macro="">
      <xdr:nvCxnSpPr>
        <xdr:cNvPr id="37" name="Straight Connector 36"/>
        <xdr:cNvCxnSpPr/>
      </xdr:nvCxnSpPr>
      <xdr:spPr>
        <a:xfrm flipV="1">
          <a:off x="6787242" y="1830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96</xdr:row>
      <xdr:rowOff>13608</xdr:rowOff>
    </xdr:from>
    <xdr:to>
      <xdr:col>11</xdr:col>
      <xdr:colOff>51026</xdr:colOff>
      <xdr:row>98</xdr:row>
      <xdr:rowOff>0</xdr:rowOff>
    </xdr:to>
    <xdr:cxnSp macro="">
      <xdr:nvCxnSpPr>
        <xdr:cNvPr id="38" name="Straight Connector 37"/>
        <xdr:cNvCxnSpPr/>
      </xdr:nvCxnSpPr>
      <xdr:spPr>
        <a:xfrm flipV="1">
          <a:off x="6109607" y="18301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96</xdr:row>
      <xdr:rowOff>17011</xdr:rowOff>
    </xdr:from>
    <xdr:to>
      <xdr:col>12</xdr:col>
      <xdr:colOff>916780</xdr:colOff>
      <xdr:row>97</xdr:row>
      <xdr:rowOff>192201</xdr:rowOff>
    </xdr:to>
    <xdr:cxnSp macro="">
      <xdr:nvCxnSpPr>
        <xdr:cNvPr id="39" name="Straight Connector 38"/>
        <xdr:cNvCxnSpPr/>
      </xdr:nvCxnSpPr>
      <xdr:spPr>
        <a:xfrm flipV="1">
          <a:off x="7349218" y="1830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96</xdr:row>
      <xdr:rowOff>3</xdr:rowOff>
    </xdr:from>
    <xdr:to>
      <xdr:col>15</xdr:col>
      <xdr:colOff>40822</xdr:colOff>
      <xdr:row>97</xdr:row>
      <xdr:rowOff>149679</xdr:rowOff>
    </xdr:to>
    <xdr:cxnSp macro="">
      <xdr:nvCxnSpPr>
        <xdr:cNvPr id="40" name="Straight Connector 39"/>
        <xdr:cNvCxnSpPr/>
      </xdr:nvCxnSpPr>
      <xdr:spPr>
        <a:xfrm flipV="1">
          <a:off x="8571820" y="18288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96</xdr:row>
      <xdr:rowOff>18714</xdr:rowOff>
    </xdr:from>
    <xdr:to>
      <xdr:col>15</xdr:col>
      <xdr:colOff>887864</xdr:colOff>
      <xdr:row>97</xdr:row>
      <xdr:rowOff>190500</xdr:rowOff>
    </xdr:to>
    <xdr:cxnSp macro="">
      <xdr:nvCxnSpPr>
        <xdr:cNvPr id="41" name="Straight Connector 40"/>
        <xdr:cNvCxnSpPr/>
      </xdr:nvCxnSpPr>
      <xdr:spPr>
        <a:xfrm flipV="1">
          <a:off x="9171214" y="18306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42" name="Straight Connector 41"/>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43" name="Straight Connector 42"/>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44" name="Straight Connector 43"/>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45" name="Straight Connector 44"/>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46" name="Straight Connector 45"/>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47" name="Straight Connector 46"/>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48" name="Straight Connector 47"/>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49" name="Straight Connector 48"/>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50" name="Straight Connector 49"/>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51" name="Straight Connector 50"/>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52" name="Straight Connector 51"/>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103</xdr:row>
      <xdr:rowOff>3</xdr:rowOff>
    </xdr:from>
    <xdr:to>
      <xdr:col>15</xdr:col>
      <xdr:colOff>40822</xdr:colOff>
      <xdr:row>104</xdr:row>
      <xdr:rowOff>149679</xdr:rowOff>
    </xdr:to>
    <xdr:cxnSp macro="">
      <xdr:nvCxnSpPr>
        <xdr:cNvPr id="53" name="Straight Connector 52"/>
        <xdr:cNvCxnSpPr/>
      </xdr:nvCxnSpPr>
      <xdr:spPr>
        <a:xfrm flipV="1">
          <a:off x="8571820" y="19621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54" name="Straight Connector 53"/>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105</xdr:row>
      <xdr:rowOff>13608</xdr:rowOff>
    </xdr:from>
    <xdr:to>
      <xdr:col>12</xdr:col>
      <xdr:colOff>27214</xdr:colOff>
      <xdr:row>106</xdr:row>
      <xdr:rowOff>190502</xdr:rowOff>
    </xdr:to>
    <xdr:cxnSp macro="">
      <xdr:nvCxnSpPr>
        <xdr:cNvPr id="55" name="Straight Connector 54"/>
        <xdr:cNvCxnSpPr/>
      </xdr:nvCxnSpPr>
      <xdr:spPr>
        <a:xfrm flipV="1">
          <a:off x="6787242" y="2001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105</xdr:row>
      <xdr:rowOff>13608</xdr:rowOff>
    </xdr:from>
    <xdr:to>
      <xdr:col>11</xdr:col>
      <xdr:colOff>51026</xdr:colOff>
      <xdr:row>107</xdr:row>
      <xdr:rowOff>0</xdr:rowOff>
    </xdr:to>
    <xdr:cxnSp macro="">
      <xdr:nvCxnSpPr>
        <xdr:cNvPr id="56" name="Straight Connector 55"/>
        <xdr:cNvCxnSpPr/>
      </xdr:nvCxnSpPr>
      <xdr:spPr>
        <a:xfrm flipV="1">
          <a:off x="6109607" y="2001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105</xdr:row>
      <xdr:rowOff>17011</xdr:rowOff>
    </xdr:from>
    <xdr:to>
      <xdr:col>12</xdr:col>
      <xdr:colOff>916780</xdr:colOff>
      <xdr:row>106</xdr:row>
      <xdr:rowOff>192201</xdr:rowOff>
    </xdr:to>
    <xdr:cxnSp macro="">
      <xdr:nvCxnSpPr>
        <xdr:cNvPr id="57" name="Straight Connector 56"/>
        <xdr:cNvCxnSpPr/>
      </xdr:nvCxnSpPr>
      <xdr:spPr>
        <a:xfrm flipV="1">
          <a:off x="7349218" y="2001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105</xdr:row>
      <xdr:rowOff>3</xdr:rowOff>
    </xdr:from>
    <xdr:to>
      <xdr:col>15</xdr:col>
      <xdr:colOff>40822</xdr:colOff>
      <xdr:row>106</xdr:row>
      <xdr:rowOff>149679</xdr:rowOff>
    </xdr:to>
    <xdr:cxnSp macro="">
      <xdr:nvCxnSpPr>
        <xdr:cNvPr id="58" name="Straight Connector 57"/>
        <xdr:cNvCxnSpPr/>
      </xdr:nvCxnSpPr>
      <xdr:spPr>
        <a:xfrm flipV="1">
          <a:off x="8571820" y="20002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105</xdr:row>
      <xdr:rowOff>18714</xdr:rowOff>
    </xdr:from>
    <xdr:to>
      <xdr:col>15</xdr:col>
      <xdr:colOff>887864</xdr:colOff>
      <xdr:row>106</xdr:row>
      <xdr:rowOff>190500</xdr:rowOff>
    </xdr:to>
    <xdr:cxnSp macro="">
      <xdr:nvCxnSpPr>
        <xdr:cNvPr id="59" name="Straight Connector 58"/>
        <xdr:cNvCxnSpPr/>
      </xdr:nvCxnSpPr>
      <xdr:spPr>
        <a:xfrm flipV="1">
          <a:off x="9171214" y="2002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0" name="Straight Connector 59"/>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61" name="Straight Connector 60"/>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62" name="Straight Connector 61"/>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81</xdr:row>
      <xdr:rowOff>40825</xdr:rowOff>
    </xdr:from>
    <xdr:to>
      <xdr:col>15</xdr:col>
      <xdr:colOff>54429</xdr:colOff>
      <xdr:row>82</xdr:row>
      <xdr:rowOff>190501</xdr:rowOff>
    </xdr:to>
    <xdr:cxnSp macro="">
      <xdr:nvCxnSpPr>
        <xdr:cNvPr id="63" name="Straight Connector 62"/>
        <xdr:cNvCxnSpPr/>
      </xdr:nvCxnSpPr>
      <xdr:spPr>
        <a:xfrm flipV="1">
          <a:off x="8585427" y="15471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64" name="Straight Connector 63"/>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65" name="Straight Connector 64"/>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66" name="Straight Connector 65"/>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67" name="Straight Connector 66"/>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68" name="Straight Connector 67"/>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69" name="Straight Connector 68"/>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70" name="Straight Connector 69"/>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71" name="Straight Connector 70"/>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72" name="Straight Connector 71"/>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101</xdr:row>
      <xdr:rowOff>17010</xdr:rowOff>
    </xdr:from>
    <xdr:to>
      <xdr:col>14</xdr:col>
      <xdr:colOff>903173</xdr:colOff>
      <xdr:row>102</xdr:row>
      <xdr:rowOff>192200</xdr:rowOff>
    </xdr:to>
    <xdr:cxnSp macro="">
      <xdr:nvCxnSpPr>
        <xdr:cNvPr id="73" name="Straight Connector 72"/>
        <xdr:cNvCxnSpPr/>
      </xdr:nvCxnSpPr>
      <xdr:spPr>
        <a:xfrm flipV="1">
          <a:off x="8554811" y="19257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94</xdr:row>
      <xdr:rowOff>3404</xdr:rowOff>
    </xdr:from>
    <xdr:to>
      <xdr:col>15</xdr:col>
      <xdr:colOff>5101</xdr:colOff>
      <xdr:row>95</xdr:row>
      <xdr:rowOff>178593</xdr:rowOff>
    </xdr:to>
    <xdr:cxnSp macro="">
      <xdr:nvCxnSpPr>
        <xdr:cNvPr id="74" name="Straight Connector 73"/>
        <xdr:cNvCxnSpPr/>
      </xdr:nvCxnSpPr>
      <xdr:spPr>
        <a:xfrm flipV="1">
          <a:off x="8582025" y="17910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92</xdr:row>
      <xdr:rowOff>17011</xdr:rowOff>
    </xdr:from>
    <xdr:to>
      <xdr:col>15</xdr:col>
      <xdr:colOff>5101</xdr:colOff>
      <xdr:row>93</xdr:row>
      <xdr:rowOff>192201</xdr:rowOff>
    </xdr:to>
    <xdr:cxnSp macro="">
      <xdr:nvCxnSpPr>
        <xdr:cNvPr id="75" name="Straight Connector 74"/>
        <xdr:cNvCxnSpPr/>
      </xdr:nvCxnSpPr>
      <xdr:spPr>
        <a:xfrm flipV="1">
          <a:off x="8582025" y="17543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90</xdr:row>
      <xdr:rowOff>17011</xdr:rowOff>
    </xdr:from>
    <xdr:to>
      <xdr:col>14</xdr:col>
      <xdr:colOff>916780</xdr:colOff>
      <xdr:row>91</xdr:row>
      <xdr:rowOff>192201</xdr:rowOff>
    </xdr:to>
    <xdr:cxnSp macro="">
      <xdr:nvCxnSpPr>
        <xdr:cNvPr id="76" name="Straight Connector 75"/>
        <xdr:cNvCxnSpPr/>
      </xdr:nvCxnSpPr>
      <xdr:spPr>
        <a:xfrm flipV="1">
          <a:off x="85684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87</xdr:row>
      <xdr:rowOff>17011</xdr:rowOff>
    </xdr:from>
    <xdr:to>
      <xdr:col>15</xdr:col>
      <xdr:colOff>32315</xdr:colOff>
      <xdr:row>88</xdr:row>
      <xdr:rowOff>192201</xdr:rowOff>
    </xdr:to>
    <xdr:cxnSp macro="">
      <xdr:nvCxnSpPr>
        <xdr:cNvPr id="77" name="Straight Connector 76"/>
        <xdr:cNvCxnSpPr/>
      </xdr:nvCxnSpPr>
      <xdr:spPr>
        <a:xfrm flipV="1">
          <a:off x="8609239" y="16590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85</xdr:row>
      <xdr:rowOff>17011</xdr:rowOff>
    </xdr:from>
    <xdr:to>
      <xdr:col>15</xdr:col>
      <xdr:colOff>32315</xdr:colOff>
      <xdr:row>86</xdr:row>
      <xdr:rowOff>192201</xdr:rowOff>
    </xdr:to>
    <xdr:cxnSp macro="">
      <xdr:nvCxnSpPr>
        <xdr:cNvPr id="78" name="Straight Connector 77"/>
        <xdr:cNvCxnSpPr/>
      </xdr:nvCxnSpPr>
      <xdr:spPr>
        <a:xfrm flipV="1">
          <a:off x="8609239" y="16209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83</xdr:row>
      <xdr:rowOff>3403</xdr:rowOff>
    </xdr:from>
    <xdr:to>
      <xdr:col>15</xdr:col>
      <xdr:colOff>18708</xdr:colOff>
      <xdr:row>84</xdr:row>
      <xdr:rowOff>178593</xdr:rowOff>
    </xdr:to>
    <xdr:cxnSp macro="">
      <xdr:nvCxnSpPr>
        <xdr:cNvPr id="79" name="Straight Connector 78"/>
        <xdr:cNvCxnSpPr/>
      </xdr:nvCxnSpPr>
      <xdr:spPr>
        <a:xfrm flipV="1">
          <a:off x="8595632" y="15814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80" name="Straight Connector 79"/>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81" name="Straight Connector 80"/>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82" name="Straight Connector 81"/>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83" name="Straight Connector 82"/>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84" name="Straight Connector 83"/>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64</xdr:row>
      <xdr:rowOff>27214</xdr:rowOff>
    </xdr:from>
    <xdr:to>
      <xdr:col>15</xdr:col>
      <xdr:colOff>898072</xdr:colOff>
      <xdr:row>65</xdr:row>
      <xdr:rowOff>149678</xdr:rowOff>
    </xdr:to>
    <xdr:cxnSp macro="">
      <xdr:nvCxnSpPr>
        <xdr:cNvPr id="85" name="Straight Connector 84"/>
        <xdr:cNvCxnSpPr/>
      </xdr:nvCxnSpPr>
      <xdr:spPr>
        <a:xfrm flipV="1">
          <a:off x="9171214" y="12219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64</xdr:row>
      <xdr:rowOff>13607</xdr:rowOff>
    </xdr:from>
    <xdr:to>
      <xdr:col>10</xdr:col>
      <xdr:colOff>911677</xdr:colOff>
      <xdr:row>66</xdr:row>
      <xdr:rowOff>0</xdr:rowOff>
    </xdr:to>
    <xdr:cxnSp macro="">
      <xdr:nvCxnSpPr>
        <xdr:cNvPr id="86" name="Straight Connector 85"/>
        <xdr:cNvCxnSpPr/>
      </xdr:nvCxnSpPr>
      <xdr:spPr>
        <a:xfrm flipV="1">
          <a:off x="6109607" y="12205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64</xdr:row>
      <xdr:rowOff>13608</xdr:rowOff>
    </xdr:from>
    <xdr:to>
      <xdr:col>12</xdr:col>
      <xdr:colOff>27214</xdr:colOff>
      <xdr:row>65</xdr:row>
      <xdr:rowOff>190502</xdr:rowOff>
    </xdr:to>
    <xdr:cxnSp macro="">
      <xdr:nvCxnSpPr>
        <xdr:cNvPr id="87" name="Straight Connector 86"/>
        <xdr:cNvCxnSpPr/>
      </xdr:nvCxnSpPr>
      <xdr:spPr>
        <a:xfrm flipV="1">
          <a:off x="6787242" y="1220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64</xdr:row>
      <xdr:rowOff>17011</xdr:rowOff>
    </xdr:from>
    <xdr:to>
      <xdr:col>12</xdr:col>
      <xdr:colOff>916780</xdr:colOff>
      <xdr:row>65</xdr:row>
      <xdr:rowOff>192201</xdr:rowOff>
    </xdr:to>
    <xdr:cxnSp macro="">
      <xdr:nvCxnSpPr>
        <xdr:cNvPr id="88" name="Straight Connector 87"/>
        <xdr:cNvCxnSpPr/>
      </xdr:nvCxnSpPr>
      <xdr:spPr>
        <a:xfrm flipV="1">
          <a:off x="7349218" y="1220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64</xdr:row>
      <xdr:rowOff>54428</xdr:rowOff>
    </xdr:from>
    <xdr:to>
      <xdr:col>14</xdr:col>
      <xdr:colOff>884463</xdr:colOff>
      <xdr:row>65</xdr:row>
      <xdr:rowOff>163285</xdr:rowOff>
    </xdr:to>
    <xdr:cxnSp macro="">
      <xdr:nvCxnSpPr>
        <xdr:cNvPr id="89" name="Straight Connector 88"/>
        <xdr:cNvCxnSpPr/>
      </xdr:nvCxnSpPr>
      <xdr:spPr>
        <a:xfrm flipV="1">
          <a:off x="8537119" y="12246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79</xdr:row>
      <xdr:rowOff>13610</xdr:rowOff>
    </xdr:from>
    <xdr:to>
      <xdr:col>15</xdr:col>
      <xdr:colOff>54429</xdr:colOff>
      <xdr:row>80</xdr:row>
      <xdr:rowOff>163286</xdr:rowOff>
    </xdr:to>
    <xdr:cxnSp macro="">
      <xdr:nvCxnSpPr>
        <xdr:cNvPr id="90" name="Straight Connector 89"/>
        <xdr:cNvCxnSpPr/>
      </xdr:nvCxnSpPr>
      <xdr:spPr>
        <a:xfrm flipV="1">
          <a:off x="8585427" y="15063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91" name="Straight Connector 90"/>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92" name="Straight Connector 91"/>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93" name="Straight Connector 92"/>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94" name="Straight Connector 93"/>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51</xdr:row>
      <xdr:rowOff>27214</xdr:rowOff>
    </xdr:from>
    <xdr:to>
      <xdr:col>15</xdr:col>
      <xdr:colOff>898072</xdr:colOff>
      <xdr:row>52</xdr:row>
      <xdr:rowOff>149678</xdr:rowOff>
    </xdr:to>
    <xdr:cxnSp macro="">
      <xdr:nvCxnSpPr>
        <xdr:cNvPr id="95" name="Straight Connector 94"/>
        <xdr:cNvCxnSpPr/>
      </xdr:nvCxnSpPr>
      <xdr:spPr>
        <a:xfrm flipV="1">
          <a:off x="9171214" y="9742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51</xdr:row>
      <xdr:rowOff>13607</xdr:rowOff>
    </xdr:from>
    <xdr:to>
      <xdr:col>10</xdr:col>
      <xdr:colOff>911677</xdr:colOff>
      <xdr:row>53</xdr:row>
      <xdr:rowOff>0</xdr:rowOff>
    </xdr:to>
    <xdr:cxnSp macro="">
      <xdr:nvCxnSpPr>
        <xdr:cNvPr id="96" name="Straight Connector 95"/>
        <xdr:cNvCxnSpPr/>
      </xdr:nvCxnSpPr>
      <xdr:spPr>
        <a:xfrm flipV="1">
          <a:off x="6109607" y="9729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51</xdr:row>
      <xdr:rowOff>13608</xdr:rowOff>
    </xdr:from>
    <xdr:to>
      <xdr:col>12</xdr:col>
      <xdr:colOff>27214</xdr:colOff>
      <xdr:row>52</xdr:row>
      <xdr:rowOff>190502</xdr:rowOff>
    </xdr:to>
    <xdr:cxnSp macro="">
      <xdr:nvCxnSpPr>
        <xdr:cNvPr id="97" name="Straight Connector 96"/>
        <xdr:cNvCxnSpPr/>
      </xdr:nvCxnSpPr>
      <xdr:spPr>
        <a:xfrm flipV="1">
          <a:off x="6787242" y="9729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51</xdr:row>
      <xdr:rowOff>17011</xdr:rowOff>
    </xdr:from>
    <xdr:to>
      <xdr:col>12</xdr:col>
      <xdr:colOff>916780</xdr:colOff>
      <xdr:row>52</xdr:row>
      <xdr:rowOff>192201</xdr:rowOff>
    </xdr:to>
    <xdr:cxnSp macro="">
      <xdr:nvCxnSpPr>
        <xdr:cNvPr id="98" name="Straight Connector 97"/>
        <xdr:cNvCxnSpPr/>
      </xdr:nvCxnSpPr>
      <xdr:spPr>
        <a:xfrm flipV="1">
          <a:off x="7349218" y="9732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51</xdr:row>
      <xdr:rowOff>54428</xdr:rowOff>
    </xdr:from>
    <xdr:to>
      <xdr:col>14</xdr:col>
      <xdr:colOff>884463</xdr:colOff>
      <xdr:row>52</xdr:row>
      <xdr:rowOff>163285</xdr:rowOff>
    </xdr:to>
    <xdr:cxnSp macro="">
      <xdr:nvCxnSpPr>
        <xdr:cNvPr id="99" name="Straight Connector 98"/>
        <xdr:cNvCxnSpPr/>
      </xdr:nvCxnSpPr>
      <xdr:spPr>
        <a:xfrm flipV="1">
          <a:off x="8537119" y="9769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49</xdr:row>
      <xdr:rowOff>27214</xdr:rowOff>
    </xdr:from>
    <xdr:to>
      <xdr:col>15</xdr:col>
      <xdr:colOff>898072</xdr:colOff>
      <xdr:row>50</xdr:row>
      <xdr:rowOff>149678</xdr:rowOff>
    </xdr:to>
    <xdr:cxnSp macro="">
      <xdr:nvCxnSpPr>
        <xdr:cNvPr id="100" name="Straight Connector 99"/>
        <xdr:cNvCxnSpPr/>
      </xdr:nvCxnSpPr>
      <xdr:spPr>
        <a:xfrm flipV="1">
          <a:off x="9171214" y="9361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49</xdr:row>
      <xdr:rowOff>13607</xdr:rowOff>
    </xdr:from>
    <xdr:to>
      <xdr:col>10</xdr:col>
      <xdr:colOff>911677</xdr:colOff>
      <xdr:row>51</xdr:row>
      <xdr:rowOff>0</xdr:rowOff>
    </xdr:to>
    <xdr:cxnSp macro="">
      <xdr:nvCxnSpPr>
        <xdr:cNvPr id="101" name="Straight Connector 100"/>
        <xdr:cNvCxnSpPr/>
      </xdr:nvCxnSpPr>
      <xdr:spPr>
        <a:xfrm flipV="1">
          <a:off x="6109607" y="9348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49</xdr:row>
      <xdr:rowOff>13608</xdr:rowOff>
    </xdr:from>
    <xdr:to>
      <xdr:col>12</xdr:col>
      <xdr:colOff>27214</xdr:colOff>
      <xdr:row>50</xdr:row>
      <xdr:rowOff>190502</xdr:rowOff>
    </xdr:to>
    <xdr:cxnSp macro="">
      <xdr:nvCxnSpPr>
        <xdr:cNvPr id="102" name="Straight Connector 101"/>
        <xdr:cNvCxnSpPr/>
      </xdr:nvCxnSpPr>
      <xdr:spPr>
        <a:xfrm flipV="1">
          <a:off x="6787242" y="934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49</xdr:row>
      <xdr:rowOff>17011</xdr:rowOff>
    </xdr:from>
    <xdr:to>
      <xdr:col>12</xdr:col>
      <xdr:colOff>916780</xdr:colOff>
      <xdr:row>50</xdr:row>
      <xdr:rowOff>192201</xdr:rowOff>
    </xdr:to>
    <xdr:cxnSp macro="">
      <xdr:nvCxnSpPr>
        <xdr:cNvPr id="103" name="Straight Connector 102"/>
        <xdr:cNvCxnSpPr/>
      </xdr:nvCxnSpPr>
      <xdr:spPr>
        <a:xfrm flipV="1">
          <a:off x="7349218" y="935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49</xdr:row>
      <xdr:rowOff>54428</xdr:rowOff>
    </xdr:from>
    <xdr:to>
      <xdr:col>14</xdr:col>
      <xdr:colOff>884463</xdr:colOff>
      <xdr:row>50</xdr:row>
      <xdr:rowOff>163285</xdr:rowOff>
    </xdr:to>
    <xdr:cxnSp macro="">
      <xdr:nvCxnSpPr>
        <xdr:cNvPr id="104" name="Straight Connector 103"/>
        <xdr:cNvCxnSpPr/>
      </xdr:nvCxnSpPr>
      <xdr:spPr>
        <a:xfrm flipV="1">
          <a:off x="8537119" y="9388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110</xdr:row>
      <xdr:rowOff>0</xdr:rowOff>
    </xdr:from>
    <xdr:ext cx="17150072" cy="3743326"/>
    <xdr:pic>
      <xdr:nvPicPr>
        <xdr:cNvPr id="105" name="Picture 104"/>
        <xdr:cNvPicPr>
          <a:picLocks noChangeAspect="1" noChangeArrowheads="1"/>
          <a:extLst/>
        </xdr:cNvPicPr>
      </xdr:nvPicPr>
      <xdr:blipFill>
        <a:blip xmlns:r="http://schemas.openxmlformats.org/officeDocument/2006/relationships" r:embed="rId1"/>
        <a:srcRect/>
        <a:stretch>
          <a:fillRect/>
        </a:stretch>
      </xdr:blipFill>
      <xdr:spPr bwMode="auto">
        <a:xfrm>
          <a:off x="609600" y="20955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126</xdr:row>
      <xdr:rowOff>176894</xdr:rowOff>
    </xdr:from>
    <xdr:ext cx="18008063" cy="3743325"/>
    <xdr:pic>
      <xdr:nvPicPr>
        <xdr:cNvPr id="106" name="Picture 105"/>
        <xdr:cNvPicPr>
          <a:picLocks noChangeAspect="1" noChangeArrowheads="1"/>
          <a:extLst/>
        </xdr:cNvPicPr>
      </xdr:nvPicPr>
      <xdr:blipFill>
        <a:blip xmlns:r="http://schemas.openxmlformats.org/officeDocument/2006/relationships" r:embed="rId2"/>
        <a:srcRect/>
        <a:stretch>
          <a:fillRect/>
        </a:stretch>
      </xdr:blipFill>
      <xdr:spPr bwMode="auto">
        <a:xfrm>
          <a:off x="621846" y="24179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36</xdr:row>
      <xdr:rowOff>13608</xdr:rowOff>
    </xdr:from>
    <xdr:to>
      <xdr:col>12</xdr:col>
      <xdr:colOff>27214</xdr:colOff>
      <xdr:row>37</xdr:row>
      <xdr:rowOff>190502</xdr:rowOff>
    </xdr:to>
    <xdr:cxnSp macro="">
      <xdr:nvCxnSpPr>
        <xdr:cNvPr id="107" name="Straight Connector 106"/>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08" name="Straight Connector 107"/>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36</xdr:row>
      <xdr:rowOff>0</xdr:rowOff>
    </xdr:from>
    <xdr:to>
      <xdr:col>15</xdr:col>
      <xdr:colOff>0</xdr:colOff>
      <xdr:row>37</xdr:row>
      <xdr:rowOff>190501</xdr:rowOff>
    </xdr:to>
    <xdr:cxnSp macro="">
      <xdr:nvCxnSpPr>
        <xdr:cNvPr id="109" name="Straight Connector 108"/>
        <xdr:cNvCxnSpPr/>
      </xdr:nvCxnSpPr>
      <xdr:spPr>
        <a:xfrm flipV="1">
          <a:off x="8533039" y="6858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110" name="Straight Connector 109"/>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36</xdr:row>
      <xdr:rowOff>13607</xdr:rowOff>
    </xdr:from>
    <xdr:to>
      <xdr:col>16</xdr:col>
      <xdr:colOff>0</xdr:colOff>
      <xdr:row>38</xdr:row>
      <xdr:rowOff>0</xdr:rowOff>
    </xdr:to>
    <xdr:cxnSp macro="">
      <xdr:nvCxnSpPr>
        <xdr:cNvPr id="111" name="Straight Connector 110"/>
        <xdr:cNvCxnSpPr/>
      </xdr:nvCxnSpPr>
      <xdr:spPr>
        <a:xfrm flipV="1">
          <a:off x="9171214" y="6871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56</xdr:row>
      <xdr:rowOff>40821</xdr:rowOff>
    </xdr:from>
    <xdr:to>
      <xdr:col>15</xdr:col>
      <xdr:colOff>952500</xdr:colOff>
      <xdr:row>57</xdr:row>
      <xdr:rowOff>163285</xdr:rowOff>
    </xdr:to>
    <xdr:cxnSp macro="">
      <xdr:nvCxnSpPr>
        <xdr:cNvPr id="112" name="Straight Connector 111"/>
        <xdr:cNvCxnSpPr/>
      </xdr:nvCxnSpPr>
      <xdr:spPr>
        <a:xfrm flipV="1">
          <a:off x="9225642" y="10708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13" name="Straight Connector 112"/>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14" name="Straight Connector 113"/>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15" name="Straight Connector 114"/>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16" name="Straight Connector 115"/>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17" name="Straight Connector 116"/>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18" name="Straight Connector 117"/>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19" name="Straight Connector 118"/>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20" name="Straight Connector 119"/>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21" name="Straight Connector 120"/>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122" name="Straight Connector 121"/>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123" name="Straight Connector 122"/>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124" name="Straight Connector 123"/>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125" name="Straight Connector 124"/>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126" name="Straight Connector 125"/>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62</xdr:row>
      <xdr:rowOff>27214</xdr:rowOff>
    </xdr:from>
    <xdr:to>
      <xdr:col>15</xdr:col>
      <xdr:colOff>898072</xdr:colOff>
      <xdr:row>63</xdr:row>
      <xdr:rowOff>149678</xdr:rowOff>
    </xdr:to>
    <xdr:cxnSp macro="">
      <xdr:nvCxnSpPr>
        <xdr:cNvPr id="127" name="Straight Connector 126"/>
        <xdr:cNvCxnSpPr/>
      </xdr:nvCxnSpPr>
      <xdr:spPr>
        <a:xfrm flipV="1">
          <a:off x="9171214" y="11838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62</xdr:row>
      <xdr:rowOff>13607</xdr:rowOff>
    </xdr:from>
    <xdr:to>
      <xdr:col>10</xdr:col>
      <xdr:colOff>911677</xdr:colOff>
      <xdr:row>64</xdr:row>
      <xdr:rowOff>0</xdr:rowOff>
    </xdr:to>
    <xdr:cxnSp macro="">
      <xdr:nvCxnSpPr>
        <xdr:cNvPr id="128" name="Straight Connector 127"/>
        <xdr:cNvCxnSpPr/>
      </xdr:nvCxnSpPr>
      <xdr:spPr>
        <a:xfrm flipV="1">
          <a:off x="6109607" y="11824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62</xdr:row>
      <xdr:rowOff>13608</xdr:rowOff>
    </xdr:from>
    <xdr:to>
      <xdr:col>12</xdr:col>
      <xdr:colOff>27214</xdr:colOff>
      <xdr:row>63</xdr:row>
      <xdr:rowOff>190502</xdr:rowOff>
    </xdr:to>
    <xdr:cxnSp macro="">
      <xdr:nvCxnSpPr>
        <xdr:cNvPr id="129" name="Straight Connector 128"/>
        <xdr:cNvCxnSpPr/>
      </xdr:nvCxnSpPr>
      <xdr:spPr>
        <a:xfrm flipV="1">
          <a:off x="6787242" y="1182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62</xdr:row>
      <xdr:rowOff>17011</xdr:rowOff>
    </xdr:from>
    <xdr:to>
      <xdr:col>12</xdr:col>
      <xdr:colOff>916780</xdr:colOff>
      <xdr:row>63</xdr:row>
      <xdr:rowOff>192201</xdr:rowOff>
    </xdr:to>
    <xdr:cxnSp macro="">
      <xdr:nvCxnSpPr>
        <xdr:cNvPr id="130" name="Straight Connector 129"/>
        <xdr:cNvCxnSpPr/>
      </xdr:nvCxnSpPr>
      <xdr:spPr>
        <a:xfrm flipV="1">
          <a:off x="7349218" y="1182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62</xdr:row>
      <xdr:rowOff>54428</xdr:rowOff>
    </xdr:from>
    <xdr:to>
      <xdr:col>14</xdr:col>
      <xdr:colOff>884463</xdr:colOff>
      <xdr:row>63</xdr:row>
      <xdr:rowOff>163285</xdr:rowOff>
    </xdr:to>
    <xdr:cxnSp macro="">
      <xdr:nvCxnSpPr>
        <xdr:cNvPr id="131" name="Straight Connector 130"/>
        <xdr:cNvCxnSpPr/>
      </xdr:nvCxnSpPr>
      <xdr:spPr>
        <a:xfrm flipV="1">
          <a:off x="8537119" y="11865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47</xdr:row>
      <xdr:rowOff>27216</xdr:rowOff>
    </xdr:from>
    <xdr:to>
      <xdr:col>16</xdr:col>
      <xdr:colOff>27215</xdr:colOff>
      <xdr:row>48</xdr:row>
      <xdr:rowOff>176893</xdr:rowOff>
    </xdr:to>
    <xdr:cxnSp macro="">
      <xdr:nvCxnSpPr>
        <xdr:cNvPr id="132" name="Straight Connector 131"/>
        <xdr:cNvCxnSpPr/>
      </xdr:nvCxnSpPr>
      <xdr:spPr>
        <a:xfrm flipV="1">
          <a:off x="9198428" y="8980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34" name="Straight Connector 133"/>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35" name="Straight Connector 134"/>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36" name="Straight Connector 135"/>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30</xdr:row>
      <xdr:rowOff>13609</xdr:rowOff>
    </xdr:from>
    <xdr:to>
      <xdr:col>10</xdr:col>
      <xdr:colOff>911678</xdr:colOff>
      <xdr:row>31</xdr:row>
      <xdr:rowOff>190501</xdr:rowOff>
    </xdr:to>
    <xdr:cxnSp macro="">
      <xdr:nvCxnSpPr>
        <xdr:cNvPr id="137" name="Straight Connector 136"/>
        <xdr:cNvCxnSpPr/>
      </xdr:nvCxnSpPr>
      <xdr:spPr>
        <a:xfrm flipV="1">
          <a:off x="6109607" y="5728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38" name="Straight Connector 137"/>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38</xdr:row>
      <xdr:rowOff>13608</xdr:rowOff>
    </xdr:from>
    <xdr:to>
      <xdr:col>12</xdr:col>
      <xdr:colOff>27214</xdr:colOff>
      <xdr:row>39</xdr:row>
      <xdr:rowOff>190500</xdr:rowOff>
    </xdr:to>
    <xdr:cxnSp macro="">
      <xdr:nvCxnSpPr>
        <xdr:cNvPr id="139" name="Straight Connector 138"/>
        <xdr:cNvCxnSpPr/>
      </xdr:nvCxnSpPr>
      <xdr:spPr>
        <a:xfrm flipV="1">
          <a:off x="6732814" y="7252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140" name="Straight Connector 139"/>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37</xdr:row>
      <xdr:rowOff>190500</xdr:rowOff>
    </xdr:from>
    <xdr:to>
      <xdr:col>15</xdr:col>
      <xdr:colOff>27214</xdr:colOff>
      <xdr:row>39</xdr:row>
      <xdr:rowOff>176894</xdr:rowOff>
    </xdr:to>
    <xdr:cxnSp macro="">
      <xdr:nvCxnSpPr>
        <xdr:cNvPr id="141" name="Straight Connector 140"/>
        <xdr:cNvCxnSpPr/>
      </xdr:nvCxnSpPr>
      <xdr:spPr>
        <a:xfrm flipV="1">
          <a:off x="8561614" y="7239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38</xdr:row>
      <xdr:rowOff>0</xdr:rowOff>
    </xdr:from>
    <xdr:to>
      <xdr:col>11</xdr:col>
      <xdr:colOff>13607</xdr:colOff>
      <xdr:row>39</xdr:row>
      <xdr:rowOff>176892</xdr:rowOff>
    </xdr:to>
    <xdr:cxnSp macro="">
      <xdr:nvCxnSpPr>
        <xdr:cNvPr id="142" name="Straight Connector 141"/>
        <xdr:cNvCxnSpPr/>
      </xdr:nvCxnSpPr>
      <xdr:spPr>
        <a:xfrm flipV="1">
          <a:off x="6123215" y="7239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38</xdr:row>
      <xdr:rowOff>0</xdr:rowOff>
    </xdr:from>
    <xdr:to>
      <xdr:col>15</xdr:col>
      <xdr:colOff>952500</xdr:colOff>
      <xdr:row>39</xdr:row>
      <xdr:rowOff>190501</xdr:rowOff>
    </xdr:to>
    <xdr:cxnSp macro="">
      <xdr:nvCxnSpPr>
        <xdr:cNvPr id="143" name="Straight Connector 142"/>
        <xdr:cNvCxnSpPr/>
      </xdr:nvCxnSpPr>
      <xdr:spPr>
        <a:xfrm flipV="1">
          <a:off x="9141279" y="7239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34</xdr:row>
      <xdr:rowOff>13608</xdr:rowOff>
    </xdr:from>
    <xdr:to>
      <xdr:col>12</xdr:col>
      <xdr:colOff>27214</xdr:colOff>
      <xdr:row>35</xdr:row>
      <xdr:rowOff>190502</xdr:rowOff>
    </xdr:to>
    <xdr:cxnSp macro="">
      <xdr:nvCxnSpPr>
        <xdr:cNvPr id="144" name="Straight Connector 143"/>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45" name="Straight Connector 144"/>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34</xdr:row>
      <xdr:rowOff>40821</xdr:rowOff>
    </xdr:from>
    <xdr:to>
      <xdr:col>14</xdr:col>
      <xdr:colOff>911678</xdr:colOff>
      <xdr:row>35</xdr:row>
      <xdr:rowOff>149677</xdr:rowOff>
    </xdr:to>
    <xdr:cxnSp macro="">
      <xdr:nvCxnSpPr>
        <xdr:cNvPr id="146" name="Straight Connector 145"/>
        <xdr:cNvCxnSpPr/>
      </xdr:nvCxnSpPr>
      <xdr:spPr>
        <a:xfrm flipV="1">
          <a:off x="8561613" y="651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27216</xdr:rowOff>
    </xdr:from>
    <xdr:to>
      <xdr:col>10</xdr:col>
      <xdr:colOff>898071</xdr:colOff>
      <xdr:row>36</xdr:row>
      <xdr:rowOff>0</xdr:rowOff>
    </xdr:to>
    <xdr:cxnSp macro="">
      <xdr:nvCxnSpPr>
        <xdr:cNvPr id="147" name="Straight Connector 146"/>
        <xdr:cNvCxnSpPr/>
      </xdr:nvCxnSpPr>
      <xdr:spPr>
        <a:xfrm flipV="1">
          <a:off x="6096000" y="6504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148" name="Straight Connector 147"/>
        <xdr:cNvCxnSpPr/>
      </xdr:nvCxnSpPr>
      <xdr:spPr>
        <a:xfrm flipV="1">
          <a:off x="9198428" y="650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16</xdr:row>
      <xdr:rowOff>13608</xdr:rowOff>
    </xdr:from>
    <xdr:to>
      <xdr:col>12</xdr:col>
      <xdr:colOff>27214</xdr:colOff>
      <xdr:row>17</xdr:row>
      <xdr:rowOff>190502</xdr:rowOff>
    </xdr:to>
    <xdr:cxnSp macro="">
      <xdr:nvCxnSpPr>
        <xdr:cNvPr id="149" name="Straight Connector 148"/>
        <xdr:cNvCxnSpPr/>
      </xdr:nvCxnSpPr>
      <xdr:spPr>
        <a:xfrm flipV="1">
          <a:off x="6787242" y="306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50" name="Straight Connector 149"/>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51" name="Straight Connector 150"/>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16</xdr:row>
      <xdr:rowOff>2</xdr:rowOff>
    </xdr:from>
    <xdr:to>
      <xdr:col>11</xdr:col>
      <xdr:colOff>40820</xdr:colOff>
      <xdr:row>17</xdr:row>
      <xdr:rowOff>176893</xdr:rowOff>
    </xdr:to>
    <xdr:cxnSp macro="">
      <xdr:nvCxnSpPr>
        <xdr:cNvPr id="152" name="Straight Connector 151"/>
        <xdr:cNvCxnSpPr/>
      </xdr:nvCxnSpPr>
      <xdr:spPr>
        <a:xfrm flipV="1">
          <a:off x="6164035" y="3048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53" name="Straight Connector 152"/>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54" name="Straight Connector 153"/>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55" name="Straight Connector 154"/>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56" name="Straight Connector 155"/>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13609</xdr:rowOff>
    </xdr:from>
    <xdr:to>
      <xdr:col>11</xdr:col>
      <xdr:colOff>40820</xdr:colOff>
      <xdr:row>7</xdr:row>
      <xdr:rowOff>190500</xdr:rowOff>
    </xdr:to>
    <xdr:cxnSp macro="">
      <xdr:nvCxnSpPr>
        <xdr:cNvPr id="157" name="Straight Connector 156"/>
        <xdr:cNvCxnSpPr/>
      </xdr:nvCxnSpPr>
      <xdr:spPr>
        <a:xfrm flipV="1">
          <a:off x="6164035" y="1156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58" name="Straight Connector 157"/>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59" name="Straight Connector 158"/>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60" name="Straight Connector 159"/>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61" name="Straight Connector 160"/>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62" name="Straight Connector 161"/>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63" name="Straight Connector 162"/>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164" name="Straight Connector 163"/>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65" name="Straight Connector 164"/>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66" name="Straight Connector 165"/>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167" name="Straight Connector 166"/>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68" name="Straight Connector 167"/>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28</xdr:row>
      <xdr:rowOff>13609</xdr:rowOff>
    </xdr:from>
    <xdr:to>
      <xdr:col>12</xdr:col>
      <xdr:colOff>27214</xdr:colOff>
      <xdr:row>30</xdr:row>
      <xdr:rowOff>0</xdr:rowOff>
    </xdr:to>
    <xdr:cxnSp macro="">
      <xdr:nvCxnSpPr>
        <xdr:cNvPr id="169" name="Straight Connector 168"/>
        <xdr:cNvCxnSpPr/>
      </xdr:nvCxnSpPr>
      <xdr:spPr>
        <a:xfrm flipV="1">
          <a:off x="6719207" y="5347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70" name="Straight Connector 169"/>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71" name="Straight Connector 170"/>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2</xdr:rowOff>
    </xdr:from>
    <xdr:to>
      <xdr:col>11</xdr:col>
      <xdr:colOff>40820</xdr:colOff>
      <xdr:row>30</xdr:row>
      <xdr:rowOff>0</xdr:rowOff>
    </xdr:to>
    <xdr:cxnSp macro="">
      <xdr:nvCxnSpPr>
        <xdr:cNvPr id="172" name="Straight Connector 171"/>
        <xdr:cNvCxnSpPr/>
      </xdr:nvCxnSpPr>
      <xdr:spPr>
        <a:xfrm flipV="1">
          <a:off x="6109607" y="5334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73" name="Straight Connector 172"/>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74" name="Straight Connector 173"/>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75" name="Straight Connector 174"/>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76" name="Straight Connector 175"/>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77" name="Straight Connector 176"/>
        <xdr:cNvCxnSpPr/>
      </xdr:nvCxnSpPr>
      <xdr:spPr>
        <a:xfrm flipV="1">
          <a:off x="6109607" y="3429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78" name="Straight Connector 177"/>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79" name="Straight Connector 178"/>
        <xdr:cNvCxnSpPr/>
      </xdr:nvCxnSpPr>
      <xdr:spPr>
        <a:xfrm flipV="1">
          <a:off x="6719207" y="3823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80" name="Straight Connector 179"/>
        <xdr:cNvCxnSpPr/>
      </xdr:nvCxnSpPr>
      <xdr:spPr>
        <a:xfrm flipV="1">
          <a:off x="7349218" y="3827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81" name="Straight Connector 180"/>
        <xdr:cNvCxnSpPr/>
      </xdr:nvCxnSpPr>
      <xdr:spPr>
        <a:xfrm flipV="1">
          <a:off x="8561613" y="3850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82" name="Straight Connector 181"/>
        <xdr:cNvCxnSpPr/>
      </xdr:nvCxnSpPr>
      <xdr:spPr>
        <a:xfrm flipV="1">
          <a:off x="6109607" y="3810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183" name="Straight Connector 182"/>
        <xdr:cNvCxnSpPr/>
      </xdr:nvCxnSpPr>
      <xdr:spPr>
        <a:xfrm flipV="1">
          <a:off x="9198428" y="3837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84" name="Straight Connector 18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85" name="Straight Connector 18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86" name="Straight Connector 18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87" name="Straight Connector 186"/>
        <xdr:cNvCxnSpPr/>
      </xdr:nvCxnSpPr>
      <xdr:spPr>
        <a:xfrm flipV="1">
          <a:off x="6164035" y="1524002"/>
          <a:ext cx="582385"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88" name="Straight Connector 18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44</xdr:row>
      <xdr:rowOff>13608</xdr:rowOff>
    </xdr:from>
    <xdr:to>
      <xdr:col>12</xdr:col>
      <xdr:colOff>27214</xdr:colOff>
      <xdr:row>45</xdr:row>
      <xdr:rowOff>190502</xdr:rowOff>
    </xdr:to>
    <xdr:cxnSp macro="">
      <xdr:nvCxnSpPr>
        <xdr:cNvPr id="189" name="Straight Connector 188"/>
        <xdr:cNvCxnSpPr/>
      </xdr:nvCxnSpPr>
      <xdr:spPr>
        <a:xfrm flipV="1">
          <a:off x="6787242" y="839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44</xdr:row>
      <xdr:rowOff>17011</xdr:rowOff>
    </xdr:from>
    <xdr:to>
      <xdr:col>12</xdr:col>
      <xdr:colOff>916780</xdr:colOff>
      <xdr:row>45</xdr:row>
      <xdr:rowOff>192201</xdr:rowOff>
    </xdr:to>
    <xdr:cxnSp macro="">
      <xdr:nvCxnSpPr>
        <xdr:cNvPr id="190" name="Straight Connector 189"/>
        <xdr:cNvCxnSpPr/>
      </xdr:nvCxnSpPr>
      <xdr:spPr>
        <a:xfrm flipV="1">
          <a:off x="7349218" y="839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44</xdr:row>
      <xdr:rowOff>40821</xdr:rowOff>
    </xdr:from>
    <xdr:to>
      <xdr:col>14</xdr:col>
      <xdr:colOff>911678</xdr:colOff>
      <xdr:row>45</xdr:row>
      <xdr:rowOff>149677</xdr:rowOff>
    </xdr:to>
    <xdr:cxnSp macro="">
      <xdr:nvCxnSpPr>
        <xdr:cNvPr id="191" name="Straight Connector 190"/>
        <xdr:cNvCxnSpPr/>
      </xdr:nvCxnSpPr>
      <xdr:spPr>
        <a:xfrm flipV="1">
          <a:off x="8561613" y="842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44</xdr:row>
      <xdr:rowOff>27215</xdr:rowOff>
    </xdr:from>
    <xdr:to>
      <xdr:col>10</xdr:col>
      <xdr:colOff>911678</xdr:colOff>
      <xdr:row>46</xdr:row>
      <xdr:rowOff>0</xdr:rowOff>
    </xdr:to>
    <xdr:cxnSp macro="">
      <xdr:nvCxnSpPr>
        <xdr:cNvPr id="192" name="Straight Connector 191"/>
        <xdr:cNvCxnSpPr/>
      </xdr:nvCxnSpPr>
      <xdr:spPr>
        <a:xfrm flipV="1">
          <a:off x="6096000" y="8409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44</xdr:row>
      <xdr:rowOff>27216</xdr:rowOff>
    </xdr:from>
    <xdr:to>
      <xdr:col>16</xdr:col>
      <xdr:colOff>27215</xdr:colOff>
      <xdr:row>45</xdr:row>
      <xdr:rowOff>176893</xdr:rowOff>
    </xdr:to>
    <xdr:cxnSp macro="">
      <xdr:nvCxnSpPr>
        <xdr:cNvPr id="193" name="Straight Connector 192"/>
        <xdr:cNvCxnSpPr/>
      </xdr:nvCxnSpPr>
      <xdr:spPr>
        <a:xfrm flipV="1">
          <a:off x="9198428" y="840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194" name="Straight Connector 193"/>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195" name="Straight Connector 194"/>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47</xdr:row>
      <xdr:rowOff>27215</xdr:rowOff>
    </xdr:from>
    <xdr:to>
      <xdr:col>10</xdr:col>
      <xdr:colOff>911678</xdr:colOff>
      <xdr:row>49</xdr:row>
      <xdr:rowOff>0</xdr:rowOff>
    </xdr:to>
    <xdr:cxnSp macro="">
      <xdr:nvCxnSpPr>
        <xdr:cNvPr id="196" name="Straight Connector 195"/>
        <xdr:cNvCxnSpPr/>
      </xdr:nvCxnSpPr>
      <xdr:spPr>
        <a:xfrm flipV="1">
          <a:off x="6096000" y="89807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47</xdr:row>
      <xdr:rowOff>27216</xdr:rowOff>
    </xdr:from>
    <xdr:to>
      <xdr:col>16</xdr:col>
      <xdr:colOff>27215</xdr:colOff>
      <xdr:row>48</xdr:row>
      <xdr:rowOff>176893</xdr:rowOff>
    </xdr:to>
    <xdr:cxnSp macro="">
      <xdr:nvCxnSpPr>
        <xdr:cNvPr id="197" name="Straight Connector 196"/>
        <xdr:cNvCxnSpPr/>
      </xdr:nvCxnSpPr>
      <xdr:spPr>
        <a:xfrm flipV="1">
          <a:off x="9198428" y="8980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98" name="Straight Connector 197"/>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99" name="Straight Connector 198"/>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200" name="Straight Connector 199"/>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201" name="Straight Connector 200"/>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202" name="Straight Connector 201"/>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203" name="Straight Connector 202"/>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04" name="Straight Connector 203"/>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205" name="Straight Connector 204"/>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206" name="Straight Connector 205"/>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207" name="Straight Connector 206"/>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208" name="Straight Connector 207"/>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209" name="Straight Connector 208"/>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210" name="Straight Connector 209"/>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211" name="Straight Connector 210"/>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212" name="Straight Connector 211"/>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213" name="Straight Connector 212"/>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214" name="Straight Connector 213"/>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215" name="Straight Connector 214"/>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216" name="Straight Connector 215"/>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217" name="Straight Connector 216"/>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27216</xdr:rowOff>
    </xdr:from>
    <xdr:to>
      <xdr:col>10</xdr:col>
      <xdr:colOff>898071</xdr:colOff>
      <xdr:row>34</xdr:row>
      <xdr:rowOff>0</xdr:rowOff>
    </xdr:to>
    <xdr:cxnSp macro="">
      <xdr:nvCxnSpPr>
        <xdr:cNvPr id="218" name="Straight Connector 217"/>
        <xdr:cNvCxnSpPr/>
      </xdr:nvCxnSpPr>
      <xdr:spPr>
        <a:xfrm flipV="1">
          <a:off x="6096000" y="6123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219" name="Straight Connector 218"/>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42</xdr:row>
      <xdr:rowOff>13608</xdr:rowOff>
    </xdr:from>
    <xdr:to>
      <xdr:col>12</xdr:col>
      <xdr:colOff>27214</xdr:colOff>
      <xdr:row>43</xdr:row>
      <xdr:rowOff>190502</xdr:rowOff>
    </xdr:to>
    <xdr:cxnSp macro="">
      <xdr:nvCxnSpPr>
        <xdr:cNvPr id="220" name="Straight Connector 219"/>
        <xdr:cNvCxnSpPr/>
      </xdr:nvCxnSpPr>
      <xdr:spPr>
        <a:xfrm flipV="1">
          <a:off x="6787242" y="801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42</xdr:row>
      <xdr:rowOff>17011</xdr:rowOff>
    </xdr:from>
    <xdr:to>
      <xdr:col>12</xdr:col>
      <xdr:colOff>916780</xdr:colOff>
      <xdr:row>43</xdr:row>
      <xdr:rowOff>192201</xdr:rowOff>
    </xdr:to>
    <xdr:cxnSp macro="">
      <xdr:nvCxnSpPr>
        <xdr:cNvPr id="221" name="Straight Connector 220"/>
        <xdr:cNvCxnSpPr/>
      </xdr:nvCxnSpPr>
      <xdr:spPr>
        <a:xfrm flipV="1">
          <a:off x="7349218" y="801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42</xdr:row>
      <xdr:rowOff>40821</xdr:rowOff>
    </xdr:from>
    <xdr:to>
      <xdr:col>14</xdr:col>
      <xdr:colOff>911678</xdr:colOff>
      <xdr:row>43</xdr:row>
      <xdr:rowOff>149677</xdr:rowOff>
    </xdr:to>
    <xdr:cxnSp macro="">
      <xdr:nvCxnSpPr>
        <xdr:cNvPr id="222" name="Straight Connector 221"/>
        <xdr:cNvCxnSpPr/>
      </xdr:nvCxnSpPr>
      <xdr:spPr>
        <a:xfrm flipV="1">
          <a:off x="8561613" y="804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42</xdr:row>
      <xdr:rowOff>27215</xdr:rowOff>
    </xdr:from>
    <xdr:to>
      <xdr:col>10</xdr:col>
      <xdr:colOff>911678</xdr:colOff>
      <xdr:row>44</xdr:row>
      <xdr:rowOff>0</xdr:rowOff>
    </xdr:to>
    <xdr:cxnSp macro="">
      <xdr:nvCxnSpPr>
        <xdr:cNvPr id="223" name="Straight Connector 222"/>
        <xdr:cNvCxnSpPr/>
      </xdr:nvCxnSpPr>
      <xdr:spPr>
        <a:xfrm flipV="1">
          <a:off x="6096000" y="8028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42</xdr:row>
      <xdr:rowOff>27216</xdr:rowOff>
    </xdr:from>
    <xdr:to>
      <xdr:col>16</xdr:col>
      <xdr:colOff>27215</xdr:colOff>
      <xdr:row>43</xdr:row>
      <xdr:rowOff>176893</xdr:rowOff>
    </xdr:to>
    <xdr:cxnSp macro="">
      <xdr:nvCxnSpPr>
        <xdr:cNvPr id="224" name="Straight Connector 223"/>
        <xdr:cNvCxnSpPr/>
      </xdr:nvCxnSpPr>
      <xdr:spPr>
        <a:xfrm flipV="1">
          <a:off x="9198428" y="802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225" name="Straight Connector 224"/>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226" name="Straight Connector 225"/>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227" name="Straight Connector 226"/>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228" name="Straight Connector 227"/>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29" name="Straight Connector 228"/>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230" name="Straight Connector 229"/>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231" name="Straight Connector 230"/>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232" name="Straight Connector 231"/>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233" name="Straight Connector 232"/>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234" name="Straight Connector 233"/>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235" name="Straight Connector 234"/>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236" name="Straight Connector 235"/>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237" name="Straight Connector 236"/>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238" name="Straight Connector 237"/>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239" name="Straight Connector 238"/>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13607</xdr:colOff>
      <xdr:row>70</xdr:row>
      <xdr:rowOff>13608</xdr:rowOff>
    </xdr:from>
    <xdr:to>
      <xdr:col>11</xdr:col>
      <xdr:colOff>898071</xdr:colOff>
      <xdr:row>71</xdr:row>
      <xdr:rowOff>190502</xdr:rowOff>
    </xdr:to>
    <xdr:cxnSp macro="">
      <xdr:nvCxnSpPr>
        <xdr:cNvPr id="2" name="Straight Connector 1"/>
        <xdr:cNvCxnSpPr/>
      </xdr:nvCxnSpPr>
      <xdr:spPr>
        <a:xfrm flipV="1">
          <a:off x="6719207" y="13348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3" name="Straight Connector 2"/>
        <xdr:cNvCxnSpPr/>
      </xdr:nvCxnSpPr>
      <xdr:spPr>
        <a:xfrm flipV="1">
          <a:off x="7315200" y="13375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4" name="Straight Connector 3"/>
        <xdr:cNvCxnSpPr/>
      </xdr:nvCxnSpPr>
      <xdr:spPr>
        <a:xfrm flipV="1">
          <a:off x="8561614" y="13375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70</xdr:row>
      <xdr:rowOff>27214</xdr:rowOff>
    </xdr:from>
    <xdr:to>
      <xdr:col>16</xdr:col>
      <xdr:colOff>0</xdr:colOff>
      <xdr:row>72</xdr:row>
      <xdr:rowOff>0</xdr:rowOff>
    </xdr:to>
    <xdr:cxnSp macro="">
      <xdr:nvCxnSpPr>
        <xdr:cNvPr id="5" name="Straight Connector 4"/>
        <xdr:cNvCxnSpPr/>
      </xdr:nvCxnSpPr>
      <xdr:spPr>
        <a:xfrm flipV="1">
          <a:off x="9144001" y="13362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70</xdr:row>
      <xdr:rowOff>1</xdr:rowOff>
    </xdr:from>
    <xdr:to>
      <xdr:col>11</xdr:col>
      <xdr:colOff>13607</xdr:colOff>
      <xdr:row>71</xdr:row>
      <xdr:rowOff>176895</xdr:rowOff>
    </xdr:to>
    <xdr:cxnSp macro="">
      <xdr:nvCxnSpPr>
        <xdr:cNvPr id="6" name="Straight Connector 5"/>
        <xdr:cNvCxnSpPr/>
      </xdr:nvCxnSpPr>
      <xdr:spPr>
        <a:xfrm flipV="1">
          <a:off x="6150429" y="13335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74</xdr:row>
      <xdr:rowOff>13608</xdr:rowOff>
    </xdr:from>
    <xdr:to>
      <xdr:col>11</xdr:col>
      <xdr:colOff>898071</xdr:colOff>
      <xdr:row>75</xdr:row>
      <xdr:rowOff>190502</xdr:rowOff>
    </xdr:to>
    <xdr:cxnSp macro="">
      <xdr:nvCxnSpPr>
        <xdr:cNvPr id="7" name="Straight Connector 6"/>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8" name="Straight Connector 7"/>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9" name="Straight Connector 8"/>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74</xdr:row>
      <xdr:rowOff>13608</xdr:rowOff>
    </xdr:from>
    <xdr:to>
      <xdr:col>10</xdr:col>
      <xdr:colOff>884464</xdr:colOff>
      <xdr:row>76</xdr:row>
      <xdr:rowOff>0</xdr:rowOff>
    </xdr:to>
    <xdr:cxnSp macro="">
      <xdr:nvCxnSpPr>
        <xdr:cNvPr id="10" name="Straight Connector 9"/>
        <xdr:cNvCxnSpPr/>
      </xdr:nvCxnSpPr>
      <xdr:spPr>
        <a:xfrm flipV="1">
          <a:off x="6097361" y="14110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74</xdr:row>
      <xdr:rowOff>27217</xdr:rowOff>
    </xdr:from>
    <xdr:to>
      <xdr:col>15</xdr:col>
      <xdr:colOff>938894</xdr:colOff>
      <xdr:row>75</xdr:row>
      <xdr:rowOff>163286</xdr:rowOff>
    </xdr:to>
    <xdr:cxnSp macro="">
      <xdr:nvCxnSpPr>
        <xdr:cNvPr id="11" name="Straight Connector 10"/>
        <xdr:cNvCxnSpPr/>
      </xdr:nvCxnSpPr>
      <xdr:spPr>
        <a:xfrm flipV="1">
          <a:off x="9225643" y="14124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72</xdr:row>
      <xdr:rowOff>13608</xdr:rowOff>
    </xdr:from>
    <xdr:to>
      <xdr:col>11</xdr:col>
      <xdr:colOff>898071</xdr:colOff>
      <xdr:row>73</xdr:row>
      <xdr:rowOff>190502</xdr:rowOff>
    </xdr:to>
    <xdr:cxnSp macro="">
      <xdr:nvCxnSpPr>
        <xdr:cNvPr id="12" name="Straight Connector 11"/>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13" name="Straight Connector 12"/>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14" name="Straight Connector 13"/>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72</xdr:row>
      <xdr:rowOff>13608</xdr:rowOff>
    </xdr:from>
    <xdr:to>
      <xdr:col>10</xdr:col>
      <xdr:colOff>884464</xdr:colOff>
      <xdr:row>74</xdr:row>
      <xdr:rowOff>0</xdr:rowOff>
    </xdr:to>
    <xdr:cxnSp macro="">
      <xdr:nvCxnSpPr>
        <xdr:cNvPr id="15" name="Straight Connector 14"/>
        <xdr:cNvCxnSpPr/>
      </xdr:nvCxnSpPr>
      <xdr:spPr>
        <a:xfrm flipV="1">
          <a:off x="6097361" y="13729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72</xdr:row>
      <xdr:rowOff>27217</xdr:rowOff>
    </xdr:from>
    <xdr:to>
      <xdr:col>15</xdr:col>
      <xdr:colOff>938894</xdr:colOff>
      <xdr:row>73</xdr:row>
      <xdr:rowOff>163286</xdr:rowOff>
    </xdr:to>
    <xdr:cxnSp macro="">
      <xdr:nvCxnSpPr>
        <xdr:cNvPr id="16" name="Straight Connector 15"/>
        <xdr:cNvCxnSpPr/>
      </xdr:nvCxnSpPr>
      <xdr:spPr>
        <a:xfrm flipV="1">
          <a:off x="9225643" y="13743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17" name="Straight Connector 16"/>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18" name="Straight Connector 17"/>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19" name="Straight Connector 18"/>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20" name="Straight Connector 19"/>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21" name="Straight Connector 20"/>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22" name="Straight Connector 21"/>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23" name="Straight Connector 22"/>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24" name="Straight Connector 23"/>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25" name="Straight Connector 24"/>
        <xdr:cNvCxnSpPr/>
      </xdr:nvCxnSpPr>
      <xdr:spPr>
        <a:xfrm flipV="1">
          <a:off x="6787242" y="1677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26" name="Straight Connector 25"/>
        <xdr:cNvCxnSpPr/>
      </xdr:nvCxnSpPr>
      <xdr:spPr>
        <a:xfrm flipV="1">
          <a:off x="6109607" y="1677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27" name="Straight Connector 26"/>
        <xdr:cNvCxnSpPr/>
      </xdr:nvCxnSpPr>
      <xdr:spPr>
        <a:xfrm flipV="1">
          <a:off x="73492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28" name="Straight Connector 27"/>
        <xdr:cNvCxnSpPr/>
      </xdr:nvCxnSpPr>
      <xdr:spPr>
        <a:xfrm flipV="1">
          <a:off x="9171214" y="1678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29" name="Straight Connector 28"/>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30" name="Straight Connector 29"/>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31" name="Straight Connector 30"/>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32" name="Straight Connector 31"/>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33" name="Straight Connector 32"/>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4" name="Straight Connector 33"/>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5" name="Straight Connector 34"/>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36" name="Straight Connector 35"/>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37" name="Straight Connector 36"/>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38" name="Straight Connector 37"/>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9" name="Straight Connector 38"/>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94</xdr:row>
      <xdr:rowOff>3</xdr:rowOff>
    </xdr:from>
    <xdr:to>
      <xdr:col>15</xdr:col>
      <xdr:colOff>40822</xdr:colOff>
      <xdr:row>95</xdr:row>
      <xdr:rowOff>149679</xdr:rowOff>
    </xdr:to>
    <xdr:cxnSp macro="">
      <xdr:nvCxnSpPr>
        <xdr:cNvPr id="40" name="Straight Connector 39"/>
        <xdr:cNvCxnSpPr/>
      </xdr:nvCxnSpPr>
      <xdr:spPr>
        <a:xfrm flipV="1">
          <a:off x="8571820" y="17907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41" name="Straight Connector 40"/>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42" name="Straight Connector 41"/>
        <xdr:cNvCxnSpPr/>
      </xdr:nvCxnSpPr>
      <xdr:spPr>
        <a:xfrm flipV="1">
          <a:off x="6787242" y="1849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43" name="Straight Connector 42"/>
        <xdr:cNvCxnSpPr/>
      </xdr:nvCxnSpPr>
      <xdr:spPr>
        <a:xfrm flipV="1">
          <a:off x="6109607" y="1849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44" name="Straight Connector 43"/>
        <xdr:cNvCxnSpPr/>
      </xdr:nvCxnSpPr>
      <xdr:spPr>
        <a:xfrm flipV="1">
          <a:off x="7349218" y="1849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45" name="Straight Connector 44"/>
        <xdr:cNvCxnSpPr/>
      </xdr:nvCxnSpPr>
      <xdr:spPr>
        <a:xfrm flipV="1">
          <a:off x="9171214" y="1849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46" name="Straight Connector 45"/>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47" name="Straight Connector 46"/>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48" name="Straight Connector 47"/>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49" name="Straight Connector 48"/>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50" name="Straight Connector 49"/>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51" name="Straight Connector 50"/>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52" name="Straight Connector 51"/>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101</xdr:row>
      <xdr:rowOff>3</xdr:rowOff>
    </xdr:from>
    <xdr:to>
      <xdr:col>15</xdr:col>
      <xdr:colOff>40822</xdr:colOff>
      <xdr:row>102</xdr:row>
      <xdr:rowOff>149679</xdr:rowOff>
    </xdr:to>
    <xdr:cxnSp macro="">
      <xdr:nvCxnSpPr>
        <xdr:cNvPr id="53" name="Straight Connector 52"/>
        <xdr:cNvCxnSpPr/>
      </xdr:nvCxnSpPr>
      <xdr:spPr>
        <a:xfrm flipV="1">
          <a:off x="8571820" y="19240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54" name="Straight Connector 53"/>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55" name="Straight Connector 54"/>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56" name="Straight Connector 55"/>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57" name="Straight Connector 56"/>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103</xdr:row>
      <xdr:rowOff>3</xdr:rowOff>
    </xdr:from>
    <xdr:to>
      <xdr:col>15</xdr:col>
      <xdr:colOff>40822</xdr:colOff>
      <xdr:row>104</xdr:row>
      <xdr:rowOff>149679</xdr:rowOff>
    </xdr:to>
    <xdr:cxnSp macro="">
      <xdr:nvCxnSpPr>
        <xdr:cNvPr id="58" name="Straight Connector 57"/>
        <xdr:cNvCxnSpPr/>
      </xdr:nvCxnSpPr>
      <xdr:spPr>
        <a:xfrm flipV="1">
          <a:off x="8571820" y="19621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59" name="Straight Connector 58"/>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60" name="Straight Connector 59"/>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61" name="Straight Connector 60"/>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62" name="Straight Connector 61"/>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79</xdr:row>
      <xdr:rowOff>40825</xdr:rowOff>
    </xdr:from>
    <xdr:to>
      <xdr:col>15</xdr:col>
      <xdr:colOff>54429</xdr:colOff>
      <xdr:row>80</xdr:row>
      <xdr:rowOff>190501</xdr:rowOff>
    </xdr:to>
    <xdr:cxnSp macro="">
      <xdr:nvCxnSpPr>
        <xdr:cNvPr id="63" name="Straight Connector 62"/>
        <xdr:cNvCxnSpPr/>
      </xdr:nvCxnSpPr>
      <xdr:spPr>
        <a:xfrm flipV="1">
          <a:off x="8585427" y="15090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64" name="Straight Connector 63"/>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65" name="Straight Connector 64"/>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66" name="Straight Connector 65"/>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67" name="Straight Connector 66"/>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68" name="Straight Connector 67"/>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9" name="Straight Connector 68"/>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70" name="Straight Connector 69"/>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71" name="Straight Connector 70"/>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72" name="Straight Connector 71"/>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99</xdr:row>
      <xdr:rowOff>17010</xdr:rowOff>
    </xdr:from>
    <xdr:to>
      <xdr:col>14</xdr:col>
      <xdr:colOff>903173</xdr:colOff>
      <xdr:row>100</xdr:row>
      <xdr:rowOff>192200</xdr:rowOff>
    </xdr:to>
    <xdr:cxnSp macro="">
      <xdr:nvCxnSpPr>
        <xdr:cNvPr id="73" name="Straight Connector 72"/>
        <xdr:cNvCxnSpPr/>
      </xdr:nvCxnSpPr>
      <xdr:spPr>
        <a:xfrm flipV="1">
          <a:off x="8554811" y="18876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92</xdr:row>
      <xdr:rowOff>3404</xdr:rowOff>
    </xdr:from>
    <xdr:to>
      <xdr:col>15</xdr:col>
      <xdr:colOff>5101</xdr:colOff>
      <xdr:row>93</xdr:row>
      <xdr:rowOff>178593</xdr:rowOff>
    </xdr:to>
    <xdr:cxnSp macro="">
      <xdr:nvCxnSpPr>
        <xdr:cNvPr id="74" name="Straight Connector 73"/>
        <xdr:cNvCxnSpPr/>
      </xdr:nvCxnSpPr>
      <xdr:spPr>
        <a:xfrm flipV="1">
          <a:off x="8582025" y="17529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90</xdr:row>
      <xdr:rowOff>17011</xdr:rowOff>
    </xdr:from>
    <xdr:to>
      <xdr:col>15</xdr:col>
      <xdr:colOff>5101</xdr:colOff>
      <xdr:row>91</xdr:row>
      <xdr:rowOff>192201</xdr:rowOff>
    </xdr:to>
    <xdr:cxnSp macro="">
      <xdr:nvCxnSpPr>
        <xdr:cNvPr id="75" name="Straight Connector 74"/>
        <xdr:cNvCxnSpPr/>
      </xdr:nvCxnSpPr>
      <xdr:spPr>
        <a:xfrm flipV="1">
          <a:off x="8582025" y="17162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88</xdr:row>
      <xdr:rowOff>17011</xdr:rowOff>
    </xdr:from>
    <xdr:to>
      <xdr:col>14</xdr:col>
      <xdr:colOff>916780</xdr:colOff>
      <xdr:row>89</xdr:row>
      <xdr:rowOff>192201</xdr:rowOff>
    </xdr:to>
    <xdr:cxnSp macro="">
      <xdr:nvCxnSpPr>
        <xdr:cNvPr id="76" name="Straight Connector 75"/>
        <xdr:cNvCxnSpPr/>
      </xdr:nvCxnSpPr>
      <xdr:spPr>
        <a:xfrm flipV="1">
          <a:off x="85684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85</xdr:row>
      <xdr:rowOff>17011</xdr:rowOff>
    </xdr:from>
    <xdr:to>
      <xdr:col>15</xdr:col>
      <xdr:colOff>32315</xdr:colOff>
      <xdr:row>86</xdr:row>
      <xdr:rowOff>192201</xdr:rowOff>
    </xdr:to>
    <xdr:cxnSp macro="">
      <xdr:nvCxnSpPr>
        <xdr:cNvPr id="77" name="Straight Connector 76"/>
        <xdr:cNvCxnSpPr/>
      </xdr:nvCxnSpPr>
      <xdr:spPr>
        <a:xfrm flipV="1">
          <a:off x="8609239" y="16209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83</xdr:row>
      <xdr:rowOff>17011</xdr:rowOff>
    </xdr:from>
    <xdr:to>
      <xdr:col>15</xdr:col>
      <xdr:colOff>32315</xdr:colOff>
      <xdr:row>84</xdr:row>
      <xdr:rowOff>192201</xdr:rowOff>
    </xdr:to>
    <xdr:cxnSp macro="">
      <xdr:nvCxnSpPr>
        <xdr:cNvPr id="78" name="Straight Connector 77"/>
        <xdr:cNvCxnSpPr/>
      </xdr:nvCxnSpPr>
      <xdr:spPr>
        <a:xfrm flipV="1">
          <a:off x="8609239" y="15828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81</xdr:row>
      <xdr:rowOff>3403</xdr:rowOff>
    </xdr:from>
    <xdr:to>
      <xdr:col>15</xdr:col>
      <xdr:colOff>18708</xdr:colOff>
      <xdr:row>82</xdr:row>
      <xdr:rowOff>178593</xdr:rowOff>
    </xdr:to>
    <xdr:cxnSp macro="">
      <xdr:nvCxnSpPr>
        <xdr:cNvPr id="79" name="Straight Connector 78"/>
        <xdr:cNvCxnSpPr/>
      </xdr:nvCxnSpPr>
      <xdr:spPr>
        <a:xfrm flipV="1">
          <a:off x="8595632" y="15433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52</xdr:row>
      <xdr:rowOff>27214</xdr:rowOff>
    </xdr:from>
    <xdr:to>
      <xdr:col>15</xdr:col>
      <xdr:colOff>898072</xdr:colOff>
      <xdr:row>53</xdr:row>
      <xdr:rowOff>149678</xdr:rowOff>
    </xdr:to>
    <xdr:cxnSp macro="">
      <xdr:nvCxnSpPr>
        <xdr:cNvPr id="80" name="Straight Connector 79"/>
        <xdr:cNvCxnSpPr/>
      </xdr:nvCxnSpPr>
      <xdr:spPr>
        <a:xfrm flipV="1">
          <a:off x="9171214" y="9933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81" name="Straight Connector 80"/>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82" name="Straight Connector 81"/>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83" name="Straight Connector 82"/>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84" name="Straight Connector 83"/>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62</xdr:row>
      <xdr:rowOff>27214</xdr:rowOff>
    </xdr:from>
    <xdr:to>
      <xdr:col>15</xdr:col>
      <xdr:colOff>898072</xdr:colOff>
      <xdr:row>63</xdr:row>
      <xdr:rowOff>149678</xdr:rowOff>
    </xdr:to>
    <xdr:cxnSp macro="">
      <xdr:nvCxnSpPr>
        <xdr:cNvPr id="85" name="Straight Connector 84"/>
        <xdr:cNvCxnSpPr/>
      </xdr:nvCxnSpPr>
      <xdr:spPr>
        <a:xfrm flipV="1">
          <a:off x="9171214" y="11838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62</xdr:row>
      <xdr:rowOff>13607</xdr:rowOff>
    </xdr:from>
    <xdr:to>
      <xdr:col>10</xdr:col>
      <xdr:colOff>911677</xdr:colOff>
      <xdr:row>64</xdr:row>
      <xdr:rowOff>0</xdr:rowOff>
    </xdr:to>
    <xdr:cxnSp macro="">
      <xdr:nvCxnSpPr>
        <xdr:cNvPr id="86" name="Straight Connector 85"/>
        <xdr:cNvCxnSpPr/>
      </xdr:nvCxnSpPr>
      <xdr:spPr>
        <a:xfrm flipV="1">
          <a:off x="6109607" y="11824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62</xdr:row>
      <xdr:rowOff>13608</xdr:rowOff>
    </xdr:from>
    <xdr:to>
      <xdr:col>12</xdr:col>
      <xdr:colOff>27214</xdr:colOff>
      <xdr:row>63</xdr:row>
      <xdr:rowOff>190502</xdr:rowOff>
    </xdr:to>
    <xdr:cxnSp macro="">
      <xdr:nvCxnSpPr>
        <xdr:cNvPr id="87" name="Straight Connector 86"/>
        <xdr:cNvCxnSpPr/>
      </xdr:nvCxnSpPr>
      <xdr:spPr>
        <a:xfrm flipV="1">
          <a:off x="6787242" y="1182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62</xdr:row>
      <xdr:rowOff>17011</xdr:rowOff>
    </xdr:from>
    <xdr:to>
      <xdr:col>12</xdr:col>
      <xdr:colOff>916780</xdr:colOff>
      <xdr:row>63</xdr:row>
      <xdr:rowOff>192201</xdr:rowOff>
    </xdr:to>
    <xdr:cxnSp macro="">
      <xdr:nvCxnSpPr>
        <xdr:cNvPr id="88" name="Straight Connector 87"/>
        <xdr:cNvCxnSpPr/>
      </xdr:nvCxnSpPr>
      <xdr:spPr>
        <a:xfrm flipV="1">
          <a:off x="7349218" y="1182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62</xdr:row>
      <xdr:rowOff>54428</xdr:rowOff>
    </xdr:from>
    <xdr:to>
      <xdr:col>14</xdr:col>
      <xdr:colOff>884463</xdr:colOff>
      <xdr:row>63</xdr:row>
      <xdr:rowOff>163285</xdr:rowOff>
    </xdr:to>
    <xdr:cxnSp macro="">
      <xdr:nvCxnSpPr>
        <xdr:cNvPr id="89" name="Straight Connector 88"/>
        <xdr:cNvCxnSpPr/>
      </xdr:nvCxnSpPr>
      <xdr:spPr>
        <a:xfrm flipV="1">
          <a:off x="8537119" y="11865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77</xdr:row>
      <xdr:rowOff>13610</xdr:rowOff>
    </xdr:from>
    <xdr:to>
      <xdr:col>15</xdr:col>
      <xdr:colOff>54429</xdr:colOff>
      <xdr:row>78</xdr:row>
      <xdr:rowOff>163286</xdr:rowOff>
    </xdr:to>
    <xdr:cxnSp macro="">
      <xdr:nvCxnSpPr>
        <xdr:cNvPr id="90" name="Straight Connector 89"/>
        <xdr:cNvCxnSpPr/>
      </xdr:nvCxnSpPr>
      <xdr:spPr>
        <a:xfrm flipV="1">
          <a:off x="8585427" y="14682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45</xdr:row>
      <xdr:rowOff>13607</xdr:rowOff>
    </xdr:from>
    <xdr:to>
      <xdr:col>10</xdr:col>
      <xdr:colOff>911677</xdr:colOff>
      <xdr:row>47</xdr:row>
      <xdr:rowOff>0</xdr:rowOff>
    </xdr:to>
    <xdr:cxnSp macro="">
      <xdr:nvCxnSpPr>
        <xdr:cNvPr id="91" name="Straight Connector 90"/>
        <xdr:cNvCxnSpPr/>
      </xdr:nvCxnSpPr>
      <xdr:spPr>
        <a:xfrm flipV="1">
          <a:off x="6109607" y="8586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92" name="Straight Connector 91"/>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93" name="Straight Connector 92"/>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45</xdr:row>
      <xdr:rowOff>54428</xdr:rowOff>
    </xdr:from>
    <xdr:to>
      <xdr:col>14</xdr:col>
      <xdr:colOff>884463</xdr:colOff>
      <xdr:row>46</xdr:row>
      <xdr:rowOff>163285</xdr:rowOff>
    </xdr:to>
    <xdr:cxnSp macro="">
      <xdr:nvCxnSpPr>
        <xdr:cNvPr id="94" name="Straight Connector 93"/>
        <xdr:cNvCxnSpPr/>
      </xdr:nvCxnSpPr>
      <xdr:spPr>
        <a:xfrm flipV="1">
          <a:off x="8537119" y="8626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49</xdr:row>
      <xdr:rowOff>27214</xdr:rowOff>
    </xdr:from>
    <xdr:to>
      <xdr:col>15</xdr:col>
      <xdr:colOff>898072</xdr:colOff>
      <xdr:row>50</xdr:row>
      <xdr:rowOff>149678</xdr:rowOff>
    </xdr:to>
    <xdr:cxnSp macro="">
      <xdr:nvCxnSpPr>
        <xdr:cNvPr id="95" name="Straight Connector 94"/>
        <xdr:cNvCxnSpPr/>
      </xdr:nvCxnSpPr>
      <xdr:spPr>
        <a:xfrm flipV="1">
          <a:off x="9171214" y="9361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49</xdr:row>
      <xdr:rowOff>13607</xdr:rowOff>
    </xdr:from>
    <xdr:to>
      <xdr:col>10</xdr:col>
      <xdr:colOff>911677</xdr:colOff>
      <xdr:row>51</xdr:row>
      <xdr:rowOff>0</xdr:rowOff>
    </xdr:to>
    <xdr:cxnSp macro="">
      <xdr:nvCxnSpPr>
        <xdr:cNvPr id="96" name="Straight Connector 95"/>
        <xdr:cNvCxnSpPr/>
      </xdr:nvCxnSpPr>
      <xdr:spPr>
        <a:xfrm flipV="1">
          <a:off x="6109607" y="9348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49</xdr:row>
      <xdr:rowOff>13608</xdr:rowOff>
    </xdr:from>
    <xdr:to>
      <xdr:col>12</xdr:col>
      <xdr:colOff>27214</xdr:colOff>
      <xdr:row>50</xdr:row>
      <xdr:rowOff>190502</xdr:rowOff>
    </xdr:to>
    <xdr:cxnSp macro="">
      <xdr:nvCxnSpPr>
        <xdr:cNvPr id="97" name="Straight Connector 96"/>
        <xdr:cNvCxnSpPr/>
      </xdr:nvCxnSpPr>
      <xdr:spPr>
        <a:xfrm flipV="1">
          <a:off x="6787242" y="934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49</xdr:row>
      <xdr:rowOff>17011</xdr:rowOff>
    </xdr:from>
    <xdr:to>
      <xdr:col>12</xdr:col>
      <xdr:colOff>916780</xdr:colOff>
      <xdr:row>50</xdr:row>
      <xdr:rowOff>192201</xdr:rowOff>
    </xdr:to>
    <xdr:cxnSp macro="">
      <xdr:nvCxnSpPr>
        <xdr:cNvPr id="98" name="Straight Connector 97"/>
        <xdr:cNvCxnSpPr/>
      </xdr:nvCxnSpPr>
      <xdr:spPr>
        <a:xfrm flipV="1">
          <a:off x="7349218" y="935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49</xdr:row>
      <xdr:rowOff>54428</xdr:rowOff>
    </xdr:from>
    <xdr:to>
      <xdr:col>14</xdr:col>
      <xdr:colOff>884463</xdr:colOff>
      <xdr:row>50</xdr:row>
      <xdr:rowOff>163285</xdr:rowOff>
    </xdr:to>
    <xdr:cxnSp macro="">
      <xdr:nvCxnSpPr>
        <xdr:cNvPr id="99" name="Straight Connector 98"/>
        <xdr:cNvCxnSpPr/>
      </xdr:nvCxnSpPr>
      <xdr:spPr>
        <a:xfrm flipV="1">
          <a:off x="8537119" y="9388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47</xdr:row>
      <xdr:rowOff>27214</xdr:rowOff>
    </xdr:from>
    <xdr:to>
      <xdr:col>15</xdr:col>
      <xdr:colOff>898072</xdr:colOff>
      <xdr:row>48</xdr:row>
      <xdr:rowOff>149678</xdr:rowOff>
    </xdr:to>
    <xdr:cxnSp macro="">
      <xdr:nvCxnSpPr>
        <xdr:cNvPr id="100" name="Straight Connector 99"/>
        <xdr:cNvCxnSpPr/>
      </xdr:nvCxnSpPr>
      <xdr:spPr>
        <a:xfrm flipV="1">
          <a:off x="9171214" y="8980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101" name="Straight Connector 100"/>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102" name="Straight Connector 101"/>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103" name="Straight Connector 102"/>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104" name="Straight Connector 103"/>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108</xdr:row>
      <xdr:rowOff>0</xdr:rowOff>
    </xdr:from>
    <xdr:ext cx="17150072" cy="3743326"/>
    <xdr:pic>
      <xdr:nvPicPr>
        <xdr:cNvPr id="105" name="Picture 104"/>
        <xdr:cNvPicPr>
          <a:picLocks noChangeAspect="1" noChangeArrowheads="1"/>
          <a:extLst/>
        </xdr:cNvPicPr>
      </xdr:nvPicPr>
      <xdr:blipFill>
        <a:blip xmlns:r="http://schemas.openxmlformats.org/officeDocument/2006/relationships" r:embed="rId1"/>
        <a:srcRect/>
        <a:stretch>
          <a:fillRect/>
        </a:stretch>
      </xdr:blipFill>
      <xdr:spPr bwMode="auto">
        <a:xfrm>
          <a:off x="609600" y="20574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124</xdr:row>
      <xdr:rowOff>176894</xdr:rowOff>
    </xdr:from>
    <xdr:ext cx="18008063" cy="3743325"/>
    <xdr:pic>
      <xdr:nvPicPr>
        <xdr:cNvPr id="106" name="Picture 105"/>
        <xdr:cNvPicPr>
          <a:picLocks noChangeAspect="1" noChangeArrowheads="1"/>
          <a:extLst/>
        </xdr:cNvPicPr>
      </xdr:nvPicPr>
      <xdr:blipFill>
        <a:blip xmlns:r="http://schemas.openxmlformats.org/officeDocument/2006/relationships" r:embed="rId2"/>
        <a:srcRect/>
        <a:stretch>
          <a:fillRect/>
        </a:stretch>
      </xdr:blipFill>
      <xdr:spPr bwMode="auto">
        <a:xfrm>
          <a:off x="621846" y="23798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34</xdr:row>
      <xdr:rowOff>13608</xdr:rowOff>
    </xdr:from>
    <xdr:to>
      <xdr:col>12</xdr:col>
      <xdr:colOff>27214</xdr:colOff>
      <xdr:row>35</xdr:row>
      <xdr:rowOff>190502</xdr:rowOff>
    </xdr:to>
    <xdr:cxnSp macro="">
      <xdr:nvCxnSpPr>
        <xdr:cNvPr id="107" name="Straight Connector 106"/>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08" name="Straight Connector 107"/>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34</xdr:row>
      <xdr:rowOff>0</xdr:rowOff>
    </xdr:from>
    <xdr:to>
      <xdr:col>15</xdr:col>
      <xdr:colOff>0</xdr:colOff>
      <xdr:row>35</xdr:row>
      <xdr:rowOff>190501</xdr:rowOff>
    </xdr:to>
    <xdr:cxnSp macro="">
      <xdr:nvCxnSpPr>
        <xdr:cNvPr id="109" name="Straight Connector 108"/>
        <xdr:cNvCxnSpPr/>
      </xdr:nvCxnSpPr>
      <xdr:spPr>
        <a:xfrm flipV="1">
          <a:off x="8533039" y="6477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27215</xdr:rowOff>
    </xdr:from>
    <xdr:to>
      <xdr:col>10</xdr:col>
      <xdr:colOff>911678</xdr:colOff>
      <xdr:row>36</xdr:row>
      <xdr:rowOff>0</xdr:rowOff>
    </xdr:to>
    <xdr:cxnSp macro="">
      <xdr:nvCxnSpPr>
        <xdr:cNvPr id="110" name="Straight Connector 109"/>
        <xdr:cNvCxnSpPr/>
      </xdr:nvCxnSpPr>
      <xdr:spPr>
        <a:xfrm flipV="1">
          <a:off x="6096000" y="6504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34</xdr:row>
      <xdr:rowOff>13607</xdr:rowOff>
    </xdr:from>
    <xdr:to>
      <xdr:col>16</xdr:col>
      <xdr:colOff>0</xdr:colOff>
      <xdr:row>36</xdr:row>
      <xdr:rowOff>0</xdr:rowOff>
    </xdr:to>
    <xdr:cxnSp macro="">
      <xdr:nvCxnSpPr>
        <xdr:cNvPr id="111" name="Straight Connector 110"/>
        <xdr:cNvCxnSpPr/>
      </xdr:nvCxnSpPr>
      <xdr:spPr>
        <a:xfrm flipV="1">
          <a:off x="9171214" y="6490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54</xdr:row>
      <xdr:rowOff>40821</xdr:rowOff>
    </xdr:from>
    <xdr:to>
      <xdr:col>15</xdr:col>
      <xdr:colOff>952500</xdr:colOff>
      <xdr:row>55</xdr:row>
      <xdr:rowOff>163285</xdr:rowOff>
    </xdr:to>
    <xdr:cxnSp macro="">
      <xdr:nvCxnSpPr>
        <xdr:cNvPr id="112" name="Straight Connector 111"/>
        <xdr:cNvCxnSpPr/>
      </xdr:nvCxnSpPr>
      <xdr:spPr>
        <a:xfrm flipV="1">
          <a:off x="9225642" y="10327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13" name="Straight Connector 112"/>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14" name="Straight Connector 113"/>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15" name="Straight Connector 114"/>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16" name="Straight Connector 115"/>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117" name="Straight Connector 116"/>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18" name="Straight Connector 117"/>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19" name="Straight Connector 118"/>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20" name="Straight Connector 119"/>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21" name="Straight Connector 120"/>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22" name="Straight Connector 121"/>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23" name="Straight Connector 122"/>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24" name="Straight Connector 123"/>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25" name="Straight Connector 124"/>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26" name="Straight Connector 125"/>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127" name="Straight Connector 126"/>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128" name="Straight Connector 127"/>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129" name="Straight Connector 128"/>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130" name="Straight Connector 129"/>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131" name="Straight Connector 130"/>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45</xdr:row>
      <xdr:rowOff>27216</xdr:rowOff>
    </xdr:from>
    <xdr:to>
      <xdr:col>16</xdr:col>
      <xdr:colOff>27215</xdr:colOff>
      <xdr:row>46</xdr:row>
      <xdr:rowOff>176893</xdr:rowOff>
    </xdr:to>
    <xdr:cxnSp macro="">
      <xdr:nvCxnSpPr>
        <xdr:cNvPr id="132" name="Straight Connector 131"/>
        <xdr:cNvCxnSpPr/>
      </xdr:nvCxnSpPr>
      <xdr:spPr>
        <a:xfrm flipV="1">
          <a:off x="9198428" y="8599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898070</xdr:colOff>
      <xdr:row>37</xdr:row>
      <xdr:rowOff>176892</xdr:rowOff>
    </xdr:from>
    <xdr:to>
      <xdr:col>14</xdr:col>
      <xdr:colOff>911679</xdr:colOff>
      <xdr:row>38</xdr:row>
      <xdr:rowOff>0</xdr:rowOff>
    </xdr:to>
    <xdr:cxnSp macro="">
      <xdr:nvCxnSpPr>
        <xdr:cNvPr id="133" name="Straight Connector 132"/>
        <xdr:cNvCxnSpPr/>
      </xdr:nvCxnSpPr>
      <xdr:spPr>
        <a:xfrm flipV="1">
          <a:off x="8537120" y="7225392"/>
          <a:ext cx="604159" cy="136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28</xdr:row>
      <xdr:rowOff>13608</xdr:rowOff>
    </xdr:from>
    <xdr:to>
      <xdr:col>12</xdr:col>
      <xdr:colOff>27214</xdr:colOff>
      <xdr:row>29</xdr:row>
      <xdr:rowOff>190502</xdr:rowOff>
    </xdr:to>
    <xdr:cxnSp macro="">
      <xdr:nvCxnSpPr>
        <xdr:cNvPr id="134" name="Straight Connector 133"/>
        <xdr:cNvCxnSpPr/>
      </xdr:nvCxnSpPr>
      <xdr:spPr>
        <a:xfrm flipV="1">
          <a:off x="6787242" y="534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35" name="Straight Connector 134"/>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36" name="Straight Connector 135"/>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13609</xdr:rowOff>
    </xdr:from>
    <xdr:to>
      <xdr:col>10</xdr:col>
      <xdr:colOff>911678</xdr:colOff>
      <xdr:row>29</xdr:row>
      <xdr:rowOff>190501</xdr:rowOff>
    </xdr:to>
    <xdr:cxnSp macro="">
      <xdr:nvCxnSpPr>
        <xdr:cNvPr id="137" name="Straight Connector 136"/>
        <xdr:cNvCxnSpPr/>
      </xdr:nvCxnSpPr>
      <xdr:spPr>
        <a:xfrm flipV="1">
          <a:off x="6109607" y="5347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38" name="Straight Connector 137"/>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36</xdr:row>
      <xdr:rowOff>13608</xdr:rowOff>
    </xdr:from>
    <xdr:to>
      <xdr:col>12</xdr:col>
      <xdr:colOff>27214</xdr:colOff>
      <xdr:row>37</xdr:row>
      <xdr:rowOff>190500</xdr:rowOff>
    </xdr:to>
    <xdr:cxnSp macro="">
      <xdr:nvCxnSpPr>
        <xdr:cNvPr id="139" name="Straight Connector 138"/>
        <xdr:cNvCxnSpPr/>
      </xdr:nvCxnSpPr>
      <xdr:spPr>
        <a:xfrm flipV="1">
          <a:off x="6732814" y="6871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40" name="Straight Connector 139"/>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35</xdr:row>
      <xdr:rowOff>190500</xdr:rowOff>
    </xdr:from>
    <xdr:to>
      <xdr:col>15</xdr:col>
      <xdr:colOff>27214</xdr:colOff>
      <xdr:row>37</xdr:row>
      <xdr:rowOff>176894</xdr:rowOff>
    </xdr:to>
    <xdr:cxnSp macro="">
      <xdr:nvCxnSpPr>
        <xdr:cNvPr id="141" name="Straight Connector 140"/>
        <xdr:cNvCxnSpPr/>
      </xdr:nvCxnSpPr>
      <xdr:spPr>
        <a:xfrm flipV="1">
          <a:off x="8561614" y="6858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36</xdr:row>
      <xdr:rowOff>0</xdr:rowOff>
    </xdr:from>
    <xdr:to>
      <xdr:col>11</xdr:col>
      <xdr:colOff>13607</xdr:colOff>
      <xdr:row>37</xdr:row>
      <xdr:rowOff>176892</xdr:rowOff>
    </xdr:to>
    <xdr:cxnSp macro="">
      <xdr:nvCxnSpPr>
        <xdr:cNvPr id="142" name="Straight Connector 141"/>
        <xdr:cNvCxnSpPr/>
      </xdr:nvCxnSpPr>
      <xdr:spPr>
        <a:xfrm flipV="1">
          <a:off x="6123215" y="6858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36</xdr:row>
      <xdr:rowOff>0</xdr:rowOff>
    </xdr:from>
    <xdr:to>
      <xdr:col>15</xdr:col>
      <xdr:colOff>952500</xdr:colOff>
      <xdr:row>37</xdr:row>
      <xdr:rowOff>190501</xdr:rowOff>
    </xdr:to>
    <xdr:cxnSp macro="">
      <xdr:nvCxnSpPr>
        <xdr:cNvPr id="143" name="Straight Connector 142"/>
        <xdr:cNvCxnSpPr/>
      </xdr:nvCxnSpPr>
      <xdr:spPr>
        <a:xfrm flipV="1">
          <a:off x="9141279" y="6858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144" name="Straight Connector 143"/>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45" name="Straight Connector 144"/>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146" name="Straight Connector 145"/>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27216</xdr:rowOff>
    </xdr:from>
    <xdr:to>
      <xdr:col>10</xdr:col>
      <xdr:colOff>898071</xdr:colOff>
      <xdr:row>34</xdr:row>
      <xdr:rowOff>0</xdr:rowOff>
    </xdr:to>
    <xdr:cxnSp macro="">
      <xdr:nvCxnSpPr>
        <xdr:cNvPr id="147" name="Straight Connector 146"/>
        <xdr:cNvCxnSpPr/>
      </xdr:nvCxnSpPr>
      <xdr:spPr>
        <a:xfrm flipV="1">
          <a:off x="6096000" y="6123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148" name="Straight Connector 147"/>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149" name="Straight Connector 148"/>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50" name="Straight Connector 149"/>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51" name="Straight Connector 150"/>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152" name="Straight Connector 151"/>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53" name="Straight Connector 152"/>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54" name="Straight Connector 153"/>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55" name="Straight Connector 154"/>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56" name="Straight Connector 155"/>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13609</xdr:rowOff>
    </xdr:from>
    <xdr:to>
      <xdr:col>11</xdr:col>
      <xdr:colOff>40820</xdr:colOff>
      <xdr:row>7</xdr:row>
      <xdr:rowOff>190500</xdr:rowOff>
    </xdr:to>
    <xdr:cxnSp macro="">
      <xdr:nvCxnSpPr>
        <xdr:cNvPr id="157" name="Straight Connector 156"/>
        <xdr:cNvCxnSpPr/>
      </xdr:nvCxnSpPr>
      <xdr:spPr>
        <a:xfrm flipV="1">
          <a:off x="6164035" y="1156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58" name="Straight Connector 157"/>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59" name="Straight Connector 158"/>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60" name="Straight Connector 159"/>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61" name="Straight Connector 160"/>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62" name="Straight Connector 161"/>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63" name="Straight Connector 162"/>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164" name="Straight Connector 163"/>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165" name="Straight Connector 164"/>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166" name="Straight Connector 165"/>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167" name="Straight Connector 166"/>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168" name="Straight Connector 167"/>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169" name="Straight Connector 168"/>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70" name="Straight Connector 169"/>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71" name="Straight Connector 170"/>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172" name="Straight Connector 171"/>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73" name="Straight Connector 172"/>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74" name="Straight Connector 173"/>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75" name="Straight Connector 174"/>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76" name="Straight Connector 175"/>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177" name="Straight Connector 176"/>
        <xdr:cNvCxnSpPr/>
      </xdr:nvCxnSpPr>
      <xdr:spPr>
        <a:xfrm flipV="1">
          <a:off x="6109607" y="3048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78" name="Straight Connector 177"/>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79" name="Straight Connector 178"/>
        <xdr:cNvCxnSpPr/>
      </xdr:nvCxnSpPr>
      <xdr:spPr>
        <a:xfrm flipV="1">
          <a:off x="6719207" y="3442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80" name="Straight Connector 179"/>
        <xdr:cNvCxnSpPr/>
      </xdr:nvCxnSpPr>
      <xdr:spPr>
        <a:xfrm flipV="1">
          <a:off x="7349218" y="3446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81" name="Straight Connector 180"/>
        <xdr:cNvCxnSpPr/>
      </xdr:nvCxnSpPr>
      <xdr:spPr>
        <a:xfrm flipV="1">
          <a:off x="8561613" y="3469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82" name="Straight Connector 181"/>
        <xdr:cNvCxnSpPr/>
      </xdr:nvCxnSpPr>
      <xdr:spPr>
        <a:xfrm flipV="1">
          <a:off x="6109607" y="3429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83" name="Straight Connector 182"/>
        <xdr:cNvCxnSpPr/>
      </xdr:nvCxnSpPr>
      <xdr:spPr>
        <a:xfrm flipV="1">
          <a:off x="9198428" y="3456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84" name="Straight Connector 18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85" name="Straight Connector 18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86" name="Straight Connector 18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87" name="Straight Connector 186"/>
        <xdr:cNvCxnSpPr/>
      </xdr:nvCxnSpPr>
      <xdr:spPr>
        <a:xfrm flipV="1">
          <a:off x="6164035" y="1524002"/>
          <a:ext cx="582385"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88" name="Straight Connector 18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42</xdr:row>
      <xdr:rowOff>13608</xdr:rowOff>
    </xdr:from>
    <xdr:to>
      <xdr:col>12</xdr:col>
      <xdr:colOff>27214</xdr:colOff>
      <xdr:row>43</xdr:row>
      <xdr:rowOff>190502</xdr:rowOff>
    </xdr:to>
    <xdr:cxnSp macro="">
      <xdr:nvCxnSpPr>
        <xdr:cNvPr id="189" name="Straight Connector 188"/>
        <xdr:cNvCxnSpPr/>
      </xdr:nvCxnSpPr>
      <xdr:spPr>
        <a:xfrm flipV="1">
          <a:off x="6787242" y="801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42</xdr:row>
      <xdr:rowOff>17011</xdr:rowOff>
    </xdr:from>
    <xdr:to>
      <xdr:col>12</xdr:col>
      <xdr:colOff>916780</xdr:colOff>
      <xdr:row>43</xdr:row>
      <xdr:rowOff>192201</xdr:rowOff>
    </xdr:to>
    <xdr:cxnSp macro="">
      <xdr:nvCxnSpPr>
        <xdr:cNvPr id="190" name="Straight Connector 189"/>
        <xdr:cNvCxnSpPr/>
      </xdr:nvCxnSpPr>
      <xdr:spPr>
        <a:xfrm flipV="1">
          <a:off x="7349218" y="801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42</xdr:row>
      <xdr:rowOff>40821</xdr:rowOff>
    </xdr:from>
    <xdr:to>
      <xdr:col>14</xdr:col>
      <xdr:colOff>911678</xdr:colOff>
      <xdr:row>43</xdr:row>
      <xdr:rowOff>149677</xdr:rowOff>
    </xdr:to>
    <xdr:cxnSp macro="">
      <xdr:nvCxnSpPr>
        <xdr:cNvPr id="191" name="Straight Connector 190"/>
        <xdr:cNvCxnSpPr/>
      </xdr:nvCxnSpPr>
      <xdr:spPr>
        <a:xfrm flipV="1">
          <a:off x="8561613" y="804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42</xdr:row>
      <xdr:rowOff>27215</xdr:rowOff>
    </xdr:from>
    <xdr:to>
      <xdr:col>10</xdr:col>
      <xdr:colOff>911678</xdr:colOff>
      <xdr:row>44</xdr:row>
      <xdr:rowOff>0</xdr:rowOff>
    </xdr:to>
    <xdr:cxnSp macro="">
      <xdr:nvCxnSpPr>
        <xdr:cNvPr id="192" name="Straight Connector 191"/>
        <xdr:cNvCxnSpPr/>
      </xdr:nvCxnSpPr>
      <xdr:spPr>
        <a:xfrm flipV="1">
          <a:off x="6096000" y="8028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42</xdr:row>
      <xdr:rowOff>27216</xdr:rowOff>
    </xdr:from>
    <xdr:to>
      <xdr:col>16</xdr:col>
      <xdr:colOff>27215</xdr:colOff>
      <xdr:row>43</xdr:row>
      <xdr:rowOff>176893</xdr:rowOff>
    </xdr:to>
    <xdr:cxnSp macro="">
      <xdr:nvCxnSpPr>
        <xdr:cNvPr id="193" name="Straight Connector 192"/>
        <xdr:cNvCxnSpPr/>
      </xdr:nvCxnSpPr>
      <xdr:spPr>
        <a:xfrm flipV="1">
          <a:off x="9198428" y="802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94" name="Straight Connector 193"/>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95" name="Straight Connector 194"/>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96" name="Straight Connector 195"/>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97" name="Straight Connector 196"/>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98" name="Straight Connector 197"/>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99" name="Straight Connector 198"/>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00" name="Straight Connector 199"/>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38</xdr:row>
      <xdr:rowOff>13608</xdr:rowOff>
    </xdr:from>
    <xdr:to>
      <xdr:col>12</xdr:col>
      <xdr:colOff>27214</xdr:colOff>
      <xdr:row>39</xdr:row>
      <xdr:rowOff>190502</xdr:rowOff>
    </xdr:to>
    <xdr:cxnSp macro="">
      <xdr:nvCxnSpPr>
        <xdr:cNvPr id="201" name="Straight Connector 200"/>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202" name="Straight Connector 201"/>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38</xdr:row>
      <xdr:rowOff>40821</xdr:rowOff>
    </xdr:from>
    <xdr:to>
      <xdr:col>14</xdr:col>
      <xdr:colOff>911678</xdr:colOff>
      <xdr:row>39</xdr:row>
      <xdr:rowOff>149677</xdr:rowOff>
    </xdr:to>
    <xdr:cxnSp macro="">
      <xdr:nvCxnSpPr>
        <xdr:cNvPr id="203" name="Straight Connector 202"/>
        <xdr:cNvCxnSpPr/>
      </xdr:nvCxnSpPr>
      <xdr:spPr>
        <a:xfrm flipV="1">
          <a:off x="8561613" y="727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204" name="Straight Connector 203"/>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205" name="Straight Connector 204"/>
        <xdr:cNvCxnSpPr/>
      </xdr:nvCxnSpPr>
      <xdr:spPr>
        <a:xfrm flipV="1">
          <a:off x="9198428" y="726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206" name="Straight Connector 205"/>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207" name="Straight Connector 206"/>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208" name="Straight Connector 207"/>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27216</xdr:rowOff>
    </xdr:from>
    <xdr:to>
      <xdr:col>10</xdr:col>
      <xdr:colOff>898071</xdr:colOff>
      <xdr:row>32</xdr:row>
      <xdr:rowOff>0</xdr:rowOff>
    </xdr:to>
    <xdr:cxnSp macro="">
      <xdr:nvCxnSpPr>
        <xdr:cNvPr id="209" name="Straight Connector 208"/>
        <xdr:cNvCxnSpPr/>
      </xdr:nvCxnSpPr>
      <xdr:spPr>
        <a:xfrm flipV="1">
          <a:off x="6096000" y="5742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210" name="Straight Connector 209"/>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211" name="Straight Connector 210"/>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212" name="Straight Connector 211"/>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213" name="Straight Connector 212"/>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214" name="Straight Connector 213"/>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215" name="Straight Connector 214"/>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216" name="Straight Connector 215"/>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217" name="Straight Connector 216"/>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218" name="Straight Connector 217"/>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219" name="Straight Connector 218"/>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220" name="Straight Connector 219"/>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221" name="Straight Connector 220"/>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222" name="Straight Connector 221"/>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223" name="Straight Connector 222"/>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224" name="Straight Connector 223"/>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225" name="Straight Connector 224"/>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226" name="Straight Connector 225"/>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227" name="Straight Connector 226"/>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228" name="Straight Connector 227"/>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229" name="Straight Connector 228"/>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30" name="Straight Connector 229"/>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13607</xdr:colOff>
      <xdr:row>72</xdr:row>
      <xdr:rowOff>13608</xdr:rowOff>
    </xdr:from>
    <xdr:to>
      <xdr:col>11</xdr:col>
      <xdr:colOff>898071</xdr:colOff>
      <xdr:row>73</xdr:row>
      <xdr:rowOff>190502</xdr:rowOff>
    </xdr:to>
    <xdr:cxnSp macro="">
      <xdr:nvCxnSpPr>
        <xdr:cNvPr id="2" name="Straight Connector 1"/>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3" name="Straight Connector 2"/>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4" name="Straight Connector 3"/>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72</xdr:row>
      <xdr:rowOff>27214</xdr:rowOff>
    </xdr:from>
    <xdr:to>
      <xdr:col>16</xdr:col>
      <xdr:colOff>0</xdr:colOff>
      <xdr:row>74</xdr:row>
      <xdr:rowOff>0</xdr:rowOff>
    </xdr:to>
    <xdr:cxnSp macro="">
      <xdr:nvCxnSpPr>
        <xdr:cNvPr id="5" name="Straight Connector 4"/>
        <xdr:cNvCxnSpPr/>
      </xdr:nvCxnSpPr>
      <xdr:spPr>
        <a:xfrm flipV="1">
          <a:off x="9144001" y="13743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72</xdr:row>
      <xdr:rowOff>1</xdr:rowOff>
    </xdr:from>
    <xdr:to>
      <xdr:col>11</xdr:col>
      <xdr:colOff>13607</xdr:colOff>
      <xdr:row>73</xdr:row>
      <xdr:rowOff>176895</xdr:rowOff>
    </xdr:to>
    <xdr:cxnSp macro="">
      <xdr:nvCxnSpPr>
        <xdr:cNvPr id="6" name="Straight Connector 5"/>
        <xdr:cNvCxnSpPr/>
      </xdr:nvCxnSpPr>
      <xdr:spPr>
        <a:xfrm flipV="1">
          <a:off x="6150429" y="13716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76</xdr:row>
      <xdr:rowOff>13608</xdr:rowOff>
    </xdr:from>
    <xdr:to>
      <xdr:col>11</xdr:col>
      <xdr:colOff>898071</xdr:colOff>
      <xdr:row>77</xdr:row>
      <xdr:rowOff>190502</xdr:rowOff>
    </xdr:to>
    <xdr:cxnSp macro="">
      <xdr:nvCxnSpPr>
        <xdr:cNvPr id="7" name="Straight Connector 6"/>
        <xdr:cNvCxnSpPr/>
      </xdr:nvCxnSpPr>
      <xdr:spPr>
        <a:xfrm flipV="1">
          <a:off x="6719207" y="14491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76</xdr:row>
      <xdr:rowOff>40824</xdr:rowOff>
    </xdr:from>
    <xdr:to>
      <xdr:col>12</xdr:col>
      <xdr:colOff>898072</xdr:colOff>
      <xdr:row>77</xdr:row>
      <xdr:rowOff>190500</xdr:rowOff>
    </xdr:to>
    <xdr:cxnSp macro="">
      <xdr:nvCxnSpPr>
        <xdr:cNvPr id="8" name="Straight Connector 7"/>
        <xdr:cNvCxnSpPr/>
      </xdr:nvCxnSpPr>
      <xdr:spPr>
        <a:xfrm flipV="1">
          <a:off x="7315200" y="14518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76</xdr:row>
      <xdr:rowOff>40824</xdr:rowOff>
    </xdr:from>
    <xdr:to>
      <xdr:col>14</xdr:col>
      <xdr:colOff>884465</xdr:colOff>
      <xdr:row>77</xdr:row>
      <xdr:rowOff>176893</xdr:rowOff>
    </xdr:to>
    <xdr:cxnSp macro="">
      <xdr:nvCxnSpPr>
        <xdr:cNvPr id="9" name="Straight Connector 8"/>
        <xdr:cNvCxnSpPr/>
      </xdr:nvCxnSpPr>
      <xdr:spPr>
        <a:xfrm flipV="1">
          <a:off x="8561614" y="14518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76</xdr:row>
      <xdr:rowOff>13608</xdr:rowOff>
    </xdr:from>
    <xdr:to>
      <xdr:col>10</xdr:col>
      <xdr:colOff>884464</xdr:colOff>
      <xdr:row>78</xdr:row>
      <xdr:rowOff>0</xdr:rowOff>
    </xdr:to>
    <xdr:cxnSp macro="">
      <xdr:nvCxnSpPr>
        <xdr:cNvPr id="10" name="Straight Connector 9"/>
        <xdr:cNvCxnSpPr/>
      </xdr:nvCxnSpPr>
      <xdr:spPr>
        <a:xfrm flipV="1">
          <a:off x="6097361" y="14491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76</xdr:row>
      <xdr:rowOff>27217</xdr:rowOff>
    </xdr:from>
    <xdr:to>
      <xdr:col>15</xdr:col>
      <xdr:colOff>938894</xdr:colOff>
      <xdr:row>77</xdr:row>
      <xdr:rowOff>163286</xdr:rowOff>
    </xdr:to>
    <xdr:cxnSp macro="">
      <xdr:nvCxnSpPr>
        <xdr:cNvPr id="11" name="Straight Connector 10"/>
        <xdr:cNvCxnSpPr/>
      </xdr:nvCxnSpPr>
      <xdr:spPr>
        <a:xfrm flipV="1">
          <a:off x="9225643" y="14505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74</xdr:row>
      <xdr:rowOff>13608</xdr:rowOff>
    </xdr:from>
    <xdr:to>
      <xdr:col>11</xdr:col>
      <xdr:colOff>898071</xdr:colOff>
      <xdr:row>75</xdr:row>
      <xdr:rowOff>190502</xdr:rowOff>
    </xdr:to>
    <xdr:cxnSp macro="">
      <xdr:nvCxnSpPr>
        <xdr:cNvPr id="12" name="Straight Connector 11"/>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13" name="Straight Connector 12"/>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14" name="Straight Connector 13"/>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74</xdr:row>
      <xdr:rowOff>13608</xdr:rowOff>
    </xdr:from>
    <xdr:to>
      <xdr:col>10</xdr:col>
      <xdr:colOff>884464</xdr:colOff>
      <xdr:row>76</xdr:row>
      <xdr:rowOff>0</xdr:rowOff>
    </xdr:to>
    <xdr:cxnSp macro="">
      <xdr:nvCxnSpPr>
        <xdr:cNvPr id="15" name="Straight Connector 14"/>
        <xdr:cNvCxnSpPr/>
      </xdr:nvCxnSpPr>
      <xdr:spPr>
        <a:xfrm flipV="1">
          <a:off x="6097361" y="14110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74</xdr:row>
      <xdr:rowOff>27217</xdr:rowOff>
    </xdr:from>
    <xdr:to>
      <xdr:col>15</xdr:col>
      <xdr:colOff>938894</xdr:colOff>
      <xdr:row>75</xdr:row>
      <xdr:rowOff>163286</xdr:rowOff>
    </xdr:to>
    <xdr:cxnSp macro="">
      <xdr:nvCxnSpPr>
        <xdr:cNvPr id="16" name="Straight Connector 15"/>
        <xdr:cNvCxnSpPr/>
      </xdr:nvCxnSpPr>
      <xdr:spPr>
        <a:xfrm flipV="1">
          <a:off x="9225643" y="14124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17" name="Straight Connector 16"/>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18" name="Straight Connector 17"/>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19" name="Straight Connector 18"/>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20" name="Straight Connector 19"/>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87</xdr:row>
      <xdr:rowOff>13608</xdr:rowOff>
    </xdr:from>
    <xdr:to>
      <xdr:col>12</xdr:col>
      <xdr:colOff>27214</xdr:colOff>
      <xdr:row>88</xdr:row>
      <xdr:rowOff>190502</xdr:rowOff>
    </xdr:to>
    <xdr:cxnSp macro="">
      <xdr:nvCxnSpPr>
        <xdr:cNvPr id="21" name="Straight Connector 20"/>
        <xdr:cNvCxnSpPr/>
      </xdr:nvCxnSpPr>
      <xdr:spPr>
        <a:xfrm flipV="1">
          <a:off x="6787242" y="1658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87</xdr:row>
      <xdr:rowOff>13608</xdr:rowOff>
    </xdr:from>
    <xdr:to>
      <xdr:col>11</xdr:col>
      <xdr:colOff>51026</xdr:colOff>
      <xdr:row>89</xdr:row>
      <xdr:rowOff>0</xdr:rowOff>
    </xdr:to>
    <xdr:cxnSp macro="">
      <xdr:nvCxnSpPr>
        <xdr:cNvPr id="22" name="Straight Connector 21"/>
        <xdr:cNvCxnSpPr/>
      </xdr:nvCxnSpPr>
      <xdr:spPr>
        <a:xfrm flipV="1">
          <a:off x="6109607" y="16587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87</xdr:row>
      <xdr:rowOff>17011</xdr:rowOff>
    </xdr:from>
    <xdr:to>
      <xdr:col>12</xdr:col>
      <xdr:colOff>916780</xdr:colOff>
      <xdr:row>88</xdr:row>
      <xdr:rowOff>192201</xdr:rowOff>
    </xdr:to>
    <xdr:cxnSp macro="">
      <xdr:nvCxnSpPr>
        <xdr:cNvPr id="23" name="Straight Connector 22"/>
        <xdr:cNvCxnSpPr/>
      </xdr:nvCxnSpPr>
      <xdr:spPr>
        <a:xfrm flipV="1">
          <a:off x="7349218" y="1659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87</xdr:row>
      <xdr:rowOff>18714</xdr:rowOff>
    </xdr:from>
    <xdr:to>
      <xdr:col>15</xdr:col>
      <xdr:colOff>887864</xdr:colOff>
      <xdr:row>88</xdr:row>
      <xdr:rowOff>190500</xdr:rowOff>
    </xdr:to>
    <xdr:cxnSp macro="">
      <xdr:nvCxnSpPr>
        <xdr:cNvPr id="24" name="Straight Connector 23"/>
        <xdr:cNvCxnSpPr/>
      </xdr:nvCxnSpPr>
      <xdr:spPr>
        <a:xfrm flipV="1">
          <a:off x="9171214" y="16592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25" name="Straight Connector 24"/>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26" name="Straight Connector 25"/>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27" name="Straight Connector 26"/>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28" name="Straight Connector 27"/>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29" name="Straight Connector 28"/>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0" name="Straight Connector 29"/>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1" name="Straight Connector 30"/>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32" name="Straight Connector 31"/>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33" name="Straight Connector 32"/>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34" name="Straight Connector 33"/>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5" name="Straight Connector 34"/>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36" name="Straight Connector 35"/>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96</xdr:row>
      <xdr:rowOff>13608</xdr:rowOff>
    </xdr:from>
    <xdr:to>
      <xdr:col>12</xdr:col>
      <xdr:colOff>27214</xdr:colOff>
      <xdr:row>97</xdr:row>
      <xdr:rowOff>190502</xdr:rowOff>
    </xdr:to>
    <xdr:cxnSp macro="">
      <xdr:nvCxnSpPr>
        <xdr:cNvPr id="37" name="Straight Connector 36"/>
        <xdr:cNvCxnSpPr/>
      </xdr:nvCxnSpPr>
      <xdr:spPr>
        <a:xfrm flipV="1">
          <a:off x="6787242" y="1830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96</xdr:row>
      <xdr:rowOff>13608</xdr:rowOff>
    </xdr:from>
    <xdr:to>
      <xdr:col>11</xdr:col>
      <xdr:colOff>51026</xdr:colOff>
      <xdr:row>98</xdr:row>
      <xdr:rowOff>0</xdr:rowOff>
    </xdr:to>
    <xdr:cxnSp macro="">
      <xdr:nvCxnSpPr>
        <xdr:cNvPr id="38" name="Straight Connector 37"/>
        <xdr:cNvCxnSpPr/>
      </xdr:nvCxnSpPr>
      <xdr:spPr>
        <a:xfrm flipV="1">
          <a:off x="6109607" y="18301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96</xdr:row>
      <xdr:rowOff>17011</xdr:rowOff>
    </xdr:from>
    <xdr:to>
      <xdr:col>12</xdr:col>
      <xdr:colOff>916780</xdr:colOff>
      <xdr:row>97</xdr:row>
      <xdr:rowOff>192201</xdr:rowOff>
    </xdr:to>
    <xdr:cxnSp macro="">
      <xdr:nvCxnSpPr>
        <xdr:cNvPr id="39" name="Straight Connector 38"/>
        <xdr:cNvCxnSpPr/>
      </xdr:nvCxnSpPr>
      <xdr:spPr>
        <a:xfrm flipV="1">
          <a:off x="7349218" y="1830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96</xdr:row>
      <xdr:rowOff>3</xdr:rowOff>
    </xdr:from>
    <xdr:to>
      <xdr:col>15</xdr:col>
      <xdr:colOff>40822</xdr:colOff>
      <xdr:row>97</xdr:row>
      <xdr:rowOff>149679</xdr:rowOff>
    </xdr:to>
    <xdr:cxnSp macro="">
      <xdr:nvCxnSpPr>
        <xdr:cNvPr id="40" name="Straight Connector 39"/>
        <xdr:cNvCxnSpPr/>
      </xdr:nvCxnSpPr>
      <xdr:spPr>
        <a:xfrm flipV="1">
          <a:off x="8571820" y="18288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96</xdr:row>
      <xdr:rowOff>18714</xdr:rowOff>
    </xdr:from>
    <xdr:to>
      <xdr:col>15</xdr:col>
      <xdr:colOff>887864</xdr:colOff>
      <xdr:row>97</xdr:row>
      <xdr:rowOff>190500</xdr:rowOff>
    </xdr:to>
    <xdr:cxnSp macro="">
      <xdr:nvCxnSpPr>
        <xdr:cNvPr id="41" name="Straight Connector 40"/>
        <xdr:cNvCxnSpPr/>
      </xdr:nvCxnSpPr>
      <xdr:spPr>
        <a:xfrm flipV="1">
          <a:off x="9171214" y="18306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42" name="Straight Connector 41"/>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43" name="Straight Connector 42"/>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44" name="Straight Connector 43"/>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45" name="Straight Connector 44"/>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46" name="Straight Connector 45"/>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47" name="Straight Connector 46"/>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48" name="Straight Connector 47"/>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49" name="Straight Connector 48"/>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50" name="Straight Connector 49"/>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51" name="Straight Connector 50"/>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52" name="Straight Connector 51"/>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103</xdr:row>
      <xdr:rowOff>3</xdr:rowOff>
    </xdr:from>
    <xdr:to>
      <xdr:col>15</xdr:col>
      <xdr:colOff>40822</xdr:colOff>
      <xdr:row>104</xdr:row>
      <xdr:rowOff>149679</xdr:rowOff>
    </xdr:to>
    <xdr:cxnSp macro="">
      <xdr:nvCxnSpPr>
        <xdr:cNvPr id="53" name="Straight Connector 52"/>
        <xdr:cNvCxnSpPr/>
      </xdr:nvCxnSpPr>
      <xdr:spPr>
        <a:xfrm flipV="1">
          <a:off x="8571820" y="19621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54" name="Straight Connector 53"/>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105</xdr:row>
      <xdr:rowOff>13608</xdr:rowOff>
    </xdr:from>
    <xdr:to>
      <xdr:col>12</xdr:col>
      <xdr:colOff>27214</xdr:colOff>
      <xdr:row>106</xdr:row>
      <xdr:rowOff>190502</xdr:rowOff>
    </xdr:to>
    <xdr:cxnSp macro="">
      <xdr:nvCxnSpPr>
        <xdr:cNvPr id="55" name="Straight Connector 54"/>
        <xdr:cNvCxnSpPr/>
      </xdr:nvCxnSpPr>
      <xdr:spPr>
        <a:xfrm flipV="1">
          <a:off x="6787242" y="2001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105</xdr:row>
      <xdr:rowOff>13608</xdr:rowOff>
    </xdr:from>
    <xdr:to>
      <xdr:col>11</xdr:col>
      <xdr:colOff>51026</xdr:colOff>
      <xdr:row>107</xdr:row>
      <xdr:rowOff>0</xdr:rowOff>
    </xdr:to>
    <xdr:cxnSp macro="">
      <xdr:nvCxnSpPr>
        <xdr:cNvPr id="56" name="Straight Connector 55"/>
        <xdr:cNvCxnSpPr/>
      </xdr:nvCxnSpPr>
      <xdr:spPr>
        <a:xfrm flipV="1">
          <a:off x="6109607" y="2001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105</xdr:row>
      <xdr:rowOff>17011</xdr:rowOff>
    </xdr:from>
    <xdr:to>
      <xdr:col>12</xdr:col>
      <xdr:colOff>916780</xdr:colOff>
      <xdr:row>106</xdr:row>
      <xdr:rowOff>192201</xdr:rowOff>
    </xdr:to>
    <xdr:cxnSp macro="">
      <xdr:nvCxnSpPr>
        <xdr:cNvPr id="57" name="Straight Connector 56"/>
        <xdr:cNvCxnSpPr/>
      </xdr:nvCxnSpPr>
      <xdr:spPr>
        <a:xfrm flipV="1">
          <a:off x="7349218" y="2001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105</xdr:row>
      <xdr:rowOff>3</xdr:rowOff>
    </xdr:from>
    <xdr:to>
      <xdr:col>15</xdr:col>
      <xdr:colOff>40822</xdr:colOff>
      <xdr:row>106</xdr:row>
      <xdr:rowOff>149679</xdr:rowOff>
    </xdr:to>
    <xdr:cxnSp macro="">
      <xdr:nvCxnSpPr>
        <xdr:cNvPr id="58" name="Straight Connector 57"/>
        <xdr:cNvCxnSpPr/>
      </xdr:nvCxnSpPr>
      <xdr:spPr>
        <a:xfrm flipV="1">
          <a:off x="8571820" y="20002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105</xdr:row>
      <xdr:rowOff>18714</xdr:rowOff>
    </xdr:from>
    <xdr:to>
      <xdr:col>15</xdr:col>
      <xdr:colOff>887864</xdr:colOff>
      <xdr:row>106</xdr:row>
      <xdr:rowOff>190500</xdr:rowOff>
    </xdr:to>
    <xdr:cxnSp macro="">
      <xdr:nvCxnSpPr>
        <xdr:cNvPr id="59" name="Straight Connector 58"/>
        <xdr:cNvCxnSpPr/>
      </xdr:nvCxnSpPr>
      <xdr:spPr>
        <a:xfrm flipV="1">
          <a:off x="9171214" y="2002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0" name="Straight Connector 59"/>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61" name="Straight Connector 60"/>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62" name="Straight Connector 61"/>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81</xdr:row>
      <xdr:rowOff>40825</xdr:rowOff>
    </xdr:from>
    <xdr:to>
      <xdr:col>15</xdr:col>
      <xdr:colOff>54429</xdr:colOff>
      <xdr:row>82</xdr:row>
      <xdr:rowOff>190501</xdr:rowOff>
    </xdr:to>
    <xdr:cxnSp macro="">
      <xdr:nvCxnSpPr>
        <xdr:cNvPr id="63" name="Straight Connector 62"/>
        <xdr:cNvCxnSpPr/>
      </xdr:nvCxnSpPr>
      <xdr:spPr>
        <a:xfrm flipV="1">
          <a:off x="8585427" y="15471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64" name="Straight Connector 63"/>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65" name="Straight Connector 64"/>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66" name="Straight Connector 65"/>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67" name="Straight Connector 66"/>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68" name="Straight Connector 67"/>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69" name="Straight Connector 68"/>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70" name="Straight Connector 69"/>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71" name="Straight Connector 70"/>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72" name="Straight Connector 71"/>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101</xdr:row>
      <xdr:rowOff>17010</xdr:rowOff>
    </xdr:from>
    <xdr:to>
      <xdr:col>14</xdr:col>
      <xdr:colOff>903173</xdr:colOff>
      <xdr:row>102</xdr:row>
      <xdr:rowOff>192200</xdr:rowOff>
    </xdr:to>
    <xdr:cxnSp macro="">
      <xdr:nvCxnSpPr>
        <xdr:cNvPr id="73" name="Straight Connector 72"/>
        <xdr:cNvCxnSpPr/>
      </xdr:nvCxnSpPr>
      <xdr:spPr>
        <a:xfrm flipV="1">
          <a:off x="8554811" y="19257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94</xdr:row>
      <xdr:rowOff>3404</xdr:rowOff>
    </xdr:from>
    <xdr:to>
      <xdr:col>15</xdr:col>
      <xdr:colOff>5101</xdr:colOff>
      <xdr:row>95</xdr:row>
      <xdr:rowOff>178593</xdr:rowOff>
    </xdr:to>
    <xdr:cxnSp macro="">
      <xdr:nvCxnSpPr>
        <xdr:cNvPr id="74" name="Straight Connector 73"/>
        <xdr:cNvCxnSpPr/>
      </xdr:nvCxnSpPr>
      <xdr:spPr>
        <a:xfrm flipV="1">
          <a:off x="8582025" y="17910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92</xdr:row>
      <xdr:rowOff>17011</xdr:rowOff>
    </xdr:from>
    <xdr:to>
      <xdr:col>15</xdr:col>
      <xdr:colOff>5101</xdr:colOff>
      <xdr:row>93</xdr:row>
      <xdr:rowOff>192201</xdr:rowOff>
    </xdr:to>
    <xdr:cxnSp macro="">
      <xdr:nvCxnSpPr>
        <xdr:cNvPr id="75" name="Straight Connector 74"/>
        <xdr:cNvCxnSpPr/>
      </xdr:nvCxnSpPr>
      <xdr:spPr>
        <a:xfrm flipV="1">
          <a:off x="8582025" y="17543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90</xdr:row>
      <xdr:rowOff>17011</xdr:rowOff>
    </xdr:from>
    <xdr:to>
      <xdr:col>14</xdr:col>
      <xdr:colOff>916780</xdr:colOff>
      <xdr:row>91</xdr:row>
      <xdr:rowOff>192201</xdr:rowOff>
    </xdr:to>
    <xdr:cxnSp macro="">
      <xdr:nvCxnSpPr>
        <xdr:cNvPr id="76" name="Straight Connector 75"/>
        <xdr:cNvCxnSpPr/>
      </xdr:nvCxnSpPr>
      <xdr:spPr>
        <a:xfrm flipV="1">
          <a:off x="85684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87</xdr:row>
      <xdr:rowOff>17011</xdr:rowOff>
    </xdr:from>
    <xdr:to>
      <xdr:col>15</xdr:col>
      <xdr:colOff>32315</xdr:colOff>
      <xdr:row>88</xdr:row>
      <xdr:rowOff>192201</xdr:rowOff>
    </xdr:to>
    <xdr:cxnSp macro="">
      <xdr:nvCxnSpPr>
        <xdr:cNvPr id="77" name="Straight Connector 76"/>
        <xdr:cNvCxnSpPr/>
      </xdr:nvCxnSpPr>
      <xdr:spPr>
        <a:xfrm flipV="1">
          <a:off x="8609239" y="16590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85</xdr:row>
      <xdr:rowOff>17011</xdr:rowOff>
    </xdr:from>
    <xdr:to>
      <xdr:col>15</xdr:col>
      <xdr:colOff>32315</xdr:colOff>
      <xdr:row>86</xdr:row>
      <xdr:rowOff>192201</xdr:rowOff>
    </xdr:to>
    <xdr:cxnSp macro="">
      <xdr:nvCxnSpPr>
        <xdr:cNvPr id="78" name="Straight Connector 77"/>
        <xdr:cNvCxnSpPr/>
      </xdr:nvCxnSpPr>
      <xdr:spPr>
        <a:xfrm flipV="1">
          <a:off x="8609239" y="16209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83</xdr:row>
      <xdr:rowOff>3403</xdr:rowOff>
    </xdr:from>
    <xdr:to>
      <xdr:col>15</xdr:col>
      <xdr:colOff>18708</xdr:colOff>
      <xdr:row>84</xdr:row>
      <xdr:rowOff>178593</xdr:rowOff>
    </xdr:to>
    <xdr:cxnSp macro="">
      <xdr:nvCxnSpPr>
        <xdr:cNvPr id="79" name="Straight Connector 78"/>
        <xdr:cNvCxnSpPr/>
      </xdr:nvCxnSpPr>
      <xdr:spPr>
        <a:xfrm flipV="1">
          <a:off x="8595632" y="15814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80" name="Straight Connector 79"/>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81" name="Straight Connector 80"/>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82" name="Straight Connector 81"/>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83" name="Straight Connector 82"/>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84" name="Straight Connector 83"/>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64</xdr:row>
      <xdr:rowOff>27214</xdr:rowOff>
    </xdr:from>
    <xdr:to>
      <xdr:col>15</xdr:col>
      <xdr:colOff>898072</xdr:colOff>
      <xdr:row>65</xdr:row>
      <xdr:rowOff>149678</xdr:rowOff>
    </xdr:to>
    <xdr:cxnSp macro="">
      <xdr:nvCxnSpPr>
        <xdr:cNvPr id="85" name="Straight Connector 84"/>
        <xdr:cNvCxnSpPr/>
      </xdr:nvCxnSpPr>
      <xdr:spPr>
        <a:xfrm flipV="1">
          <a:off x="9171214" y="12219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64</xdr:row>
      <xdr:rowOff>13607</xdr:rowOff>
    </xdr:from>
    <xdr:to>
      <xdr:col>10</xdr:col>
      <xdr:colOff>911677</xdr:colOff>
      <xdr:row>66</xdr:row>
      <xdr:rowOff>0</xdr:rowOff>
    </xdr:to>
    <xdr:cxnSp macro="">
      <xdr:nvCxnSpPr>
        <xdr:cNvPr id="86" name="Straight Connector 85"/>
        <xdr:cNvCxnSpPr/>
      </xdr:nvCxnSpPr>
      <xdr:spPr>
        <a:xfrm flipV="1">
          <a:off x="6109607" y="12205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64</xdr:row>
      <xdr:rowOff>13608</xdr:rowOff>
    </xdr:from>
    <xdr:to>
      <xdr:col>12</xdr:col>
      <xdr:colOff>27214</xdr:colOff>
      <xdr:row>65</xdr:row>
      <xdr:rowOff>190502</xdr:rowOff>
    </xdr:to>
    <xdr:cxnSp macro="">
      <xdr:nvCxnSpPr>
        <xdr:cNvPr id="87" name="Straight Connector 86"/>
        <xdr:cNvCxnSpPr/>
      </xdr:nvCxnSpPr>
      <xdr:spPr>
        <a:xfrm flipV="1">
          <a:off x="6787242" y="1220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64</xdr:row>
      <xdr:rowOff>17011</xdr:rowOff>
    </xdr:from>
    <xdr:to>
      <xdr:col>12</xdr:col>
      <xdr:colOff>916780</xdr:colOff>
      <xdr:row>65</xdr:row>
      <xdr:rowOff>192201</xdr:rowOff>
    </xdr:to>
    <xdr:cxnSp macro="">
      <xdr:nvCxnSpPr>
        <xdr:cNvPr id="88" name="Straight Connector 87"/>
        <xdr:cNvCxnSpPr/>
      </xdr:nvCxnSpPr>
      <xdr:spPr>
        <a:xfrm flipV="1">
          <a:off x="7349218" y="1220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64</xdr:row>
      <xdr:rowOff>54428</xdr:rowOff>
    </xdr:from>
    <xdr:to>
      <xdr:col>14</xdr:col>
      <xdr:colOff>884463</xdr:colOff>
      <xdr:row>65</xdr:row>
      <xdr:rowOff>163285</xdr:rowOff>
    </xdr:to>
    <xdr:cxnSp macro="">
      <xdr:nvCxnSpPr>
        <xdr:cNvPr id="89" name="Straight Connector 88"/>
        <xdr:cNvCxnSpPr/>
      </xdr:nvCxnSpPr>
      <xdr:spPr>
        <a:xfrm flipV="1">
          <a:off x="8537119" y="12246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79</xdr:row>
      <xdr:rowOff>13610</xdr:rowOff>
    </xdr:from>
    <xdr:to>
      <xdr:col>15</xdr:col>
      <xdr:colOff>54429</xdr:colOff>
      <xdr:row>80</xdr:row>
      <xdr:rowOff>163286</xdr:rowOff>
    </xdr:to>
    <xdr:cxnSp macro="">
      <xdr:nvCxnSpPr>
        <xdr:cNvPr id="90" name="Straight Connector 89"/>
        <xdr:cNvCxnSpPr/>
      </xdr:nvCxnSpPr>
      <xdr:spPr>
        <a:xfrm flipV="1">
          <a:off x="8585427" y="15063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91" name="Straight Connector 90"/>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92" name="Straight Connector 91"/>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93" name="Straight Connector 92"/>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94" name="Straight Connector 93"/>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51</xdr:row>
      <xdr:rowOff>27214</xdr:rowOff>
    </xdr:from>
    <xdr:to>
      <xdr:col>15</xdr:col>
      <xdr:colOff>898072</xdr:colOff>
      <xdr:row>52</xdr:row>
      <xdr:rowOff>149678</xdr:rowOff>
    </xdr:to>
    <xdr:cxnSp macro="">
      <xdr:nvCxnSpPr>
        <xdr:cNvPr id="95" name="Straight Connector 94"/>
        <xdr:cNvCxnSpPr/>
      </xdr:nvCxnSpPr>
      <xdr:spPr>
        <a:xfrm flipV="1">
          <a:off x="9171214" y="9742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51</xdr:row>
      <xdr:rowOff>13607</xdr:rowOff>
    </xdr:from>
    <xdr:to>
      <xdr:col>10</xdr:col>
      <xdr:colOff>911677</xdr:colOff>
      <xdr:row>53</xdr:row>
      <xdr:rowOff>0</xdr:rowOff>
    </xdr:to>
    <xdr:cxnSp macro="">
      <xdr:nvCxnSpPr>
        <xdr:cNvPr id="96" name="Straight Connector 95"/>
        <xdr:cNvCxnSpPr/>
      </xdr:nvCxnSpPr>
      <xdr:spPr>
        <a:xfrm flipV="1">
          <a:off x="6109607" y="9729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51</xdr:row>
      <xdr:rowOff>13608</xdr:rowOff>
    </xdr:from>
    <xdr:to>
      <xdr:col>12</xdr:col>
      <xdr:colOff>27214</xdr:colOff>
      <xdr:row>52</xdr:row>
      <xdr:rowOff>190502</xdr:rowOff>
    </xdr:to>
    <xdr:cxnSp macro="">
      <xdr:nvCxnSpPr>
        <xdr:cNvPr id="97" name="Straight Connector 96"/>
        <xdr:cNvCxnSpPr/>
      </xdr:nvCxnSpPr>
      <xdr:spPr>
        <a:xfrm flipV="1">
          <a:off x="6787242" y="9729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51</xdr:row>
      <xdr:rowOff>17011</xdr:rowOff>
    </xdr:from>
    <xdr:to>
      <xdr:col>12</xdr:col>
      <xdr:colOff>916780</xdr:colOff>
      <xdr:row>52</xdr:row>
      <xdr:rowOff>192201</xdr:rowOff>
    </xdr:to>
    <xdr:cxnSp macro="">
      <xdr:nvCxnSpPr>
        <xdr:cNvPr id="98" name="Straight Connector 97"/>
        <xdr:cNvCxnSpPr/>
      </xdr:nvCxnSpPr>
      <xdr:spPr>
        <a:xfrm flipV="1">
          <a:off x="7349218" y="9732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51</xdr:row>
      <xdr:rowOff>54428</xdr:rowOff>
    </xdr:from>
    <xdr:to>
      <xdr:col>14</xdr:col>
      <xdr:colOff>884463</xdr:colOff>
      <xdr:row>52</xdr:row>
      <xdr:rowOff>163285</xdr:rowOff>
    </xdr:to>
    <xdr:cxnSp macro="">
      <xdr:nvCxnSpPr>
        <xdr:cNvPr id="99" name="Straight Connector 98"/>
        <xdr:cNvCxnSpPr/>
      </xdr:nvCxnSpPr>
      <xdr:spPr>
        <a:xfrm flipV="1">
          <a:off x="8537119" y="9769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49</xdr:row>
      <xdr:rowOff>27214</xdr:rowOff>
    </xdr:from>
    <xdr:to>
      <xdr:col>15</xdr:col>
      <xdr:colOff>898072</xdr:colOff>
      <xdr:row>50</xdr:row>
      <xdr:rowOff>149678</xdr:rowOff>
    </xdr:to>
    <xdr:cxnSp macro="">
      <xdr:nvCxnSpPr>
        <xdr:cNvPr id="100" name="Straight Connector 99"/>
        <xdr:cNvCxnSpPr/>
      </xdr:nvCxnSpPr>
      <xdr:spPr>
        <a:xfrm flipV="1">
          <a:off x="9171214" y="9361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49</xdr:row>
      <xdr:rowOff>13607</xdr:rowOff>
    </xdr:from>
    <xdr:to>
      <xdr:col>10</xdr:col>
      <xdr:colOff>911677</xdr:colOff>
      <xdr:row>51</xdr:row>
      <xdr:rowOff>0</xdr:rowOff>
    </xdr:to>
    <xdr:cxnSp macro="">
      <xdr:nvCxnSpPr>
        <xdr:cNvPr id="101" name="Straight Connector 100"/>
        <xdr:cNvCxnSpPr/>
      </xdr:nvCxnSpPr>
      <xdr:spPr>
        <a:xfrm flipV="1">
          <a:off x="6109607" y="9348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49</xdr:row>
      <xdr:rowOff>13608</xdr:rowOff>
    </xdr:from>
    <xdr:to>
      <xdr:col>12</xdr:col>
      <xdr:colOff>27214</xdr:colOff>
      <xdr:row>50</xdr:row>
      <xdr:rowOff>190502</xdr:rowOff>
    </xdr:to>
    <xdr:cxnSp macro="">
      <xdr:nvCxnSpPr>
        <xdr:cNvPr id="102" name="Straight Connector 101"/>
        <xdr:cNvCxnSpPr/>
      </xdr:nvCxnSpPr>
      <xdr:spPr>
        <a:xfrm flipV="1">
          <a:off x="6787242" y="934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49</xdr:row>
      <xdr:rowOff>17011</xdr:rowOff>
    </xdr:from>
    <xdr:to>
      <xdr:col>12</xdr:col>
      <xdr:colOff>916780</xdr:colOff>
      <xdr:row>50</xdr:row>
      <xdr:rowOff>192201</xdr:rowOff>
    </xdr:to>
    <xdr:cxnSp macro="">
      <xdr:nvCxnSpPr>
        <xdr:cNvPr id="103" name="Straight Connector 102"/>
        <xdr:cNvCxnSpPr/>
      </xdr:nvCxnSpPr>
      <xdr:spPr>
        <a:xfrm flipV="1">
          <a:off x="7349218" y="935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49</xdr:row>
      <xdr:rowOff>54428</xdr:rowOff>
    </xdr:from>
    <xdr:to>
      <xdr:col>14</xdr:col>
      <xdr:colOff>884463</xdr:colOff>
      <xdr:row>50</xdr:row>
      <xdr:rowOff>163285</xdr:rowOff>
    </xdr:to>
    <xdr:cxnSp macro="">
      <xdr:nvCxnSpPr>
        <xdr:cNvPr id="104" name="Straight Connector 103"/>
        <xdr:cNvCxnSpPr/>
      </xdr:nvCxnSpPr>
      <xdr:spPr>
        <a:xfrm flipV="1">
          <a:off x="8537119" y="9388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110</xdr:row>
      <xdr:rowOff>0</xdr:rowOff>
    </xdr:from>
    <xdr:ext cx="17150072" cy="3743326"/>
    <xdr:pic>
      <xdr:nvPicPr>
        <xdr:cNvPr id="105" name="Picture 104"/>
        <xdr:cNvPicPr>
          <a:picLocks noChangeAspect="1" noChangeArrowheads="1"/>
          <a:extLst/>
        </xdr:cNvPicPr>
      </xdr:nvPicPr>
      <xdr:blipFill>
        <a:blip xmlns:r="http://schemas.openxmlformats.org/officeDocument/2006/relationships" r:embed="rId1"/>
        <a:srcRect/>
        <a:stretch>
          <a:fillRect/>
        </a:stretch>
      </xdr:blipFill>
      <xdr:spPr bwMode="auto">
        <a:xfrm>
          <a:off x="609600" y="20955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126</xdr:row>
      <xdr:rowOff>176894</xdr:rowOff>
    </xdr:from>
    <xdr:ext cx="18008063" cy="3743325"/>
    <xdr:pic>
      <xdr:nvPicPr>
        <xdr:cNvPr id="106" name="Picture 105"/>
        <xdr:cNvPicPr>
          <a:picLocks noChangeAspect="1" noChangeArrowheads="1"/>
          <a:extLst/>
        </xdr:cNvPicPr>
      </xdr:nvPicPr>
      <xdr:blipFill>
        <a:blip xmlns:r="http://schemas.openxmlformats.org/officeDocument/2006/relationships" r:embed="rId2"/>
        <a:srcRect/>
        <a:stretch>
          <a:fillRect/>
        </a:stretch>
      </xdr:blipFill>
      <xdr:spPr bwMode="auto">
        <a:xfrm>
          <a:off x="621846" y="24179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36</xdr:row>
      <xdr:rowOff>13608</xdr:rowOff>
    </xdr:from>
    <xdr:to>
      <xdr:col>12</xdr:col>
      <xdr:colOff>27214</xdr:colOff>
      <xdr:row>37</xdr:row>
      <xdr:rowOff>190502</xdr:rowOff>
    </xdr:to>
    <xdr:cxnSp macro="">
      <xdr:nvCxnSpPr>
        <xdr:cNvPr id="107" name="Straight Connector 106"/>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08" name="Straight Connector 107"/>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36</xdr:row>
      <xdr:rowOff>0</xdr:rowOff>
    </xdr:from>
    <xdr:to>
      <xdr:col>15</xdr:col>
      <xdr:colOff>0</xdr:colOff>
      <xdr:row>37</xdr:row>
      <xdr:rowOff>190501</xdr:rowOff>
    </xdr:to>
    <xdr:cxnSp macro="">
      <xdr:nvCxnSpPr>
        <xdr:cNvPr id="109" name="Straight Connector 108"/>
        <xdr:cNvCxnSpPr/>
      </xdr:nvCxnSpPr>
      <xdr:spPr>
        <a:xfrm flipV="1">
          <a:off x="8533039" y="6858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110" name="Straight Connector 109"/>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36</xdr:row>
      <xdr:rowOff>13607</xdr:rowOff>
    </xdr:from>
    <xdr:to>
      <xdr:col>16</xdr:col>
      <xdr:colOff>0</xdr:colOff>
      <xdr:row>38</xdr:row>
      <xdr:rowOff>0</xdr:rowOff>
    </xdr:to>
    <xdr:cxnSp macro="">
      <xdr:nvCxnSpPr>
        <xdr:cNvPr id="111" name="Straight Connector 110"/>
        <xdr:cNvCxnSpPr/>
      </xdr:nvCxnSpPr>
      <xdr:spPr>
        <a:xfrm flipV="1">
          <a:off x="9171214" y="6871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56</xdr:row>
      <xdr:rowOff>40821</xdr:rowOff>
    </xdr:from>
    <xdr:to>
      <xdr:col>15</xdr:col>
      <xdr:colOff>952500</xdr:colOff>
      <xdr:row>57</xdr:row>
      <xdr:rowOff>163285</xdr:rowOff>
    </xdr:to>
    <xdr:cxnSp macro="">
      <xdr:nvCxnSpPr>
        <xdr:cNvPr id="112" name="Straight Connector 111"/>
        <xdr:cNvCxnSpPr/>
      </xdr:nvCxnSpPr>
      <xdr:spPr>
        <a:xfrm flipV="1">
          <a:off x="9225642" y="10708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13" name="Straight Connector 112"/>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14" name="Straight Connector 113"/>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15" name="Straight Connector 114"/>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16" name="Straight Connector 115"/>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17" name="Straight Connector 116"/>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18" name="Straight Connector 117"/>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19" name="Straight Connector 118"/>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20" name="Straight Connector 119"/>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21" name="Straight Connector 120"/>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122" name="Straight Connector 121"/>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123" name="Straight Connector 122"/>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124" name="Straight Connector 123"/>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125" name="Straight Connector 124"/>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126" name="Straight Connector 125"/>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62</xdr:row>
      <xdr:rowOff>27214</xdr:rowOff>
    </xdr:from>
    <xdr:to>
      <xdr:col>15</xdr:col>
      <xdr:colOff>898072</xdr:colOff>
      <xdr:row>63</xdr:row>
      <xdr:rowOff>149678</xdr:rowOff>
    </xdr:to>
    <xdr:cxnSp macro="">
      <xdr:nvCxnSpPr>
        <xdr:cNvPr id="127" name="Straight Connector 126"/>
        <xdr:cNvCxnSpPr/>
      </xdr:nvCxnSpPr>
      <xdr:spPr>
        <a:xfrm flipV="1">
          <a:off x="9171214" y="11838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62</xdr:row>
      <xdr:rowOff>13607</xdr:rowOff>
    </xdr:from>
    <xdr:to>
      <xdr:col>10</xdr:col>
      <xdr:colOff>911677</xdr:colOff>
      <xdr:row>64</xdr:row>
      <xdr:rowOff>0</xdr:rowOff>
    </xdr:to>
    <xdr:cxnSp macro="">
      <xdr:nvCxnSpPr>
        <xdr:cNvPr id="128" name="Straight Connector 127"/>
        <xdr:cNvCxnSpPr/>
      </xdr:nvCxnSpPr>
      <xdr:spPr>
        <a:xfrm flipV="1">
          <a:off x="6109607" y="11824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62</xdr:row>
      <xdr:rowOff>13608</xdr:rowOff>
    </xdr:from>
    <xdr:to>
      <xdr:col>12</xdr:col>
      <xdr:colOff>27214</xdr:colOff>
      <xdr:row>63</xdr:row>
      <xdr:rowOff>190502</xdr:rowOff>
    </xdr:to>
    <xdr:cxnSp macro="">
      <xdr:nvCxnSpPr>
        <xdr:cNvPr id="129" name="Straight Connector 128"/>
        <xdr:cNvCxnSpPr/>
      </xdr:nvCxnSpPr>
      <xdr:spPr>
        <a:xfrm flipV="1">
          <a:off x="6787242" y="1182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62</xdr:row>
      <xdr:rowOff>17011</xdr:rowOff>
    </xdr:from>
    <xdr:to>
      <xdr:col>12</xdr:col>
      <xdr:colOff>916780</xdr:colOff>
      <xdr:row>63</xdr:row>
      <xdr:rowOff>192201</xdr:rowOff>
    </xdr:to>
    <xdr:cxnSp macro="">
      <xdr:nvCxnSpPr>
        <xdr:cNvPr id="130" name="Straight Connector 129"/>
        <xdr:cNvCxnSpPr/>
      </xdr:nvCxnSpPr>
      <xdr:spPr>
        <a:xfrm flipV="1">
          <a:off x="7349218" y="1182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62</xdr:row>
      <xdr:rowOff>54428</xdr:rowOff>
    </xdr:from>
    <xdr:to>
      <xdr:col>14</xdr:col>
      <xdr:colOff>884463</xdr:colOff>
      <xdr:row>63</xdr:row>
      <xdr:rowOff>163285</xdr:rowOff>
    </xdr:to>
    <xdr:cxnSp macro="">
      <xdr:nvCxnSpPr>
        <xdr:cNvPr id="131" name="Straight Connector 130"/>
        <xdr:cNvCxnSpPr/>
      </xdr:nvCxnSpPr>
      <xdr:spPr>
        <a:xfrm flipV="1">
          <a:off x="8537119" y="11865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47</xdr:row>
      <xdr:rowOff>27216</xdr:rowOff>
    </xdr:from>
    <xdr:to>
      <xdr:col>16</xdr:col>
      <xdr:colOff>27215</xdr:colOff>
      <xdr:row>48</xdr:row>
      <xdr:rowOff>176893</xdr:rowOff>
    </xdr:to>
    <xdr:cxnSp macro="">
      <xdr:nvCxnSpPr>
        <xdr:cNvPr id="132" name="Straight Connector 131"/>
        <xdr:cNvCxnSpPr/>
      </xdr:nvCxnSpPr>
      <xdr:spPr>
        <a:xfrm flipV="1">
          <a:off x="9198428" y="8980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34" name="Straight Connector 133"/>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35" name="Straight Connector 134"/>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36" name="Straight Connector 135"/>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30</xdr:row>
      <xdr:rowOff>13609</xdr:rowOff>
    </xdr:from>
    <xdr:to>
      <xdr:col>10</xdr:col>
      <xdr:colOff>911678</xdr:colOff>
      <xdr:row>31</xdr:row>
      <xdr:rowOff>190501</xdr:rowOff>
    </xdr:to>
    <xdr:cxnSp macro="">
      <xdr:nvCxnSpPr>
        <xdr:cNvPr id="137" name="Straight Connector 136"/>
        <xdr:cNvCxnSpPr/>
      </xdr:nvCxnSpPr>
      <xdr:spPr>
        <a:xfrm flipV="1">
          <a:off x="6109607" y="5728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38" name="Straight Connector 137"/>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38</xdr:row>
      <xdr:rowOff>13608</xdr:rowOff>
    </xdr:from>
    <xdr:to>
      <xdr:col>12</xdr:col>
      <xdr:colOff>27214</xdr:colOff>
      <xdr:row>39</xdr:row>
      <xdr:rowOff>190500</xdr:rowOff>
    </xdr:to>
    <xdr:cxnSp macro="">
      <xdr:nvCxnSpPr>
        <xdr:cNvPr id="139" name="Straight Connector 138"/>
        <xdr:cNvCxnSpPr/>
      </xdr:nvCxnSpPr>
      <xdr:spPr>
        <a:xfrm flipV="1">
          <a:off x="6732814" y="7252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140" name="Straight Connector 139"/>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37</xdr:row>
      <xdr:rowOff>190500</xdr:rowOff>
    </xdr:from>
    <xdr:to>
      <xdr:col>15</xdr:col>
      <xdr:colOff>27214</xdr:colOff>
      <xdr:row>39</xdr:row>
      <xdr:rowOff>176894</xdr:rowOff>
    </xdr:to>
    <xdr:cxnSp macro="">
      <xdr:nvCxnSpPr>
        <xdr:cNvPr id="141" name="Straight Connector 140"/>
        <xdr:cNvCxnSpPr/>
      </xdr:nvCxnSpPr>
      <xdr:spPr>
        <a:xfrm flipV="1">
          <a:off x="8561614" y="7239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38</xdr:row>
      <xdr:rowOff>0</xdr:rowOff>
    </xdr:from>
    <xdr:to>
      <xdr:col>11</xdr:col>
      <xdr:colOff>13607</xdr:colOff>
      <xdr:row>39</xdr:row>
      <xdr:rowOff>176892</xdr:rowOff>
    </xdr:to>
    <xdr:cxnSp macro="">
      <xdr:nvCxnSpPr>
        <xdr:cNvPr id="142" name="Straight Connector 141"/>
        <xdr:cNvCxnSpPr/>
      </xdr:nvCxnSpPr>
      <xdr:spPr>
        <a:xfrm flipV="1">
          <a:off x="6123215" y="7239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38</xdr:row>
      <xdr:rowOff>0</xdr:rowOff>
    </xdr:from>
    <xdr:to>
      <xdr:col>15</xdr:col>
      <xdr:colOff>952500</xdr:colOff>
      <xdr:row>39</xdr:row>
      <xdr:rowOff>190501</xdr:rowOff>
    </xdr:to>
    <xdr:cxnSp macro="">
      <xdr:nvCxnSpPr>
        <xdr:cNvPr id="143" name="Straight Connector 142"/>
        <xdr:cNvCxnSpPr/>
      </xdr:nvCxnSpPr>
      <xdr:spPr>
        <a:xfrm flipV="1">
          <a:off x="9141279" y="7239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34</xdr:row>
      <xdr:rowOff>13608</xdr:rowOff>
    </xdr:from>
    <xdr:to>
      <xdr:col>12</xdr:col>
      <xdr:colOff>27214</xdr:colOff>
      <xdr:row>35</xdr:row>
      <xdr:rowOff>190502</xdr:rowOff>
    </xdr:to>
    <xdr:cxnSp macro="">
      <xdr:nvCxnSpPr>
        <xdr:cNvPr id="144" name="Straight Connector 143"/>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45" name="Straight Connector 144"/>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34</xdr:row>
      <xdr:rowOff>40821</xdr:rowOff>
    </xdr:from>
    <xdr:to>
      <xdr:col>14</xdr:col>
      <xdr:colOff>911678</xdr:colOff>
      <xdr:row>35</xdr:row>
      <xdr:rowOff>149677</xdr:rowOff>
    </xdr:to>
    <xdr:cxnSp macro="">
      <xdr:nvCxnSpPr>
        <xdr:cNvPr id="146" name="Straight Connector 145"/>
        <xdr:cNvCxnSpPr/>
      </xdr:nvCxnSpPr>
      <xdr:spPr>
        <a:xfrm flipV="1">
          <a:off x="8561613" y="651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27216</xdr:rowOff>
    </xdr:from>
    <xdr:to>
      <xdr:col>10</xdr:col>
      <xdr:colOff>898071</xdr:colOff>
      <xdr:row>36</xdr:row>
      <xdr:rowOff>0</xdr:rowOff>
    </xdr:to>
    <xdr:cxnSp macro="">
      <xdr:nvCxnSpPr>
        <xdr:cNvPr id="147" name="Straight Connector 146"/>
        <xdr:cNvCxnSpPr/>
      </xdr:nvCxnSpPr>
      <xdr:spPr>
        <a:xfrm flipV="1">
          <a:off x="6096000" y="6504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148" name="Straight Connector 147"/>
        <xdr:cNvCxnSpPr/>
      </xdr:nvCxnSpPr>
      <xdr:spPr>
        <a:xfrm flipV="1">
          <a:off x="9198428" y="650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149" name="Straight Connector 148"/>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50" name="Straight Connector 149"/>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51" name="Straight Connector 150"/>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152" name="Straight Connector 151"/>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53" name="Straight Connector 152"/>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54" name="Straight Connector 153"/>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55" name="Straight Connector 154"/>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56" name="Straight Connector 155"/>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13609</xdr:rowOff>
    </xdr:from>
    <xdr:to>
      <xdr:col>11</xdr:col>
      <xdr:colOff>40820</xdr:colOff>
      <xdr:row>7</xdr:row>
      <xdr:rowOff>190500</xdr:rowOff>
    </xdr:to>
    <xdr:cxnSp macro="">
      <xdr:nvCxnSpPr>
        <xdr:cNvPr id="157" name="Straight Connector 156"/>
        <xdr:cNvCxnSpPr/>
      </xdr:nvCxnSpPr>
      <xdr:spPr>
        <a:xfrm flipV="1">
          <a:off x="6164035" y="1156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58" name="Straight Connector 157"/>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59" name="Straight Connector 158"/>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60" name="Straight Connector 159"/>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61" name="Straight Connector 160"/>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62" name="Straight Connector 161"/>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63" name="Straight Connector 162"/>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164" name="Straight Connector 163"/>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65" name="Straight Connector 164"/>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66" name="Straight Connector 165"/>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167" name="Straight Connector 166"/>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68" name="Straight Connector 167"/>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28</xdr:row>
      <xdr:rowOff>13609</xdr:rowOff>
    </xdr:from>
    <xdr:to>
      <xdr:col>12</xdr:col>
      <xdr:colOff>27214</xdr:colOff>
      <xdr:row>30</xdr:row>
      <xdr:rowOff>0</xdr:rowOff>
    </xdr:to>
    <xdr:cxnSp macro="">
      <xdr:nvCxnSpPr>
        <xdr:cNvPr id="169" name="Straight Connector 168"/>
        <xdr:cNvCxnSpPr/>
      </xdr:nvCxnSpPr>
      <xdr:spPr>
        <a:xfrm flipV="1">
          <a:off x="6719207" y="5347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70" name="Straight Connector 169"/>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71" name="Straight Connector 170"/>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2</xdr:rowOff>
    </xdr:from>
    <xdr:to>
      <xdr:col>11</xdr:col>
      <xdr:colOff>40820</xdr:colOff>
      <xdr:row>30</xdr:row>
      <xdr:rowOff>0</xdr:rowOff>
    </xdr:to>
    <xdr:cxnSp macro="">
      <xdr:nvCxnSpPr>
        <xdr:cNvPr id="172" name="Straight Connector 171"/>
        <xdr:cNvCxnSpPr/>
      </xdr:nvCxnSpPr>
      <xdr:spPr>
        <a:xfrm flipV="1">
          <a:off x="6109607" y="5334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73" name="Straight Connector 172"/>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74" name="Straight Connector 173"/>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75" name="Straight Connector 174"/>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76" name="Straight Connector 175"/>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177" name="Straight Connector 176"/>
        <xdr:cNvCxnSpPr/>
      </xdr:nvCxnSpPr>
      <xdr:spPr>
        <a:xfrm flipV="1">
          <a:off x="6109607" y="3048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78" name="Straight Connector 177"/>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79" name="Straight Connector 178"/>
        <xdr:cNvCxnSpPr/>
      </xdr:nvCxnSpPr>
      <xdr:spPr>
        <a:xfrm flipV="1">
          <a:off x="6719207" y="3442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80" name="Straight Connector 179"/>
        <xdr:cNvCxnSpPr/>
      </xdr:nvCxnSpPr>
      <xdr:spPr>
        <a:xfrm flipV="1">
          <a:off x="7349218" y="3446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81" name="Straight Connector 180"/>
        <xdr:cNvCxnSpPr/>
      </xdr:nvCxnSpPr>
      <xdr:spPr>
        <a:xfrm flipV="1">
          <a:off x="8561613" y="3469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82" name="Straight Connector 181"/>
        <xdr:cNvCxnSpPr/>
      </xdr:nvCxnSpPr>
      <xdr:spPr>
        <a:xfrm flipV="1">
          <a:off x="6109607" y="3429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83" name="Straight Connector 182"/>
        <xdr:cNvCxnSpPr/>
      </xdr:nvCxnSpPr>
      <xdr:spPr>
        <a:xfrm flipV="1">
          <a:off x="9198428" y="3456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84" name="Straight Connector 18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85" name="Straight Connector 18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86" name="Straight Connector 18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87" name="Straight Connector 186"/>
        <xdr:cNvCxnSpPr/>
      </xdr:nvCxnSpPr>
      <xdr:spPr>
        <a:xfrm flipV="1">
          <a:off x="6164035" y="1524002"/>
          <a:ext cx="582385"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88" name="Straight Connector 18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44</xdr:row>
      <xdr:rowOff>13608</xdr:rowOff>
    </xdr:from>
    <xdr:to>
      <xdr:col>12</xdr:col>
      <xdr:colOff>27214</xdr:colOff>
      <xdr:row>45</xdr:row>
      <xdr:rowOff>190502</xdr:rowOff>
    </xdr:to>
    <xdr:cxnSp macro="">
      <xdr:nvCxnSpPr>
        <xdr:cNvPr id="189" name="Straight Connector 188"/>
        <xdr:cNvCxnSpPr/>
      </xdr:nvCxnSpPr>
      <xdr:spPr>
        <a:xfrm flipV="1">
          <a:off x="6787242" y="839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44</xdr:row>
      <xdr:rowOff>17011</xdr:rowOff>
    </xdr:from>
    <xdr:to>
      <xdr:col>12</xdr:col>
      <xdr:colOff>916780</xdr:colOff>
      <xdr:row>45</xdr:row>
      <xdr:rowOff>192201</xdr:rowOff>
    </xdr:to>
    <xdr:cxnSp macro="">
      <xdr:nvCxnSpPr>
        <xdr:cNvPr id="190" name="Straight Connector 189"/>
        <xdr:cNvCxnSpPr/>
      </xdr:nvCxnSpPr>
      <xdr:spPr>
        <a:xfrm flipV="1">
          <a:off x="7349218" y="839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44</xdr:row>
      <xdr:rowOff>40821</xdr:rowOff>
    </xdr:from>
    <xdr:to>
      <xdr:col>14</xdr:col>
      <xdr:colOff>911678</xdr:colOff>
      <xdr:row>45</xdr:row>
      <xdr:rowOff>149677</xdr:rowOff>
    </xdr:to>
    <xdr:cxnSp macro="">
      <xdr:nvCxnSpPr>
        <xdr:cNvPr id="191" name="Straight Connector 190"/>
        <xdr:cNvCxnSpPr/>
      </xdr:nvCxnSpPr>
      <xdr:spPr>
        <a:xfrm flipV="1">
          <a:off x="8561613" y="842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44</xdr:row>
      <xdr:rowOff>27215</xdr:rowOff>
    </xdr:from>
    <xdr:to>
      <xdr:col>10</xdr:col>
      <xdr:colOff>911678</xdr:colOff>
      <xdr:row>46</xdr:row>
      <xdr:rowOff>0</xdr:rowOff>
    </xdr:to>
    <xdr:cxnSp macro="">
      <xdr:nvCxnSpPr>
        <xdr:cNvPr id="192" name="Straight Connector 191"/>
        <xdr:cNvCxnSpPr/>
      </xdr:nvCxnSpPr>
      <xdr:spPr>
        <a:xfrm flipV="1">
          <a:off x="6096000" y="8409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44</xdr:row>
      <xdr:rowOff>27216</xdr:rowOff>
    </xdr:from>
    <xdr:to>
      <xdr:col>16</xdr:col>
      <xdr:colOff>27215</xdr:colOff>
      <xdr:row>45</xdr:row>
      <xdr:rowOff>176893</xdr:rowOff>
    </xdr:to>
    <xdr:cxnSp macro="">
      <xdr:nvCxnSpPr>
        <xdr:cNvPr id="193" name="Straight Connector 192"/>
        <xdr:cNvCxnSpPr/>
      </xdr:nvCxnSpPr>
      <xdr:spPr>
        <a:xfrm flipV="1">
          <a:off x="9198428" y="840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94" name="Straight Connector 193"/>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95" name="Straight Connector 194"/>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96" name="Straight Connector 195"/>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97" name="Straight Connector 196"/>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98" name="Straight Connector 197"/>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99" name="Straight Connector 198"/>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00" name="Straight Connector 199"/>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201" name="Straight Connector 200"/>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202" name="Straight Connector 201"/>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203" name="Straight Connector 202"/>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204" name="Straight Connector 203"/>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205" name="Straight Connector 204"/>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206" name="Straight Connector 205"/>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207" name="Straight Connector 206"/>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208" name="Straight Connector 207"/>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27216</xdr:rowOff>
    </xdr:from>
    <xdr:to>
      <xdr:col>10</xdr:col>
      <xdr:colOff>898071</xdr:colOff>
      <xdr:row>34</xdr:row>
      <xdr:rowOff>0</xdr:rowOff>
    </xdr:to>
    <xdr:cxnSp macro="">
      <xdr:nvCxnSpPr>
        <xdr:cNvPr id="209" name="Straight Connector 208"/>
        <xdr:cNvCxnSpPr/>
      </xdr:nvCxnSpPr>
      <xdr:spPr>
        <a:xfrm flipV="1">
          <a:off x="6096000" y="6123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210" name="Straight Connector 209"/>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42</xdr:row>
      <xdr:rowOff>13608</xdr:rowOff>
    </xdr:from>
    <xdr:to>
      <xdr:col>12</xdr:col>
      <xdr:colOff>27214</xdr:colOff>
      <xdr:row>43</xdr:row>
      <xdr:rowOff>190502</xdr:rowOff>
    </xdr:to>
    <xdr:cxnSp macro="">
      <xdr:nvCxnSpPr>
        <xdr:cNvPr id="211" name="Straight Connector 210"/>
        <xdr:cNvCxnSpPr/>
      </xdr:nvCxnSpPr>
      <xdr:spPr>
        <a:xfrm flipV="1">
          <a:off x="6787242" y="801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42</xdr:row>
      <xdr:rowOff>17011</xdr:rowOff>
    </xdr:from>
    <xdr:to>
      <xdr:col>12</xdr:col>
      <xdr:colOff>916780</xdr:colOff>
      <xdr:row>43</xdr:row>
      <xdr:rowOff>192201</xdr:rowOff>
    </xdr:to>
    <xdr:cxnSp macro="">
      <xdr:nvCxnSpPr>
        <xdr:cNvPr id="212" name="Straight Connector 211"/>
        <xdr:cNvCxnSpPr/>
      </xdr:nvCxnSpPr>
      <xdr:spPr>
        <a:xfrm flipV="1">
          <a:off x="7349218" y="801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42</xdr:row>
      <xdr:rowOff>40821</xdr:rowOff>
    </xdr:from>
    <xdr:to>
      <xdr:col>14</xdr:col>
      <xdr:colOff>911678</xdr:colOff>
      <xdr:row>43</xdr:row>
      <xdr:rowOff>149677</xdr:rowOff>
    </xdr:to>
    <xdr:cxnSp macro="">
      <xdr:nvCxnSpPr>
        <xdr:cNvPr id="213" name="Straight Connector 212"/>
        <xdr:cNvCxnSpPr/>
      </xdr:nvCxnSpPr>
      <xdr:spPr>
        <a:xfrm flipV="1">
          <a:off x="8561613" y="804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42</xdr:row>
      <xdr:rowOff>27215</xdr:rowOff>
    </xdr:from>
    <xdr:to>
      <xdr:col>10</xdr:col>
      <xdr:colOff>911678</xdr:colOff>
      <xdr:row>44</xdr:row>
      <xdr:rowOff>0</xdr:rowOff>
    </xdr:to>
    <xdr:cxnSp macro="">
      <xdr:nvCxnSpPr>
        <xdr:cNvPr id="214" name="Straight Connector 213"/>
        <xdr:cNvCxnSpPr/>
      </xdr:nvCxnSpPr>
      <xdr:spPr>
        <a:xfrm flipV="1">
          <a:off x="6096000" y="8028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42</xdr:row>
      <xdr:rowOff>27216</xdr:rowOff>
    </xdr:from>
    <xdr:to>
      <xdr:col>16</xdr:col>
      <xdr:colOff>27215</xdr:colOff>
      <xdr:row>43</xdr:row>
      <xdr:rowOff>176893</xdr:rowOff>
    </xdr:to>
    <xdr:cxnSp macro="">
      <xdr:nvCxnSpPr>
        <xdr:cNvPr id="215" name="Straight Connector 214"/>
        <xdr:cNvCxnSpPr/>
      </xdr:nvCxnSpPr>
      <xdr:spPr>
        <a:xfrm flipV="1">
          <a:off x="9198428" y="802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216" name="Straight Connector 215"/>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217" name="Straight Connector 216"/>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218" name="Straight Connector 217"/>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219" name="Straight Connector 218"/>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220" name="Straight Connector 219"/>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221" name="Straight Connector 220"/>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222" name="Straight Connector 221"/>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223" name="Straight Connector 222"/>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224" name="Straight Connector 223"/>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25" name="Straight Connector 224"/>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226" name="Straight Connector 225"/>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227" name="Straight Connector 226"/>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228" name="Straight Connector 227"/>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229" name="Straight Connector 228"/>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230" name="Straight Connector 229"/>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231" name="Straight Connector 230"/>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232" name="Straight Connector 231"/>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233" name="Straight Connector 232"/>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234" name="Straight Connector 233"/>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35" name="Straight Connector 234"/>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11</xdr:col>
      <xdr:colOff>13607</xdr:colOff>
      <xdr:row>72</xdr:row>
      <xdr:rowOff>13608</xdr:rowOff>
    </xdr:from>
    <xdr:to>
      <xdr:col>11</xdr:col>
      <xdr:colOff>898071</xdr:colOff>
      <xdr:row>73</xdr:row>
      <xdr:rowOff>190502</xdr:rowOff>
    </xdr:to>
    <xdr:cxnSp macro="">
      <xdr:nvCxnSpPr>
        <xdr:cNvPr id="2" name="Straight Connector 1"/>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3" name="Straight Connector 2"/>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4" name="Straight Connector 3"/>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72</xdr:row>
      <xdr:rowOff>27214</xdr:rowOff>
    </xdr:from>
    <xdr:to>
      <xdr:col>16</xdr:col>
      <xdr:colOff>0</xdr:colOff>
      <xdr:row>74</xdr:row>
      <xdr:rowOff>0</xdr:rowOff>
    </xdr:to>
    <xdr:cxnSp macro="">
      <xdr:nvCxnSpPr>
        <xdr:cNvPr id="5" name="Straight Connector 4"/>
        <xdr:cNvCxnSpPr/>
      </xdr:nvCxnSpPr>
      <xdr:spPr>
        <a:xfrm flipV="1">
          <a:off x="9144001" y="13743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72</xdr:row>
      <xdr:rowOff>1</xdr:rowOff>
    </xdr:from>
    <xdr:to>
      <xdr:col>11</xdr:col>
      <xdr:colOff>13607</xdr:colOff>
      <xdr:row>73</xdr:row>
      <xdr:rowOff>176895</xdr:rowOff>
    </xdr:to>
    <xdr:cxnSp macro="">
      <xdr:nvCxnSpPr>
        <xdr:cNvPr id="6" name="Straight Connector 5"/>
        <xdr:cNvCxnSpPr/>
      </xdr:nvCxnSpPr>
      <xdr:spPr>
        <a:xfrm flipV="1">
          <a:off x="6150429" y="13716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76</xdr:row>
      <xdr:rowOff>13608</xdr:rowOff>
    </xdr:from>
    <xdr:to>
      <xdr:col>11</xdr:col>
      <xdr:colOff>898071</xdr:colOff>
      <xdr:row>77</xdr:row>
      <xdr:rowOff>190502</xdr:rowOff>
    </xdr:to>
    <xdr:cxnSp macro="">
      <xdr:nvCxnSpPr>
        <xdr:cNvPr id="7" name="Straight Connector 6"/>
        <xdr:cNvCxnSpPr/>
      </xdr:nvCxnSpPr>
      <xdr:spPr>
        <a:xfrm flipV="1">
          <a:off x="6719207" y="14491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76</xdr:row>
      <xdr:rowOff>40824</xdr:rowOff>
    </xdr:from>
    <xdr:to>
      <xdr:col>12</xdr:col>
      <xdr:colOff>898072</xdr:colOff>
      <xdr:row>77</xdr:row>
      <xdr:rowOff>190500</xdr:rowOff>
    </xdr:to>
    <xdr:cxnSp macro="">
      <xdr:nvCxnSpPr>
        <xdr:cNvPr id="8" name="Straight Connector 7"/>
        <xdr:cNvCxnSpPr/>
      </xdr:nvCxnSpPr>
      <xdr:spPr>
        <a:xfrm flipV="1">
          <a:off x="7315200" y="14518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76</xdr:row>
      <xdr:rowOff>40824</xdr:rowOff>
    </xdr:from>
    <xdr:to>
      <xdr:col>14</xdr:col>
      <xdr:colOff>884465</xdr:colOff>
      <xdr:row>77</xdr:row>
      <xdr:rowOff>176893</xdr:rowOff>
    </xdr:to>
    <xdr:cxnSp macro="">
      <xdr:nvCxnSpPr>
        <xdr:cNvPr id="9" name="Straight Connector 8"/>
        <xdr:cNvCxnSpPr/>
      </xdr:nvCxnSpPr>
      <xdr:spPr>
        <a:xfrm flipV="1">
          <a:off x="8561614" y="14518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76</xdr:row>
      <xdr:rowOff>13608</xdr:rowOff>
    </xdr:from>
    <xdr:to>
      <xdr:col>10</xdr:col>
      <xdr:colOff>884464</xdr:colOff>
      <xdr:row>78</xdr:row>
      <xdr:rowOff>0</xdr:rowOff>
    </xdr:to>
    <xdr:cxnSp macro="">
      <xdr:nvCxnSpPr>
        <xdr:cNvPr id="10" name="Straight Connector 9"/>
        <xdr:cNvCxnSpPr/>
      </xdr:nvCxnSpPr>
      <xdr:spPr>
        <a:xfrm flipV="1">
          <a:off x="6097361" y="14491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76</xdr:row>
      <xdr:rowOff>27217</xdr:rowOff>
    </xdr:from>
    <xdr:to>
      <xdr:col>15</xdr:col>
      <xdr:colOff>938894</xdr:colOff>
      <xdr:row>77</xdr:row>
      <xdr:rowOff>163286</xdr:rowOff>
    </xdr:to>
    <xdr:cxnSp macro="">
      <xdr:nvCxnSpPr>
        <xdr:cNvPr id="11" name="Straight Connector 10"/>
        <xdr:cNvCxnSpPr/>
      </xdr:nvCxnSpPr>
      <xdr:spPr>
        <a:xfrm flipV="1">
          <a:off x="9225643" y="14505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74</xdr:row>
      <xdr:rowOff>13608</xdr:rowOff>
    </xdr:from>
    <xdr:to>
      <xdr:col>11</xdr:col>
      <xdr:colOff>898071</xdr:colOff>
      <xdr:row>75</xdr:row>
      <xdr:rowOff>190502</xdr:rowOff>
    </xdr:to>
    <xdr:cxnSp macro="">
      <xdr:nvCxnSpPr>
        <xdr:cNvPr id="12" name="Straight Connector 11"/>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13" name="Straight Connector 12"/>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14" name="Straight Connector 13"/>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74</xdr:row>
      <xdr:rowOff>13608</xdr:rowOff>
    </xdr:from>
    <xdr:to>
      <xdr:col>10</xdr:col>
      <xdr:colOff>884464</xdr:colOff>
      <xdr:row>76</xdr:row>
      <xdr:rowOff>0</xdr:rowOff>
    </xdr:to>
    <xdr:cxnSp macro="">
      <xdr:nvCxnSpPr>
        <xdr:cNvPr id="15" name="Straight Connector 14"/>
        <xdr:cNvCxnSpPr/>
      </xdr:nvCxnSpPr>
      <xdr:spPr>
        <a:xfrm flipV="1">
          <a:off x="6097361" y="14110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74</xdr:row>
      <xdr:rowOff>27217</xdr:rowOff>
    </xdr:from>
    <xdr:to>
      <xdr:col>15</xdr:col>
      <xdr:colOff>938894</xdr:colOff>
      <xdr:row>75</xdr:row>
      <xdr:rowOff>163286</xdr:rowOff>
    </xdr:to>
    <xdr:cxnSp macro="">
      <xdr:nvCxnSpPr>
        <xdr:cNvPr id="16" name="Straight Connector 15"/>
        <xdr:cNvCxnSpPr/>
      </xdr:nvCxnSpPr>
      <xdr:spPr>
        <a:xfrm flipV="1">
          <a:off x="9225643" y="14124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17" name="Straight Connector 16"/>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18" name="Straight Connector 17"/>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19" name="Straight Connector 18"/>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20" name="Straight Connector 19"/>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87</xdr:row>
      <xdr:rowOff>13608</xdr:rowOff>
    </xdr:from>
    <xdr:to>
      <xdr:col>12</xdr:col>
      <xdr:colOff>27214</xdr:colOff>
      <xdr:row>88</xdr:row>
      <xdr:rowOff>190502</xdr:rowOff>
    </xdr:to>
    <xdr:cxnSp macro="">
      <xdr:nvCxnSpPr>
        <xdr:cNvPr id="21" name="Straight Connector 20"/>
        <xdr:cNvCxnSpPr/>
      </xdr:nvCxnSpPr>
      <xdr:spPr>
        <a:xfrm flipV="1">
          <a:off x="6787242" y="1658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87</xdr:row>
      <xdr:rowOff>13608</xdr:rowOff>
    </xdr:from>
    <xdr:to>
      <xdr:col>11</xdr:col>
      <xdr:colOff>51026</xdr:colOff>
      <xdr:row>89</xdr:row>
      <xdr:rowOff>0</xdr:rowOff>
    </xdr:to>
    <xdr:cxnSp macro="">
      <xdr:nvCxnSpPr>
        <xdr:cNvPr id="22" name="Straight Connector 21"/>
        <xdr:cNvCxnSpPr/>
      </xdr:nvCxnSpPr>
      <xdr:spPr>
        <a:xfrm flipV="1">
          <a:off x="6109607" y="16587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87</xdr:row>
      <xdr:rowOff>17011</xdr:rowOff>
    </xdr:from>
    <xdr:to>
      <xdr:col>12</xdr:col>
      <xdr:colOff>916780</xdr:colOff>
      <xdr:row>88</xdr:row>
      <xdr:rowOff>192201</xdr:rowOff>
    </xdr:to>
    <xdr:cxnSp macro="">
      <xdr:nvCxnSpPr>
        <xdr:cNvPr id="23" name="Straight Connector 22"/>
        <xdr:cNvCxnSpPr/>
      </xdr:nvCxnSpPr>
      <xdr:spPr>
        <a:xfrm flipV="1">
          <a:off x="7349218" y="1659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87</xdr:row>
      <xdr:rowOff>18714</xdr:rowOff>
    </xdr:from>
    <xdr:to>
      <xdr:col>15</xdr:col>
      <xdr:colOff>887864</xdr:colOff>
      <xdr:row>88</xdr:row>
      <xdr:rowOff>190500</xdr:rowOff>
    </xdr:to>
    <xdr:cxnSp macro="">
      <xdr:nvCxnSpPr>
        <xdr:cNvPr id="24" name="Straight Connector 23"/>
        <xdr:cNvCxnSpPr/>
      </xdr:nvCxnSpPr>
      <xdr:spPr>
        <a:xfrm flipV="1">
          <a:off x="9171214" y="16592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25" name="Straight Connector 24"/>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26" name="Straight Connector 25"/>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27" name="Straight Connector 26"/>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28" name="Straight Connector 27"/>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29" name="Straight Connector 28"/>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0" name="Straight Connector 29"/>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1" name="Straight Connector 30"/>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32" name="Straight Connector 31"/>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33" name="Straight Connector 32"/>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34" name="Straight Connector 33"/>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5" name="Straight Connector 34"/>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36" name="Straight Connector 35"/>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96</xdr:row>
      <xdr:rowOff>13608</xdr:rowOff>
    </xdr:from>
    <xdr:to>
      <xdr:col>12</xdr:col>
      <xdr:colOff>27214</xdr:colOff>
      <xdr:row>97</xdr:row>
      <xdr:rowOff>190502</xdr:rowOff>
    </xdr:to>
    <xdr:cxnSp macro="">
      <xdr:nvCxnSpPr>
        <xdr:cNvPr id="37" name="Straight Connector 36"/>
        <xdr:cNvCxnSpPr/>
      </xdr:nvCxnSpPr>
      <xdr:spPr>
        <a:xfrm flipV="1">
          <a:off x="6787242" y="1830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96</xdr:row>
      <xdr:rowOff>13608</xdr:rowOff>
    </xdr:from>
    <xdr:to>
      <xdr:col>11</xdr:col>
      <xdr:colOff>51026</xdr:colOff>
      <xdr:row>98</xdr:row>
      <xdr:rowOff>0</xdr:rowOff>
    </xdr:to>
    <xdr:cxnSp macro="">
      <xdr:nvCxnSpPr>
        <xdr:cNvPr id="38" name="Straight Connector 37"/>
        <xdr:cNvCxnSpPr/>
      </xdr:nvCxnSpPr>
      <xdr:spPr>
        <a:xfrm flipV="1">
          <a:off x="6109607" y="18301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96</xdr:row>
      <xdr:rowOff>17011</xdr:rowOff>
    </xdr:from>
    <xdr:to>
      <xdr:col>12</xdr:col>
      <xdr:colOff>916780</xdr:colOff>
      <xdr:row>97</xdr:row>
      <xdr:rowOff>192201</xdr:rowOff>
    </xdr:to>
    <xdr:cxnSp macro="">
      <xdr:nvCxnSpPr>
        <xdr:cNvPr id="39" name="Straight Connector 38"/>
        <xdr:cNvCxnSpPr/>
      </xdr:nvCxnSpPr>
      <xdr:spPr>
        <a:xfrm flipV="1">
          <a:off x="7349218" y="1830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96</xdr:row>
      <xdr:rowOff>3</xdr:rowOff>
    </xdr:from>
    <xdr:to>
      <xdr:col>15</xdr:col>
      <xdr:colOff>40822</xdr:colOff>
      <xdr:row>97</xdr:row>
      <xdr:rowOff>149679</xdr:rowOff>
    </xdr:to>
    <xdr:cxnSp macro="">
      <xdr:nvCxnSpPr>
        <xdr:cNvPr id="40" name="Straight Connector 39"/>
        <xdr:cNvCxnSpPr/>
      </xdr:nvCxnSpPr>
      <xdr:spPr>
        <a:xfrm flipV="1">
          <a:off x="8571820" y="18288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96</xdr:row>
      <xdr:rowOff>18714</xdr:rowOff>
    </xdr:from>
    <xdr:to>
      <xdr:col>15</xdr:col>
      <xdr:colOff>887864</xdr:colOff>
      <xdr:row>97</xdr:row>
      <xdr:rowOff>190500</xdr:rowOff>
    </xdr:to>
    <xdr:cxnSp macro="">
      <xdr:nvCxnSpPr>
        <xdr:cNvPr id="41" name="Straight Connector 40"/>
        <xdr:cNvCxnSpPr/>
      </xdr:nvCxnSpPr>
      <xdr:spPr>
        <a:xfrm flipV="1">
          <a:off x="9171214" y="18306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42" name="Straight Connector 41"/>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43" name="Straight Connector 42"/>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44" name="Straight Connector 43"/>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45" name="Straight Connector 44"/>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46" name="Straight Connector 45"/>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47" name="Straight Connector 46"/>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48" name="Straight Connector 47"/>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49" name="Straight Connector 48"/>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50" name="Straight Connector 49"/>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51" name="Straight Connector 50"/>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52" name="Straight Connector 51"/>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103</xdr:row>
      <xdr:rowOff>3</xdr:rowOff>
    </xdr:from>
    <xdr:to>
      <xdr:col>15</xdr:col>
      <xdr:colOff>40822</xdr:colOff>
      <xdr:row>104</xdr:row>
      <xdr:rowOff>149679</xdr:rowOff>
    </xdr:to>
    <xdr:cxnSp macro="">
      <xdr:nvCxnSpPr>
        <xdr:cNvPr id="53" name="Straight Connector 52"/>
        <xdr:cNvCxnSpPr/>
      </xdr:nvCxnSpPr>
      <xdr:spPr>
        <a:xfrm flipV="1">
          <a:off x="8571820" y="19621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54" name="Straight Connector 53"/>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105</xdr:row>
      <xdr:rowOff>13608</xdr:rowOff>
    </xdr:from>
    <xdr:to>
      <xdr:col>12</xdr:col>
      <xdr:colOff>27214</xdr:colOff>
      <xdr:row>106</xdr:row>
      <xdr:rowOff>190502</xdr:rowOff>
    </xdr:to>
    <xdr:cxnSp macro="">
      <xdr:nvCxnSpPr>
        <xdr:cNvPr id="55" name="Straight Connector 54"/>
        <xdr:cNvCxnSpPr/>
      </xdr:nvCxnSpPr>
      <xdr:spPr>
        <a:xfrm flipV="1">
          <a:off x="6787242" y="2001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105</xdr:row>
      <xdr:rowOff>13608</xdr:rowOff>
    </xdr:from>
    <xdr:to>
      <xdr:col>11</xdr:col>
      <xdr:colOff>51026</xdr:colOff>
      <xdr:row>107</xdr:row>
      <xdr:rowOff>0</xdr:rowOff>
    </xdr:to>
    <xdr:cxnSp macro="">
      <xdr:nvCxnSpPr>
        <xdr:cNvPr id="56" name="Straight Connector 55"/>
        <xdr:cNvCxnSpPr/>
      </xdr:nvCxnSpPr>
      <xdr:spPr>
        <a:xfrm flipV="1">
          <a:off x="6109607" y="2001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105</xdr:row>
      <xdr:rowOff>17011</xdr:rowOff>
    </xdr:from>
    <xdr:to>
      <xdr:col>12</xdr:col>
      <xdr:colOff>916780</xdr:colOff>
      <xdr:row>106</xdr:row>
      <xdr:rowOff>192201</xdr:rowOff>
    </xdr:to>
    <xdr:cxnSp macro="">
      <xdr:nvCxnSpPr>
        <xdr:cNvPr id="57" name="Straight Connector 56"/>
        <xdr:cNvCxnSpPr/>
      </xdr:nvCxnSpPr>
      <xdr:spPr>
        <a:xfrm flipV="1">
          <a:off x="7349218" y="2001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105</xdr:row>
      <xdr:rowOff>3</xdr:rowOff>
    </xdr:from>
    <xdr:to>
      <xdr:col>15</xdr:col>
      <xdr:colOff>40822</xdr:colOff>
      <xdr:row>106</xdr:row>
      <xdr:rowOff>149679</xdr:rowOff>
    </xdr:to>
    <xdr:cxnSp macro="">
      <xdr:nvCxnSpPr>
        <xdr:cNvPr id="58" name="Straight Connector 57"/>
        <xdr:cNvCxnSpPr/>
      </xdr:nvCxnSpPr>
      <xdr:spPr>
        <a:xfrm flipV="1">
          <a:off x="8571820" y="20002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105</xdr:row>
      <xdr:rowOff>18714</xdr:rowOff>
    </xdr:from>
    <xdr:to>
      <xdr:col>15</xdr:col>
      <xdr:colOff>887864</xdr:colOff>
      <xdr:row>106</xdr:row>
      <xdr:rowOff>190500</xdr:rowOff>
    </xdr:to>
    <xdr:cxnSp macro="">
      <xdr:nvCxnSpPr>
        <xdr:cNvPr id="59" name="Straight Connector 58"/>
        <xdr:cNvCxnSpPr/>
      </xdr:nvCxnSpPr>
      <xdr:spPr>
        <a:xfrm flipV="1">
          <a:off x="9171214" y="2002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0" name="Straight Connector 59"/>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61" name="Straight Connector 60"/>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62" name="Straight Connector 61"/>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81</xdr:row>
      <xdr:rowOff>40825</xdr:rowOff>
    </xdr:from>
    <xdr:to>
      <xdr:col>15</xdr:col>
      <xdr:colOff>54429</xdr:colOff>
      <xdr:row>82</xdr:row>
      <xdr:rowOff>190501</xdr:rowOff>
    </xdr:to>
    <xdr:cxnSp macro="">
      <xdr:nvCxnSpPr>
        <xdr:cNvPr id="63" name="Straight Connector 62"/>
        <xdr:cNvCxnSpPr/>
      </xdr:nvCxnSpPr>
      <xdr:spPr>
        <a:xfrm flipV="1">
          <a:off x="8585427" y="15471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64" name="Straight Connector 63"/>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65" name="Straight Connector 64"/>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66" name="Straight Connector 65"/>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67" name="Straight Connector 66"/>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68" name="Straight Connector 67"/>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69" name="Straight Connector 68"/>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70" name="Straight Connector 69"/>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71" name="Straight Connector 70"/>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72" name="Straight Connector 71"/>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101</xdr:row>
      <xdr:rowOff>17010</xdr:rowOff>
    </xdr:from>
    <xdr:to>
      <xdr:col>14</xdr:col>
      <xdr:colOff>903173</xdr:colOff>
      <xdr:row>102</xdr:row>
      <xdr:rowOff>192200</xdr:rowOff>
    </xdr:to>
    <xdr:cxnSp macro="">
      <xdr:nvCxnSpPr>
        <xdr:cNvPr id="73" name="Straight Connector 72"/>
        <xdr:cNvCxnSpPr/>
      </xdr:nvCxnSpPr>
      <xdr:spPr>
        <a:xfrm flipV="1">
          <a:off x="8554811" y="19257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94</xdr:row>
      <xdr:rowOff>3404</xdr:rowOff>
    </xdr:from>
    <xdr:to>
      <xdr:col>15</xdr:col>
      <xdr:colOff>5101</xdr:colOff>
      <xdr:row>95</xdr:row>
      <xdr:rowOff>178593</xdr:rowOff>
    </xdr:to>
    <xdr:cxnSp macro="">
      <xdr:nvCxnSpPr>
        <xdr:cNvPr id="74" name="Straight Connector 73"/>
        <xdr:cNvCxnSpPr/>
      </xdr:nvCxnSpPr>
      <xdr:spPr>
        <a:xfrm flipV="1">
          <a:off x="8582025" y="17910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92</xdr:row>
      <xdr:rowOff>17011</xdr:rowOff>
    </xdr:from>
    <xdr:to>
      <xdr:col>15</xdr:col>
      <xdr:colOff>5101</xdr:colOff>
      <xdr:row>93</xdr:row>
      <xdr:rowOff>192201</xdr:rowOff>
    </xdr:to>
    <xdr:cxnSp macro="">
      <xdr:nvCxnSpPr>
        <xdr:cNvPr id="75" name="Straight Connector 74"/>
        <xdr:cNvCxnSpPr/>
      </xdr:nvCxnSpPr>
      <xdr:spPr>
        <a:xfrm flipV="1">
          <a:off x="8582025" y="17543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90</xdr:row>
      <xdr:rowOff>17011</xdr:rowOff>
    </xdr:from>
    <xdr:to>
      <xdr:col>14</xdr:col>
      <xdr:colOff>916780</xdr:colOff>
      <xdr:row>91</xdr:row>
      <xdr:rowOff>192201</xdr:rowOff>
    </xdr:to>
    <xdr:cxnSp macro="">
      <xdr:nvCxnSpPr>
        <xdr:cNvPr id="76" name="Straight Connector 75"/>
        <xdr:cNvCxnSpPr/>
      </xdr:nvCxnSpPr>
      <xdr:spPr>
        <a:xfrm flipV="1">
          <a:off x="85684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87</xdr:row>
      <xdr:rowOff>17011</xdr:rowOff>
    </xdr:from>
    <xdr:to>
      <xdr:col>15</xdr:col>
      <xdr:colOff>32315</xdr:colOff>
      <xdr:row>88</xdr:row>
      <xdr:rowOff>192201</xdr:rowOff>
    </xdr:to>
    <xdr:cxnSp macro="">
      <xdr:nvCxnSpPr>
        <xdr:cNvPr id="77" name="Straight Connector 76"/>
        <xdr:cNvCxnSpPr/>
      </xdr:nvCxnSpPr>
      <xdr:spPr>
        <a:xfrm flipV="1">
          <a:off x="8609239" y="16590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85</xdr:row>
      <xdr:rowOff>17011</xdr:rowOff>
    </xdr:from>
    <xdr:to>
      <xdr:col>15</xdr:col>
      <xdr:colOff>32315</xdr:colOff>
      <xdr:row>86</xdr:row>
      <xdr:rowOff>192201</xdr:rowOff>
    </xdr:to>
    <xdr:cxnSp macro="">
      <xdr:nvCxnSpPr>
        <xdr:cNvPr id="78" name="Straight Connector 77"/>
        <xdr:cNvCxnSpPr/>
      </xdr:nvCxnSpPr>
      <xdr:spPr>
        <a:xfrm flipV="1">
          <a:off x="8609239" y="16209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83</xdr:row>
      <xdr:rowOff>3403</xdr:rowOff>
    </xdr:from>
    <xdr:to>
      <xdr:col>15</xdr:col>
      <xdr:colOff>18708</xdr:colOff>
      <xdr:row>84</xdr:row>
      <xdr:rowOff>178593</xdr:rowOff>
    </xdr:to>
    <xdr:cxnSp macro="">
      <xdr:nvCxnSpPr>
        <xdr:cNvPr id="79" name="Straight Connector 78"/>
        <xdr:cNvCxnSpPr/>
      </xdr:nvCxnSpPr>
      <xdr:spPr>
        <a:xfrm flipV="1">
          <a:off x="8595632" y="15814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80" name="Straight Connector 79"/>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81" name="Straight Connector 80"/>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82" name="Straight Connector 81"/>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83" name="Straight Connector 82"/>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84" name="Straight Connector 83"/>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64</xdr:row>
      <xdr:rowOff>27214</xdr:rowOff>
    </xdr:from>
    <xdr:to>
      <xdr:col>15</xdr:col>
      <xdr:colOff>898072</xdr:colOff>
      <xdr:row>65</xdr:row>
      <xdr:rowOff>149678</xdr:rowOff>
    </xdr:to>
    <xdr:cxnSp macro="">
      <xdr:nvCxnSpPr>
        <xdr:cNvPr id="85" name="Straight Connector 84"/>
        <xdr:cNvCxnSpPr/>
      </xdr:nvCxnSpPr>
      <xdr:spPr>
        <a:xfrm flipV="1">
          <a:off x="9171214" y="12219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64</xdr:row>
      <xdr:rowOff>13607</xdr:rowOff>
    </xdr:from>
    <xdr:to>
      <xdr:col>10</xdr:col>
      <xdr:colOff>911677</xdr:colOff>
      <xdr:row>66</xdr:row>
      <xdr:rowOff>0</xdr:rowOff>
    </xdr:to>
    <xdr:cxnSp macro="">
      <xdr:nvCxnSpPr>
        <xdr:cNvPr id="86" name="Straight Connector 85"/>
        <xdr:cNvCxnSpPr/>
      </xdr:nvCxnSpPr>
      <xdr:spPr>
        <a:xfrm flipV="1">
          <a:off x="6109607" y="12205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64</xdr:row>
      <xdr:rowOff>13608</xdr:rowOff>
    </xdr:from>
    <xdr:to>
      <xdr:col>12</xdr:col>
      <xdr:colOff>27214</xdr:colOff>
      <xdr:row>65</xdr:row>
      <xdr:rowOff>190502</xdr:rowOff>
    </xdr:to>
    <xdr:cxnSp macro="">
      <xdr:nvCxnSpPr>
        <xdr:cNvPr id="87" name="Straight Connector 86"/>
        <xdr:cNvCxnSpPr/>
      </xdr:nvCxnSpPr>
      <xdr:spPr>
        <a:xfrm flipV="1">
          <a:off x="6787242" y="1220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64</xdr:row>
      <xdr:rowOff>17011</xdr:rowOff>
    </xdr:from>
    <xdr:to>
      <xdr:col>12</xdr:col>
      <xdr:colOff>916780</xdr:colOff>
      <xdr:row>65</xdr:row>
      <xdr:rowOff>192201</xdr:rowOff>
    </xdr:to>
    <xdr:cxnSp macro="">
      <xdr:nvCxnSpPr>
        <xdr:cNvPr id="88" name="Straight Connector 87"/>
        <xdr:cNvCxnSpPr/>
      </xdr:nvCxnSpPr>
      <xdr:spPr>
        <a:xfrm flipV="1">
          <a:off x="7349218" y="1220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64</xdr:row>
      <xdr:rowOff>54428</xdr:rowOff>
    </xdr:from>
    <xdr:to>
      <xdr:col>14</xdr:col>
      <xdr:colOff>884463</xdr:colOff>
      <xdr:row>65</xdr:row>
      <xdr:rowOff>163285</xdr:rowOff>
    </xdr:to>
    <xdr:cxnSp macro="">
      <xdr:nvCxnSpPr>
        <xdr:cNvPr id="89" name="Straight Connector 88"/>
        <xdr:cNvCxnSpPr/>
      </xdr:nvCxnSpPr>
      <xdr:spPr>
        <a:xfrm flipV="1">
          <a:off x="8537119" y="12246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79</xdr:row>
      <xdr:rowOff>13610</xdr:rowOff>
    </xdr:from>
    <xdr:to>
      <xdr:col>15</xdr:col>
      <xdr:colOff>54429</xdr:colOff>
      <xdr:row>80</xdr:row>
      <xdr:rowOff>163286</xdr:rowOff>
    </xdr:to>
    <xdr:cxnSp macro="">
      <xdr:nvCxnSpPr>
        <xdr:cNvPr id="90" name="Straight Connector 89"/>
        <xdr:cNvCxnSpPr/>
      </xdr:nvCxnSpPr>
      <xdr:spPr>
        <a:xfrm flipV="1">
          <a:off x="8585427" y="15063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91" name="Straight Connector 90"/>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92" name="Straight Connector 91"/>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93" name="Straight Connector 92"/>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94" name="Straight Connector 93"/>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51</xdr:row>
      <xdr:rowOff>27214</xdr:rowOff>
    </xdr:from>
    <xdr:to>
      <xdr:col>15</xdr:col>
      <xdr:colOff>898072</xdr:colOff>
      <xdr:row>52</xdr:row>
      <xdr:rowOff>149678</xdr:rowOff>
    </xdr:to>
    <xdr:cxnSp macro="">
      <xdr:nvCxnSpPr>
        <xdr:cNvPr id="95" name="Straight Connector 94"/>
        <xdr:cNvCxnSpPr/>
      </xdr:nvCxnSpPr>
      <xdr:spPr>
        <a:xfrm flipV="1">
          <a:off x="9171214" y="9742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51</xdr:row>
      <xdr:rowOff>13607</xdr:rowOff>
    </xdr:from>
    <xdr:to>
      <xdr:col>10</xdr:col>
      <xdr:colOff>911677</xdr:colOff>
      <xdr:row>53</xdr:row>
      <xdr:rowOff>0</xdr:rowOff>
    </xdr:to>
    <xdr:cxnSp macro="">
      <xdr:nvCxnSpPr>
        <xdr:cNvPr id="96" name="Straight Connector 95"/>
        <xdr:cNvCxnSpPr/>
      </xdr:nvCxnSpPr>
      <xdr:spPr>
        <a:xfrm flipV="1">
          <a:off x="6109607" y="9729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51</xdr:row>
      <xdr:rowOff>13608</xdr:rowOff>
    </xdr:from>
    <xdr:to>
      <xdr:col>12</xdr:col>
      <xdr:colOff>27214</xdr:colOff>
      <xdr:row>52</xdr:row>
      <xdr:rowOff>190502</xdr:rowOff>
    </xdr:to>
    <xdr:cxnSp macro="">
      <xdr:nvCxnSpPr>
        <xdr:cNvPr id="97" name="Straight Connector 96"/>
        <xdr:cNvCxnSpPr/>
      </xdr:nvCxnSpPr>
      <xdr:spPr>
        <a:xfrm flipV="1">
          <a:off x="6787242" y="9729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51</xdr:row>
      <xdr:rowOff>17011</xdr:rowOff>
    </xdr:from>
    <xdr:to>
      <xdr:col>12</xdr:col>
      <xdr:colOff>916780</xdr:colOff>
      <xdr:row>52</xdr:row>
      <xdr:rowOff>192201</xdr:rowOff>
    </xdr:to>
    <xdr:cxnSp macro="">
      <xdr:nvCxnSpPr>
        <xdr:cNvPr id="98" name="Straight Connector 97"/>
        <xdr:cNvCxnSpPr/>
      </xdr:nvCxnSpPr>
      <xdr:spPr>
        <a:xfrm flipV="1">
          <a:off x="7349218" y="9732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51</xdr:row>
      <xdr:rowOff>54428</xdr:rowOff>
    </xdr:from>
    <xdr:to>
      <xdr:col>14</xdr:col>
      <xdr:colOff>884463</xdr:colOff>
      <xdr:row>52</xdr:row>
      <xdr:rowOff>163285</xdr:rowOff>
    </xdr:to>
    <xdr:cxnSp macro="">
      <xdr:nvCxnSpPr>
        <xdr:cNvPr id="99" name="Straight Connector 98"/>
        <xdr:cNvCxnSpPr/>
      </xdr:nvCxnSpPr>
      <xdr:spPr>
        <a:xfrm flipV="1">
          <a:off x="8537119" y="9769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49</xdr:row>
      <xdr:rowOff>27214</xdr:rowOff>
    </xdr:from>
    <xdr:to>
      <xdr:col>15</xdr:col>
      <xdr:colOff>898072</xdr:colOff>
      <xdr:row>50</xdr:row>
      <xdr:rowOff>149678</xdr:rowOff>
    </xdr:to>
    <xdr:cxnSp macro="">
      <xdr:nvCxnSpPr>
        <xdr:cNvPr id="100" name="Straight Connector 99"/>
        <xdr:cNvCxnSpPr/>
      </xdr:nvCxnSpPr>
      <xdr:spPr>
        <a:xfrm flipV="1">
          <a:off x="9171214" y="9361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49</xdr:row>
      <xdr:rowOff>13607</xdr:rowOff>
    </xdr:from>
    <xdr:to>
      <xdr:col>10</xdr:col>
      <xdr:colOff>911677</xdr:colOff>
      <xdr:row>51</xdr:row>
      <xdr:rowOff>0</xdr:rowOff>
    </xdr:to>
    <xdr:cxnSp macro="">
      <xdr:nvCxnSpPr>
        <xdr:cNvPr id="101" name="Straight Connector 100"/>
        <xdr:cNvCxnSpPr/>
      </xdr:nvCxnSpPr>
      <xdr:spPr>
        <a:xfrm flipV="1">
          <a:off x="6109607" y="9348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49</xdr:row>
      <xdr:rowOff>13608</xdr:rowOff>
    </xdr:from>
    <xdr:to>
      <xdr:col>12</xdr:col>
      <xdr:colOff>27214</xdr:colOff>
      <xdr:row>50</xdr:row>
      <xdr:rowOff>190502</xdr:rowOff>
    </xdr:to>
    <xdr:cxnSp macro="">
      <xdr:nvCxnSpPr>
        <xdr:cNvPr id="102" name="Straight Connector 101"/>
        <xdr:cNvCxnSpPr/>
      </xdr:nvCxnSpPr>
      <xdr:spPr>
        <a:xfrm flipV="1">
          <a:off x="6787242" y="934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49</xdr:row>
      <xdr:rowOff>17011</xdr:rowOff>
    </xdr:from>
    <xdr:to>
      <xdr:col>12</xdr:col>
      <xdr:colOff>916780</xdr:colOff>
      <xdr:row>50</xdr:row>
      <xdr:rowOff>192201</xdr:rowOff>
    </xdr:to>
    <xdr:cxnSp macro="">
      <xdr:nvCxnSpPr>
        <xdr:cNvPr id="103" name="Straight Connector 102"/>
        <xdr:cNvCxnSpPr/>
      </xdr:nvCxnSpPr>
      <xdr:spPr>
        <a:xfrm flipV="1">
          <a:off x="7349218" y="935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49</xdr:row>
      <xdr:rowOff>54428</xdr:rowOff>
    </xdr:from>
    <xdr:to>
      <xdr:col>14</xdr:col>
      <xdr:colOff>884463</xdr:colOff>
      <xdr:row>50</xdr:row>
      <xdr:rowOff>163285</xdr:rowOff>
    </xdr:to>
    <xdr:cxnSp macro="">
      <xdr:nvCxnSpPr>
        <xdr:cNvPr id="104" name="Straight Connector 103"/>
        <xdr:cNvCxnSpPr/>
      </xdr:nvCxnSpPr>
      <xdr:spPr>
        <a:xfrm flipV="1">
          <a:off x="8537119" y="9388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110</xdr:row>
      <xdr:rowOff>0</xdr:rowOff>
    </xdr:from>
    <xdr:ext cx="17150072" cy="3743326"/>
    <xdr:pic>
      <xdr:nvPicPr>
        <xdr:cNvPr id="105" name="Picture 104"/>
        <xdr:cNvPicPr>
          <a:picLocks noChangeAspect="1" noChangeArrowheads="1"/>
          <a:extLst/>
        </xdr:cNvPicPr>
      </xdr:nvPicPr>
      <xdr:blipFill>
        <a:blip xmlns:r="http://schemas.openxmlformats.org/officeDocument/2006/relationships" r:embed="rId1"/>
        <a:srcRect/>
        <a:stretch>
          <a:fillRect/>
        </a:stretch>
      </xdr:blipFill>
      <xdr:spPr bwMode="auto">
        <a:xfrm>
          <a:off x="609600" y="20955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126</xdr:row>
      <xdr:rowOff>176894</xdr:rowOff>
    </xdr:from>
    <xdr:ext cx="18008063" cy="3743325"/>
    <xdr:pic>
      <xdr:nvPicPr>
        <xdr:cNvPr id="106" name="Picture 105"/>
        <xdr:cNvPicPr>
          <a:picLocks noChangeAspect="1" noChangeArrowheads="1"/>
          <a:extLst/>
        </xdr:cNvPicPr>
      </xdr:nvPicPr>
      <xdr:blipFill>
        <a:blip xmlns:r="http://schemas.openxmlformats.org/officeDocument/2006/relationships" r:embed="rId2"/>
        <a:srcRect/>
        <a:stretch>
          <a:fillRect/>
        </a:stretch>
      </xdr:blipFill>
      <xdr:spPr bwMode="auto">
        <a:xfrm>
          <a:off x="621846" y="24179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36</xdr:row>
      <xdr:rowOff>13608</xdr:rowOff>
    </xdr:from>
    <xdr:to>
      <xdr:col>12</xdr:col>
      <xdr:colOff>27214</xdr:colOff>
      <xdr:row>37</xdr:row>
      <xdr:rowOff>190502</xdr:rowOff>
    </xdr:to>
    <xdr:cxnSp macro="">
      <xdr:nvCxnSpPr>
        <xdr:cNvPr id="107" name="Straight Connector 106"/>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08" name="Straight Connector 107"/>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36</xdr:row>
      <xdr:rowOff>0</xdr:rowOff>
    </xdr:from>
    <xdr:to>
      <xdr:col>15</xdr:col>
      <xdr:colOff>0</xdr:colOff>
      <xdr:row>37</xdr:row>
      <xdr:rowOff>190501</xdr:rowOff>
    </xdr:to>
    <xdr:cxnSp macro="">
      <xdr:nvCxnSpPr>
        <xdr:cNvPr id="109" name="Straight Connector 108"/>
        <xdr:cNvCxnSpPr/>
      </xdr:nvCxnSpPr>
      <xdr:spPr>
        <a:xfrm flipV="1">
          <a:off x="8533039" y="6858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110" name="Straight Connector 109"/>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36</xdr:row>
      <xdr:rowOff>13607</xdr:rowOff>
    </xdr:from>
    <xdr:to>
      <xdr:col>16</xdr:col>
      <xdr:colOff>0</xdr:colOff>
      <xdr:row>38</xdr:row>
      <xdr:rowOff>0</xdr:rowOff>
    </xdr:to>
    <xdr:cxnSp macro="">
      <xdr:nvCxnSpPr>
        <xdr:cNvPr id="111" name="Straight Connector 110"/>
        <xdr:cNvCxnSpPr/>
      </xdr:nvCxnSpPr>
      <xdr:spPr>
        <a:xfrm flipV="1">
          <a:off x="9171214" y="6871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56</xdr:row>
      <xdr:rowOff>40821</xdr:rowOff>
    </xdr:from>
    <xdr:to>
      <xdr:col>15</xdr:col>
      <xdr:colOff>952500</xdr:colOff>
      <xdr:row>57</xdr:row>
      <xdr:rowOff>163285</xdr:rowOff>
    </xdr:to>
    <xdr:cxnSp macro="">
      <xdr:nvCxnSpPr>
        <xdr:cNvPr id="112" name="Straight Connector 111"/>
        <xdr:cNvCxnSpPr/>
      </xdr:nvCxnSpPr>
      <xdr:spPr>
        <a:xfrm flipV="1">
          <a:off x="9225642" y="10708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13" name="Straight Connector 112"/>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14" name="Straight Connector 113"/>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15" name="Straight Connector 114"/>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16" name="Straight Connector 115"/>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17" name="Straight Connector 116"/>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18" name="Straight Connector 117"/>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19" name="Straight Connector 118"/>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20" name="Straight Connector 119"/>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21" name="Straight Connector 120"/>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122" name="Straight Connector 121"/>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123" name="Straight Connector 122"/>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124" name="Straight Connector 123"/>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125" name="Straight Connector 124"/>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126" name="Straight Connector 125"/>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62</xdr:row>
      <xdr:rowOff>27214</xdr:rowOff>
    </xdr:from>
    <xdr:to>
      <xdr:col>15</xdr:col>
      <xdr:colOff>898072</xdr:colOff>
      <xdr:row>63</xdr:row>
      <xdr:rowOff>149678</xdr:rowOff>
    </xdr:to>
    <xdr:cxnSp macro="">
      <xdr:nvCxnSpPr>
        <xdr:cNvPr id="127" name="Straight Connector 126"/>
        <xdr:cNvCxnSpPr/>
      </xdr:nvCxnSpPr>
      <xdr:spPr>
        <a:xfrm flipV="1">
          <a:off x="9171214" y="11838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62</xdr:row>
      <xdr:rowOff>13607</xdr:rowOff>
    </xdr:from>
    <xdr:to>
      <xdr:col>10</xdr:col>
      <xdr:colOff>911677</xdr:colOff>
      <xdr:row>64</xdr:row>
      <xdr:rowOff>0</xdr:rowOff>
    </xdr:to>
    <xdr:cxnSp macro="">
      <xdr:nvCxnSpPr>
        <xdr:cNvPr id="128" name="Straight Connector 127"/>
        <xdr:cNvCxnSpPr/>
      </xdr:nvCxnSpPr>
      <xdr:spPr>
        <a:xfrm flipV="1">
          <a:off x="6109607" y="11824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62</xdr:row>
      <xdr:rowOff>13608</xdr:rowOff>
    </xdr:from>
    <xdr:to>
      <xdr:col>12</xdr:col>
      <xdr:colOff>27214</xdr:colOff>
      <xdr:row>63</xdr:row>
      <xdr:rowOff>190502</xdr:rowOff>
    </xdr:to>
    <xdr:cxnSp macro="">
      <xdr:nvCxnSpPr>
        <xdr:cNvPr id="129" name="Straight Connector 128"/>
        <xdr:cNvCxnSpPr/>
      </xdr:nvCxnSpPr>
      <xdr:spPr>
        <a:xfrm flipV="1">
          <a:off x="6787242" y="1182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62</xdr:row>
      <xdr:rowOff>17011</xdr:rowOff>
    </xdr:from>
    <xdr:to>
      <xdr:col>12</xdr:col>
      <xdr:colOff>916780</xdr:colOff>
      <xdr:row>63</xdr:row>
      <xdr:rowOff>192201</xdr:rowOff>
    </xdr:to>
    <xdr:cxnSp macro="">
      <xdr:nvCxnSpPr>
        <xdr:cNvPr id="130" name="Straight Connector 129"/>
        <xdr:cNvCxnSpPr/>
      </xdr:nvCxnSpPr>
      <xdr:spPr>
        <a:xfrm flipV="1">
          <a:off x="7349218" y="1182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62</xdr:row>
      <xdr:rowOff>54428</xdr:rowOff>
    </xdr:from>
    <xdr:to>
      <xdr:col>14</xdr:col>
      <xdr:colOff>884463</xdr:colOff>
      <xdr:row>63</xdr:row>
      <xdr:rowOff>163285</xdr:rowOff>
    </xdr:to>
    <xdr:cxnSp macro="">
      <xdr:nvCxnSpPr>
        <xdr:cNvPr id="131" name="Straight Connector 130"/>
        <xdr:cNvCxnSpPr/>
      </xdr:nvCxnSpPr>
      <xdr:spPr>
        <a:xfrm flipV="1">
          <a:off x="8537119" y="11865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47</xdr:row>
      <xdr:rowOff>27216</xdr:rowOff>
    </xdr:from>
    <xdr:to>
      <xdr:col>16</xdr:col>
      <xdr:colOff>27215</xdr:colOff>
      <xdr:row>48</xdr:row>
      <xdr:rowOff>176893</xdr:rowOff>
    </xdr:to>
    <xdr:cxnSp macro="">
      <xdr:nvCxnSpPr>
        <xdr:cNvPr id="132" name="Straight Connector 131"/>
        <xdr:cNvCxnSpPr/>
      </xdr:nvCxnSpPr>
      <xdr:spPr>
        <a:xfrm flipV="1">
          <a:off x="9198428" y="8980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898070</xdr:colOff>
      <xdr:row>39</xdr:row>
      <xdr:rowOff>176892</xdr:rowOff>
    </xdr:from>
    <xdr:to>
      <xdr:col>14</xdr:col>
      <xdr:colOff>911679</xdr:colOff>
      <xdr:row>40</xdr:row>
      <xdr:rowOff>0</xdr:rowOff>
    </xdr:to>
    <xdr:cxnSp macro="">
      <xdr:nvCxnSpPr>
        <xdr:cNvPr id="133" name="Straight Connector 132"/>
        <xdr:cNvCxnSpPr/>
      </xdr:nvCxnSpPr>
      <xdr:spPr>
        <a:xfrm flipV="1">
          <a:off x="8537120" y="7606392"/>
          <a:ext cx="604159" cy="136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34" name="Straight Connector 133"/>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35" name="Straight Connector 134"/>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36" name="Straight Connector 135"/>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30</xdr:row>
      <xdr:rowOff>13609</xdr:rowOff>
    </xdr:from>
    <xdr:to>
      <xdr:col>10</xdr:col>
      <xdr:colOff>911678</xdr:colOff>
      <xdr:row>31</xdr:row>
      <xdr:rowOff>190501</xdr:rowOff>
    </xdr:to>
    <xdr:cxnSp macro="">
      <xdr:nvCxnSpPr>
        <xdr:cNvPr id="137" name="Straight Connector 136"/>
        <xdr:cNvCxnSpPr/>
      </xdr:nvCxnSpPr>
      <xdr:spPr>
        <a:xfrm flipV="1">
          <a:off x="6109607" y="5728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38" name="Straight Connector 137"/>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38</xdr:row>
      <xdr:rowOff>13608</xdr:rowOff>
    </xdr:from>
    <xdr:to>
      <xdr:col>12</xdr:col>
      <xdr:colOff>27214</xdr:colOff>
      <xdr:row>39</xdr:row>
      <xdr:rowOff>190500</xdr:rowOff>
    </xdr:to>
    <xdr:cxnSp macro="">
      <xdr:nvCxnSpPr>
        <xdr:cNvPr id="139" name="Straight Connector 138"/>
        <xdr:cNvCxnSpPr/>
      </xdr:nvCxnSpPr>
      <xdr:spPr>
        <a:xfrm flipV="1">
          <a:off x="6732814" y="7252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140" name="Straight Connector 139"/>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37</xdr:row>
      <xdr:rowOff>190500</xdr:rowOff>
    </xdr:from>
    <xdr:to>
      <xdr:col>15</xdr:col>
      <xdr:colOff>27214</xdr:colOff>
      <xdr:row>39</xdr:row>
      <xdr:rowOff>176894</xdr:rowOff>
    </xdr:to>
    <xdr:cxnSp macro="">
      <xdr:nvCxnSpPr>
        <xdr:cNvPr id="141" name="Straight Connector 140"/>
        <xdr:cNvCxnSpPr/>
      </xdr:nvCxnSpPr>
      <xdr:spPr>
        <a:xfrm flipV="1">
          <a:off x="8561614" y="7239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38</xdr:row>
      <xdr:rowOff>0</xdr:rowOff>
    </xdr:from>
    <xdr:to>
      <xdr:col>11</xdr:col>
      <xdr:colOff>13607</xdr:colOff>
      <xdr:row>39</xdr:row>
      <xdr:rowOff>176892</xdr:rowOff>
    </xdr:to>
    <xdr:cxnSp macro="">
      <xdr:nvCxnSpPr>
        <xdr:cNvPr id="142" name="Straight Connector 141"/>
        <xdr:cNvCxnSpPr/>
      </xdr:nvCxnSpPr>
      <xdr:spPr>
        <a:xfrm flipV="1">
          <a:off x="6123215" y="7239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38</xdr:row>
      <xdr:rowOff>0</xdr:rowOff>
    </xdr:from>
    <xdr:to>
      <xdr:col>15</xdr:col>
      <xdr:colOff>952500</xdr:colOff>
      <xdr:row>39</xdr:row>
      <xdr:rowOff>190501</xdr:rowOff>
    </xdr:to>
    <xdr:cxnSp macro="">
      <xdr:nvCxnSpPr>
        <xdr:cNvPr id="143" name="Straight Connector 142"/>
        <xdr:cNvCxnSpPr/>
      </xdr:nvCxnSpPr>
      <xdr:spPr>
        <a:xfrm flipV="1">
          <a:off x="9141279" y="7239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34</xdr:row>
      <xdr:rowOff>13608</xdr:rowOff>
    </xdr:from>
    <xdr:to>
      <xdr:col>12</xdr:col>
      <xdr:colOff>27214</xdr:colOff>
      <xdr:row>35</xdr:row>
      <xdr:rowOff>190502</xdr:rowOff>
    </xdr:to>
    <xdr:cxnSp macro="">
      <xdr:nvCxnSpPr>
        <xdr:cNvPr id="144" name="Straight Connector 143"/>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45" name="Straight Connector 144"/>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34</xdr:row>
      <xdr:rowOff>40821</xdr:rowOff>
    </xdr:from>
    <xdr:to>
      <xdr:col>14</xdr:col>
      <xdr:colOff>911678</xdr:colOff>
      <xdr:row>35</xdr:row>
      <xdr:rowOff>149677</xdr:rowOff>
    </xdr:to>
    <xdr:cxnSp macro="">
      <xdr:nvCxnSpPr>
        <xdr:cNvPr id="146" name="Straight Connector 145"/>
        <xdr:cNvCxnSpPr/>
      </xdr:nvCxnSpPr>
      <xdr:spPr>
        <a:xfrm flipV="1">
          <a:off x="8561613" y="651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27216</xdr:rowOff>
    </xdr:from>
    <xdr:to>
      <xdr:col>10</xdr:col>
      <xdr:colOff>898071</xdr:colOff>
      <xdr:row>36</xdr:row>
      <xdr:rowOff>0</xdr:rowOff>
    </xdr:to>
    <xdr:cxnSp macro="">
      <xdr:nvCxnSpPr>
        <xdr:cNvPr id="147" name="Straight Connector 146"/>
        <xdr:cNvCxnSpPr/>
      </xdr:nvCxnSpPr>
      <xdr:spPr>
        <a:xfrm flipV="1">
          <a:off x="6096000" y="6504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148" name="Straight Connector 147"/>
        <xdr:cNvCxnSpPr/>
      </xdr:nvCxnSpPr>
      <xdr:spPr>
        <a:xfrm flipV="1">
          <a:off x="9198428" y="650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149" name="Straight Connector 148"/>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50" name="Straight Connector 149"/>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51" name="Straight Connector 150"/>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152" name="Straight Connector 151"/>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53" name="Straight Connector 152"/>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54" name="Straight Connector 153"/>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55" name="Straight Connector 154"/>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56" name="Straight Connector 155"/>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13609</xdr:rowOff>
    </xdr:from>
    <xdr:to>
      <xdr:col>11</xdr:col>
      <xdr:colOff>40820</xdr:colOff>
      <xdr:row>7</xdr:row>
      <xdr:rowOff>190500</xdr:rowOff>
    </xdr:to>
    <xdr:cxnSp macro="">
      <xdr:nvCxnSpPr>
        <xdr:cNvPr id="157" name="Straight Connector 156"/>
        <xdr:cNvCxnSpPr/>
      </xdr:nvCxnSpPr>
      <xdr:spPr>
        <a:xfrm flipV="1">
          <a:off x="6164035" y="1156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58" name="Straight Connector 157"/>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59" name="Straight Connector 158"/>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60" name="Straight Connector 159"/>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61" name="Straight Connector 160"/>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62" name="Straight Connector 161"/>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63" name="Straight Connector 162"/>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164" name="Straight Connector 163"/>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65" name="Straight Connector 164"/>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66" name="Straight Connector 165"/>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167" name="Straight Connector 166"/>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68" name="Straight Connector 167"/>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28</xdr:row>
      <xdr:rowOff>13609</xdr:rowOff>
    </xdr:from>
    <xdr:to>
      <xdr:col>12</xdr:col>
      <xdr:colOff>27214</xdr:colOff>
      <xdr:row>30</xdr:row>
      <xdr:rowOff>0</xdr:rowOff>
    </xdr:to>
    <xdr:cxnSp macro="">
      <xdr:nvCxnSpPr>
        <xdr:cNvPr id="169" name="Straight Connector 168"/>
        <xdr:cNvCxnSpPr/>
      </xdr:nvCxnSpPr>
      <xdr:spPr>
        <a:xfrm flipV="1">
          <a:off x="6719207" y="5347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70" name="Straight Connector 169"/>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71" name="Straight Connector 170"/>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2</xdr:rowOff>
    </xdr:from>
    <xdr:to>
      <xdr:col>11</xdr:col>
      <xdr:colOff>40820</xdr:colOff>
      <xdr:row>30</xdr:row>
      <xdr:rowOff>0</xdr:rowOff>
    </xdr:to>
    <xdr:cxnSp macro="">
      <xdr:nvCxnSpPr>
        <xdr:cNvPr id="172" name="Straight Connector 171"/>
        <xdr:cNvCxnSpPr/>
      </xdr:nvCxnSpPr>
      <xdr:spPr>
        <a:xfrm flipV="1">
          <a:off x="6109607" y="5334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73" name="Straight Connector 172"/>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74" name="Straight Connector 173"/>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75" name="Straight Connector 174"/>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76" name="Straight Connector 175"/>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177" name="Straight Connector 176"/>
        <xdr:cNvCxnSpPr/>
      </xdr:nvCxnSpPr>
      <xdr:spPr>
        <a:xfrm flipV="1">
          <a:off x="6109607" y="3048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78" name="Straight Connector 177"/>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79" name="Straight Connector 178"/>
        <xdr:cNvCxnSpPr/>
      </xdr:nvCxnSpPr>
      <xdr:spPr>
        <a:xfrm flipV="1">
          <a:off x="6719207" y="3442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80" name="Straight Connector 179"/>
        <xdr:cNvCxnSpPr/>
      </xdr:nvCxnSpPr>
      <xdr:spPr>
        <a:xfrm flipV="1">
          <a:off x="7349218" y="3446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81" name="Straight Connector 180"/>
        <xdr:cNvCxnSpPr/>
      </xdr:nvCxnSpPr>
      <xdr:spPr>
        <a:xfrm flipV="1">
          <a:off x="8561613" y="3469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82" name="Straight Connector 181"/>
        <xdr:cNvCxnSpPr/>
      </xdr:nvCxnSpPr>
      <xdr:spPr>
        <a:xfrm flipV="1">
          <a:off x="6109607" y="3429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83" name="Straight Connector 182"/>
        <xdr:cNvCxnSpPr/>
      </xdr:nvCxnSpPr>
      <xdr:spPr>
        <a:xfrm flipV="1">
          <a:off x="9198428" y="3456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84" name="Straight Connector 18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85" name="Straight Connector 18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86" name="Straight Connector 18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87" name="Straight Connector 186"/>
        <xdr:cNvCxnSpPr/>
      </xdr:nvCxnSpPr>
      <xdr:spPr>
        <a:xfrm flipV="1">
          <a:off x="6164035" y="1524002"/>
          <a:ext cx="582385"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88" name="Straight Connector 18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44</xdr:row>
      <xdr:rowOff>13608</xdr:rowOff>
    </xdr:from>
    <xdr:to>
      <xdr:col>12</xdr:col>
      <xdr:colOff>27214</xdr:colOff>
      <xdr:row>45</xdr:row>
      <xdr:rowOff>190502</xdr:rowOff>
    </xdr:to>
    <xdr:cxnSp macro="">
      <xdr:nvCxnSpPr>
        <xdr:cNvPr id="189" name="Straight Connector 188"/>
        <xdr:cNvCxnSpPr/>
      </xdr:nvCxnSpPr>
      <xdr:spPr>
        <a:xfrm flipV="1">
          <a:off x="6787242" y="839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44</xdr:row>
      <xdr:rowOff>17011</xdr:rowOff>
    </xdr:from>
    <xdr:to>
      <xdr:col>12</xdr:col>
      <xdr:colOff>916780</xdr:colOff>
      <xdr:row>45</xdr:row>
      <xdr:rowOff>192201</xdr:rowOff>
    </xdr:to>
    <xdr:cxnSp macro="">
      <xdr:nvCxnSpPr>
        <xdr:cNvPr id="190" name="Straight Connector 189"/>
        <xdr:cNvCxnSpPr/>
      </xdr:nvCxnSpPr>
      <xdr:spPr>
        <a:xfrm flipV="1">
          <a:off x="7349218" y="839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44</xdr:row>
      <xdr:rowOff>40821</xdr:rowOff>
    </xdr:from>
    <xdr:to>
      <xdr:col>14</xdr:col>
      <xdr:colOff>911678</xdr:colOff>
      <xdr:row>45</xdr:row>
      <xdr:rowOff>149677</xdr:rowOff>
    </xdr:to>
    <xdr:cxnSp macro="">
      <xdr:nvCxnSpPr>
        <xdr:cNvPr id="191" name="Straight Connector 190"/>
        <xdr:cNvCxnSpPr/>
      </xdr:nvCxnSpPr>
      <xdr:spPr>
        <a:xfrm flipV="1">
          <a:off x="8561613" y="842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44</xdr:row>
      <xdr:rowOff>27215</xdr:rowOff>
    </xdr:from>
    <xdr:to>
      <xdr:col>10</xdr:col>
      <xdr:colOff>911678</xdr:colOff>
      <xdr:row>46</xdr:row>
      <xdr:rowOff>0</xdr:rowOff>
    </xdr:to>
    <xdr:cxnSp macro="">
      <xdr:nvCxnSpPr>
        <xdr:cNvPr id="192" name="Straight Connector 191"/>
        <xdr:cNvCxnSpPr/>
      </xdr:nvCxnSpPr>
      <xdr:spPr>
        <a:xfrm flipV="1">
          <a:off x="6096000" y="8409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44</xdr:row>
      <xdr:rowOff>27216</xdr:rowOff>
    </xdr:from>
    <xdr:to>
      <xdr:col>16</xdr:col>
      <xdr:colOff>27215</xdr:colOff>
      <xdr:row>45</xdr:row>
      <xdr:rowOff>176893</xdr:rowOff>
    </xdr:to>
    <xdr:cxnSp macro="">
      <xdr:nvCxnSpPr>
        <xdr:cNvPr id="193" name="Straight Connector 192"/>
        <xdr:cNvCxnSpPr/>
      </xdr:nvCxnSpPr>
      <xdr:spPr>
        <a:xfrm flipV="1">
          <a:off x="9198428" y="840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94" name="Straight Connector 193"/>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95" name="Straight Connector 194"/>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96" name="Straight Connector 195"/>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97" name="Straight Connector 196"/>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98" name="Straight Connector 197"/>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99" name="Straight Connector 198"/>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00" name="Straight Connector 199"/>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201" name="Straight Connector 200"/>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202" name="Straight Connector 201"/>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203" name="Straight Connector 202"/>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204" name="Straight Connector 203"/>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205" name="Straight Connector 204"/>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206" name="Straight Connector 205"/>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207" name="Straight Connector 206"/>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208" name="Straight Connector 207"/>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27216</xdr:rowOff>
    </xdr:from>
    <xdr:to>
      <xdr:col>10</xdr:col>
      <xdr:colOff>898071</xdr:colOff>
      <xdr:row>34</xdr:row>
      <xdr:rowOff>0</xdr:rowOff>
    </xdr:to>
    <xdr:cxnSp macro="">
      <xdr:nvCxnSpPr>
        <xdr:cNvPr id="209" name="Straight Connector 208"/>
        <xdr:cNvCxnSpPr/>
      </xdr:nvCxnSpPr>
      <xdr:spPr>
        <a:xfrm flipV="1">
          <a:off x="6096000" y="6123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210" name="Straight Connector 209"/>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42</xdr:row>
      <xdr:rowOff>13608</xdr:rowOff>
    </xdr:from>
    <xdr:to>
      <xdr:col>12</xdr:col>
      <xdr:colOff>27214</xdr:colOff>
      <xdr:row>43</xdr:row>
      <xdr:rowOff>190502</xdr:rowOff>
    </xdr:to>
    <xdr:cxnSp macro="">
      <xdr:nvCxnSpPr>
        <xdr:cNvPr id="211" name="Straight Connector 210"/>
        <xdr:cNvCxnSpPr/>
      </xdr:nvCxnSpPr>
      <xdr:spPr>
        <a:xfrm flipV="1">
          <a:off x="6787242" y="801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42</xdr:row>
      <xdr:rowOff>17011</xdr:rowOff>
    </xdr:from>
    <xdr:to>
      <xdr:col>12</xdr:col>
      <xdr:colOff>916780</xdr:colOff>
      <xdr:row>43</xdr:row>
      <xdr:rowOff>192201</xdr:rowOff>
    </xdr:to>
    <xdr:cxnSp macro="">
      <xdr:nvCxnSpPr>
        <xdr:cNvPr id="212" name="Straight Connector 211"/>
        <xdr:cNvCxnSpPr/>
      </xdr:nvCxnSpPr>
      <xdr:spPr>
        <a:xfrm flipV="1">
          <a:off x="7349218" y="801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42</xdr:row>
      <xdr:rowOff>40821</xdr:rowOff>
    </xdr:from>
    <xdr:to>
      <xdr:col>14</xdr:col>
      <xdr:colOff>911678</xdr:colOff>
      <xdr:row>43</xdr:row>
      <xdr:rowOff>149677</xdr:rowOff>
    </xdr:to>
    <xdr:cxnSp macro="">
      <xdr:nvCxnSpPr>
        <xdr:cNvPr id="213" name="Straight Connector 212"/>
        <xdr:cNvCxnSpPr/>
      </xdr:nvCxnSpPr>
      <xdr:spPr>
        <a:xfrm flipV="1">
          <a:off x="8561613" y="804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42</xdr:row>
      <xdr:rowOff>27215</xdr:rowOff>
    </xdr:from>
    <xdr:to>
      <xdr:col>10</xdr:col>
      <xdr:colOff>911678</xdr:colOff>
      <xdr:row>44</xdr:row>
      <xdr:rowOff>0</xdr:rowOff>
    </xdr:to>
    <xdr:cxnSp macro="">
      <xdr:nvCxnSpPr>
        <xdr:cNvPr id="214" name="Straight Connector 213"/>
        <xdr:cNvCxnSpPr/>
      </xdr:nvCxnSpPr>
      <xdr:spPr>
        <a:xfrm flipV="1">
          <a:off x="6096000" y="8028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42</xdr:row>
      <xdr:rowOff>27216</xdr:rowOff>
    </xdr:from>
    <xdr:to>
      <xdr:col>16</xdr:col>
      <xdr:colOff>27215</xdr:colOff>
      <xdr:row>43</xdr:row>
      <xdr:rowOff>176893</xdr:rowOff>
    </xdr:to>
    <xdr:cxnSp macro="">
      <xdr:nvCxnSpPr>
        <xdr:cNvPr id="215" name="Straight Connector 214"/>
        <xdr:cNvCxnSpPr/>
      </xdr:nvCxnSpPr>
      <xdr:spPr>
        <a:xfrm flipV="1">
          <a:off x="9198428" y="802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216" name="Straight Connector 215"/>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217" name="Straight Connector 216"/>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218" name="Straight Connector 217"/>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219" name="Straight Connector 218"/>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220" name="Straight Connector 219"/>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221" name="Straight Connector 220"/>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222" name="Straight Connector 221"/>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223" name="Straight Connector 222"/>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224" name="Straight Connector 223"/>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25" name="Straight Connector 224"/>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226" name="Straight Connector 225"/>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227" name="Straight Connector 226"/>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228" name="Straight Connector 227"/>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229" name="Straight Connector 228"/>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230" name="Straight Connector 229"/>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231" name="Straight Connector 230"/>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232" name="Straight Connector 231"/>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233" name="Straight Connector 232"/>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234" name="Straight Connector 233"/>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35" name="Straight Connector 234"/>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11</xdr:col>
      <xdr:colOff>13607</xdr:colOff>
      <xdr:row>74</xdr:row>
      <xdr:rowOff>13608</xdr:rowOff>
    </xdr:from>
    <xdr:to>
      <xdr:col>11</xdr:col>
      <xdr:colOff>898071</xdr:colOff>
      <xdr:row>75</xdr:row>
      <xdr:rowOff>190502</xdr:rowOff>
    </xdr:to>
    <xdr:cxnSp macro="">
      <xdr:nvCxnSpPr>
        <xdr:cNvPr id="2" name="Straight Connector 1"/>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3" name="Straight Connector 2"/>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4" name="Straight Connector 3"/>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74</xdr:row>
      <xdr:rowOff>27214</xdr:rowOff>
    </xdr:from>
    <xdr:to>
      <xdr:col>16</xdr:col>
      <xdr:colOff>0</xdr:colOff>
      <xdr:row>76</xdr:row>
      <xdr:rowOff>0</xdr:rowOff>
    </xdr:to>
    <xdr:cxnSp macro="">
      <xdr:nvCxnSpPr>
        <xdr:cNvPr id="5" name="Straight Connector 4"/>
        <xdr:cNvCxnSpPr/>
      </xdr:nvCxnSpPr>
      <xdr:spPr>
        <a:xfrm flipV="1">
          <a:off x="9144001" y="14124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74</xdr:row>
      <xdr:rowOff>1</xdr:rowOff>
    </xdr:from>
    <xdr:to>
      <xdr:col>11</xdr:col>
      <xdr:colOff>13607</xdr:colOff>
      <xdr:row>75</xdr:row>
      <xdr:rowOff>176895</xdr:rowOff>
    </xdr:to>
    <xdr:cxnSp macro="">
      <xdr:nvCxnSpPr>
        <xdr:cNvPr id="6" name="Straight Connector 5"/>
        <xdr:cNvCxnSpPr/>
      </xdr:nvCxnSpPr>
      <xdr:spPr>
        <a:xfrm flipV="1">
          <a:off x="6150429" y="14097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78</xdr:row>
      <xdr:rowOff>13608</xdr:rowOff>
    </xdr:from>
    <xdr:to>
      <xdr:col>11</xdr:col>
      <xdr:colOff>898071</xdr:colOff>
      <xdr:row>79</xdr:row>
      <xdr:rowOff>190502</xdr:rowOff>
    </xdr:to>
    <xdr:cxnSp macro="">
      <xdr:nvCxnSpPr>
        <xdr:cNvPr id="7" name="Straight Connector 6"/>
        <xdr:cNvCxnSpPr/>
      </xdr:nvCxnSpPr>
      <xdr:spPr>
        <a:xfrm flipV="1">
          <a:off x="6719207" y="14872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78</xdr:row>
      <xdr:rowOff>40824</xdr:rowOff>
    </xdr:from>
    <xdr:to>
      <xdr:col>12</xdr:col>
      <xdr:colOff>898072</xdr:colOff>
      <xdr:row>79</xdr:row>
      <xdr:rowOff>190500</xdr:rowOff>
    </xdr:to>
    <xdr:cxnSp macro="">
      <xdr:nvCxnSpPr>
        <xdr:cNvPr id="8" name="Straight Connector 7"/>
        <xdr:cNvCxnSpPr/>
      </xdr:nvCxnSpPr>
      <xdr:spPr>
        <a:xfrm flipV="1">
          <a:off x="7315200" y="14899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78</xdr:row>
      <xdr:rowOff>40824</xdr:rowOff>
    </xdr:from>
    <xdr:to>
      <xdr:col>14</xdr:col>
      <xdr:colOff>884465</xdr:colOff>
      <xdr:row>79</xdr:row>
      <xdr:rowOff>176893</xdr:rowOff>
    </xdr:to>
    <xdr:cxnSp macro="">
      <xdr:nvCxnSpPr>
        <xdr:cNvPr id="9" name="Straight Connector 8"/>
        <xdr:cNvCxnSpPr/>
      </xdr:nvCxnSpPr>
      <xdr:spPr>
        <a:xfrm flipV="1">
          <a:off x="8561614" y="14899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78</xdr:row>
      <xdr:rowOff>13608</xdr:rowOff>
    </xdr:from>
    <xdr:to>
      <xdr:col>10</xdr:col>
      <xdr:colOff>884464</xdr:colOff>
      <xdr:row>80</xdr:row>
      <xdr:rowOff>0</xdr:rowOff>
    </xdr:to>
    <xdr:cxnSp macro="">
      <xdr:nvCxnSpPr>
        <xdr:cNvPr id="10" name="Straight Connector 9"/>
        <xdr:cNvCxnSpPr/>
      </xdr:nvCxnSpPr>
      <xdr:spPr>
        <a:xfrm flipV="1">
          <a:off x="6097361" y="14872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78</xdr:row>
      <xdr:rowOff>27217</xdr:rowOff>
    </xdr:from>
    <xdr:to>
      <xdr:col>15</xdr:col>
      <xdr:colOff>938894</xdr:colOff>
      <xdr:row>79</xdr:row>
      <xdr:rowOff>163286</xdr:rowOff>
    </xdr:to>
    <xdr:cxnSp macro="">
      <xdr:nvCxnSpPr>
        <xdr:cNvPr id="11" name="Straight Connector 10"/>
        <xdr:cNvCxnSpPr/>
      </xdr:nvCxnSpPr>
      <xdr:spPr>
        <a:xfrm flipV="1">
          <a:off x="9225643" y="14886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76</xdr:row>
      <xdr:rowOff>13608</xdr:rowOff>
    </xdr:from>
    <xdr:to>
      <xdr:col>11</xdr:col>
      <xdr:colOff>898071</xdr:colOff>
      <xdr:row>77</xdr:row>
      <xdr:rowOff>190502</xdr:rowOff>
    </xdr:to>
    <xdr:cxnSp macro="">
      <xdr:nvCxnSpPr>
        <xdr:cNvPr id="12" name="Straight Connector 11"/>
        <xdr:cNvCxnSpPr/>
      </xdr:nvCxnSpPr>
      <xdr:spPr>
        <a:xfrm flipV="1">
          <a:off x="6719207" y="14491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76</xdr:row>
      <xdr:rowOff>40824</xdr:rowOff>
    </xdr:from>
    <xdr:to>
      <xdr:col>12</xdr:col>
      <xdr:colOff>898072</xdr:colOff>
      <xdr:row>77</xdr:row>
      <xdr:rowOff>190500</xdr:rowOff>
    </xdr:to>
    <xdr:cxnSp macro="">
      <xdr:nvCxnSpPr>
        <xdr:cNvPr id="13" name="Straight Connector 12"/>
        <xdr:cNvCxnSpPr/>
      </xdr:nvCxnSpPr>
      <xdr:spPr>
        <a:xfrm flipV="1">
          <a:off x="7315200" y="14518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76</xdr:row>
      <xdr:rowOff>40824</xdr:rowOff>
    </xdr:from>
    <xdr:to>
      <xdr:col>14</xdr:col>
      <xdr:colOff>884465</xdr:colOff>
      <xdr:row>77</xdr:row>
      <xdr:rowOff>176893</xdr:rowOff>
    </xdr:to>
    <xdr:cxnSp macro="">
      <xdr:nvCxnSpPr>
        <xdr:cNvPr id="14" name="Straight Connector 13"/>
        <xdr:cNvCxnSpPr/>
      </xdr:nvCxnSpPr>
      <xdr:spPr>
        <a:xfrm flipV="1">
          <a:off x="8561614" y="14518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76</xdr:row>
      <xdr:rowOff>13608</xdr:rowOff>
    </xdr:from>
    <xdr:to>
      <xdr:col>10</xdr:col>
      <xdr:colOff>884464</xdr:colOff>
      <xdr:row>78</xdr:row>
      <xdr:rowOff>0</xdr:rowOff>
    </xdr:to>
    <xdr:cxnSp macro="">
      <xdr:nvCxnSpPr>
        <xdr:cNvPr id="15" name="Straight Connector 14"/>
        <xdr:cNvCxnSpPr/>
      </xdr:nvCxnSpPr>
      <xdr:spPr>
        <a:xfrm flipV="1">
          <a:off x="6097361" y="14491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81643</xdr:colOff>
      <xdr:row>76</xdr:row>
      <xdr:rowOff>27217</xdr:rowOff>
    </xdr:from>
    <xdr:to>
      <xdr:col>15</xdr:col>
      <xdr:colOff>938894</xdr:colOff>
      <xdr:row>77</xdr:row>
      <xdr:rowOff>163286</xdr:rowOff>
    </xdr:to>
    <xdr:cxnSp macro="">
      <xdr:nvCxnSpPr>
        <xdr:cNvPr id="16" name="Straight Connector 15"/>
        <xdr:cNvCxnSpPr/>
      </xdr:nvCxnSpPr>
      <xdr:spPr>
        <a:xfrm flipV="1">
          <a:off x="9225643" y="14505217"/>
          <a:ext cx="52387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87</xdr:row>
      <xdr:rowOff>13608</xdr:rowOff>
    </xdr:from>
    <xdr:to>
      <xdr:col>12</xdr:col>
      <xdr:colOff>27214</xdr:colOff>
      <xdr:row>88</xdr:row>
      <xdr:rowOff>190502</xdr:rowOff>
    </xdr:to>
    <xdr:cxnSp macro="">
      <xdr:nvCxnSpPr>
        <xdr:cNvPr id="17" name="Straight Connector 16"/>
        <xdr:cNvCxnSpPr/>
      </xdr:nvCxnSpPr>
      <xdr:spPr>
        <a:xfrm flipV="1">
          <a:off x="6787242" y="1658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87</xdr:row>
      <xdr:rowOff>13608</xdr:rowOff>
    </xdr:from>
    <xdr:to>
      <xdr:col>11</xdr:col>
      <xdr:colOff>51026</xdr:colOff>
      <xdr:row>89</xdr:row>
      <xdr:rowOff>0</xdr:rowOff>
    </xdr:to>
    <xdr:cxnSp macro="">
      <xdr:nvCxnSpPr>
        <xdr:cNvPr id="18" name="Straight Connector 17"/>
        <xdr:cNvCxnSpPr/>
      </xdr:nvCxnSpPr>
      <xdr:spPr>
        <a:xfrm flipV="1">
          <a:off x="6109607" y="16587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87</xdr:row>
      <xdr:rowOff>17011</xdr:rowOff>
    </xdr:from>
    <xdr:to>
      <xdr:col>12</xdr:col>
      <xdr:colOff>916780</xdr:colOff>
      <xdr:row>88</xdr:row>
      <xdr:rowOff>192201</xdr:rowOff>
    </xdr:to>
    <xdr:cxnSp macro="">
      <xdr:nvCxnSpPr>
        <xdr:cNvPr id="19" name="Straight Connector 18"/>
        <xdr:cNvCxnSpPr/>
      </xdr:nvCxnSpPr>
      <xdr:spPr>
        <a:xfrm flipV="1">
          <a:off x="7349218" y="1659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87</xdr:row>
      <xdr:rowOff>18714</xdr:rowOff>
    </xdr:from>
    <xdr:to>
      <xdr:col>15</xdr:col>
      <xdr:colOff>887864</xdr:colOff>
      <xdr:row>88</xdr:row>
      <xdr:rowOff>190500</xdr:rowOff>
    </xdr:to>
    <xdr:cxnSp macro="">
      <xdr:nvCxnSpPr>
        <xdr:cNvPr id="20" name="Straight Connector 19"/>
        <xdr:cNvCxnSpPr/>
      </xdr:nvCxnSpPr>
      <xdr:spPr>
        <a:xfrm flipV="1">
          <a:off x="9171214" y="16592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89</xdr:row>
      <xdr:rowOff>13608</xdr:rowOff>
    </xdr:from>
    <xdr:to>
      <xdr:col>12</xdr:col>
      <xdr:colOff>27214</xdr:colOff>
      <xdr:row>90</xdr:row>
      <xdr:rowOff>190502</xdr:rowOff>
    </xdr:to>
    <xdr:cxnSp macro="">
      <xdr:nvCxnSpPr>
        <xdr:cNvPr id="21" name="Straight Connector 20"/>
        <xdr:cNvCxnSpPr/>
      </xdr:nvCxnSpPr>
      <xdr:spPr>
        <a:xfrm flipV="1">
          <a:off x="6787242" y="1696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89</xdr:row>
      <xdr:rowOff>13608</xdr:rowOff>
    </xdr:from>
    <xdr:to>
      <xdr:col>11</xdr:col>
      <xdr:colOff>51026</xdr:colOff>
      <xdr:row>91</xdr:row>
      <xdr:rowOff>0</xdr:rowOff>
    </xdr:to>
    <xdr:cxnSp macro="">
      <xdr:nvCxnSpPr>
        <xdr:cNvPr id="22" name="Straight Connector 21"/>
        <xdr:cNvCxnSpPr/>
      </xdr:nvCxnSpPr>
      <xdr:spPr>
        <a:xfrm flipV="1">
          <a:off x="6109607" y="16968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89</xdr:row>
      <xdr:rowOff>17011</xdr:rowOff>
    </xdr:from>
    <xdr:to>
      <xdr:col>12</xdr:col>
      <xdr:colOff>916780</xdr:colOff>
      <xdr:row>90</xdr:row>
      <xdr:rowOff>192201</xdr:rowOff>
    </xdr:to>
    <xdr:cxnSp macro="">
      <xdr:nvCxnSpPr>
        <xdr:cNvPr id="23" name="Straight Connector 22"/>
        <xdr:cNvCxnSpPr/>
      </xdr:nvCxnSpPr>
      <xdr:spPr>
        <a:xfrm flipV="1">
          <a:off x="7349218" y="1697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89</xdr:row>
      <xdr:rowOff>18714</xdr:rowOff>
    </xdr:from>
    <xdr:to>
      <xdr:col>15</xdr:col>
      <xdr:colOff>887864</xdr:colOff>
      <xdr:row>90</xdr:row>
      <xdr:rowOff>190500</xdr:rowOff>
    </xdr:to>
    <xdr:cxnSp macro="">
      <xdr:nvCxnSpPr>
        <xdr:cNvPr id="24" name="Straight Connector 23"/>
        <xdr:cNvCxnSpPr/>
      </xdr:nvCxnSpPr>
      <xdr:spPr>
        <a:xfrm flipV="1">
          <a:off x="9171214" y="16973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25" name="Straight Connector 24"/>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26" name="Straight Connector 25"/>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27" name="Straight Connector 26"/>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28" name="Straight Connector 27"/>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29" name="Straight Connector 28"/>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30" name="Straight Connector 29"/>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1" name="Straight Connector 30"/>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32" name="Straight Connector 31"/>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96</xdr:row>
      <xdr:rowOff>13608</xdr:rowOff>
    </xdr:from>
    <xdr:to>
      <xdr:col>12</xdr:col>
      <xdr:colOff>27214</xdr:colOff>
      <xdr:row>97</xdr:row>
      <xdr:rowOff>190502</xdr:rowOff>
    </xdr:to>
    <xdr:cxnSp macro="">
      <xdr:nvCxnSpPr>
        <xdr:cNvPr id="33" name="Straight Connector 32"/>
        <xdr:cNvCxnSpPr/>
      </xdr:nvCxnSpPr>
      <xdr:spPr>
        <a:xfrm flipV="1">
          <a:off x="6787242" y="1830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96</xdr:row>
      <xdr:rowOff>13608</xdr:rowOff>
    </xdr:from>
    <xdr:to>
      <xdr:col>11</xdr:col>
      <xdr:colOff>51026</xdr:colOff>
      <xdr:row>98</xdr:row>
      <xdr:rowOff>0</xdr:rowOff>
    </xdr:to>
    <xdr:cxnSp macro="">
      <xdr:nvCxnSpPr>
        <xdr:cNvPr id="34" name="Straight Connector 33"/>
        <xdr:cNvCxnSpPr/>
      </xdr:nvCxnSpPr>
      <xdr:spPr>
        <a:xfrm flipV="1">
          <a:off x="6109607" y="18301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96</xdr:row>
      <xdr:rowOff>17011</xdr:rowOff>
    </xdr:from>
    <xdr:to>
      <xdr:col>12</xdr:col>
      <xdr:colOff>916780</xdr:colOff>
      <xdr:row>97</xdr:row>
      <xdr:rowOff>192201</xdr:rowOff>
    </xdr:to>
    <xdr:cxnSp macro="">
      <xdr:nvCxnSpPr>
        <xdr:cNvPr id="35" name="Straight Connector 34"/>
        <xdr:cNvCxnSpPr/>
      </xdr:nvCxnSpPr>
      <xdr:spPr>
        <a:xfrm flipV="1">
          <a:off x="7349218" y="1830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96</xdr:row>
      <xdr:rowOff>18714</xdr:rowOff>
    </xdr:from>
    <xdr:to>
      <xdr:col>15</xdr:col>
      <xdr:colOff>887864</xdr:colOff>
      <xdr:row>97</xdr:row>
      <xdr:rowOff>190500</xdr:rowOff>
    </xdr:to>
    <xdr:cxnSp macro="">
      <xdr:nvCxnSpPr>
        <xdr:cNvPr id="36" name="Straight Connector 35"/>
        <xdr:cNvCxnSpPr/>
      </xdr:nvCxnSpPr>
      <xdr:spPr>
        <a:xfrm flipV="1">
          <a:off x="9171214" y="18306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98</xdr:row>
      <xdr:rowOff>13608</xdr:rowOff>
    </xdr:from>
    <xdr:to>
      <xdr:col>12</xdr:col>
      <xdr:colOff>27214</xdr:colOff>
      <xdr:row>99</xdr:row>
      <xdr:rowOff>190502</xdr:rowOff>
    </xdr:to>
    <xdr:cxnSp macro="">
      <xdr:nvCxnSpPr>
        <xdr:cNvPr id="37" name="Straight Connector 36"/>
        <xdr:cNvCxnSpPr/>
      </xdr:nvCxnSpPr>
      <xdr:spPr>
        <a:xfrm flipV="1">
          <a:off x="6787242" y="1868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98</xdr:row>
      <xdr:rowOff>13608</xdr:rowOff>
    </xdr:from>
    <xdr:to>
      <xdr:col>11</xdr:col>
      <xdr:colOff>51026</xdr:colOff>
      <xdr:row>100</xdr:row>
      <xdr:rowOff>0</xdr:rowOff>
    </xdr:to>
    <xdr:cxnSp macro="">
      <xdr:nvCxnSpPr>
        <xdr:cNvPr id="38" name="Straight Connector 37"/>
        <xdr:cNvCxnSpPr/>
      </xdr:nvCxnSpPr>
      <xdr:spPr>
        <a:xfrm flipV="1">
          <a:off x="6109607" y="18682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98</xdr:row>
      <xdr:rowOff>17011</xdr:rowOff>
    </xdr:from>
    <xdr:to>
      <xdr:col>12</xdr:col>
      <xdr:colOff>916780</xdr:colOff>
      <xdr:row>99</xdr:row>
      <xdr:rowOff>192201</xdr:rowOff>
    </xdr:to>
    <xdr:cxnSp macro="">
      <xdr:nvCxnSpPr>
        <xdr:cNvPr id="39" name="Straight Connector 38"/>
        <xdr:cNvCxnSpPr/>
      </xdr:nvCxnSpPr>
      <xdr:spPr>
        <a:xfrm flipV="1">
          <a:off x="7349218" y="1868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98</xdr:row>
      <xdr:rowOff>3</xdr:rowOff>
    </xdr:from>
    <xdr:to>
      <xdr:col>15</xdr:col>
      <xdr:colOff>40822</xdr:colOff>
      <xdr:row>99</xdr:row>
      <xdr:rowOff>149679</xdr:rowOff>
    </xdr:to>
    <xdr:cxnSp macro="">
      <xdr:nvCxnSpPr>
        <xdr:cNvPr id="40" name="Straight Connector 39"/>
        <xdr:cNvCxnSpPr/>
      </xdr:nvCxnSpPr>
      <xdr:spPr>
        <a:xfrm flipV="1">
          <a:off x="8571820" y="18669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98</xdr:row>
      <xdr:rowOff>18714</xdr:rowOff>
    </xdr:from>
    <xdr:to>
      <xdr:col>15</xdr:col>
      <xdr:colOff>887864</xdr:colOff>
      <xdr:row>99</xdr:row>
      <xdr:rowOff>190500</xdr:rowOff>
    </xdr:to>
    <xdr:cxnSp macro="">
      <xdr:nvCxnSpPr>
        <xdr:cNvPr id="41" name="Straight Connector 40"/>
        <xdr:cNvCxnSpPr/>
      </xdr:nvCxnSpPr>
      <xdr:spPr>
        <a:xfrm flipV="1">
          <a:off x="9171214" y="18687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42" name="Straight Connector 41"/>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43" name="Straight Connector 42"/>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44" name="Straight Connector 43"/>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45" name="Straight Connector 44"/>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46" name="Straight Connector 45"/>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47" name="Straight Connector 46"/>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48" name="Straight Connector 47"/>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49" name="Straight Connector 48"/>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105</xdr:row>
      <xdr:rowOff>13608</xdr:rowOff>
    </xdr:from>
    <xdr:to>
      <xdr:col>12</xdr:col>
      <xdr:colOff>27214</xdr:colOff>
      <xdr:row>106</xdr:row>
      <xdr:rowOff>190502</xdr:rowOff>
    </xdr:to>
    <xdr:cxnSp macro="">
      <xdr:nvCxnSpPr>
        <xdr:cNvPr id="50" name="Straight Connector 49"/>
        <xdr:cNvCxnSpPr/>
      </xdr:nvCxnSpPr>
      <xdr:spPr>
        <a:xfrm flipV="1">
          <a:off x="6787242" y="2001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105</xdr:row>
      <xdr:rowOff>13608</xdr:rowOff>
    </xdr:from>
    <xdr:to>
      <xdr:col>11</xdr:col>
      <xdr:colOff>51026</xdr:colOff>
      <xdr:row>107</xdr:row>
      <xdr:rowOff>0</xdr:rowOff>
    </xdr:to>
    <xdr:cxnSp macro="">
      <xdr:nvCxnSpPr>
        <xdr:cNvPr id="51" name="Straight Connector 50"/>
        <xdr:cNvCxnSpPr/>
      </xdr:nvCxnSpPr>
      <xdr:spPr>
        <a:xfrm flipV="1">
          <a:off x="6109607" y="2001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105</xdr:row>
      <xdr:rowOff>17011</xdr:rowOff>
    </xdr:from>
    <xdr:to>
      <xdr:col>12</xdr:col>
      <xdr:colOff>916780</xdr:colOff>
      <xdr:row>106</xdr:row>
      <xdr:rowOff>192201</xdr:rowOff>
    </xdr:to>
    <xdr:cxnSp macro="">
      <xdr:nvCxnSpPr>
        <xdr:cNvPr id="52" name="Straight Connector 51"/>
        <xdr:cNvCxnSpPr/>
      </xdr:nvCxnSpPr>
      <xdr:spPr>
        <a:xfrm flipV="1">
          <a:off x="7349218" y="2001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105</xdr:row>
      <xdr:rowOff>3</xdr:rowOff>
    </xdr:from>
    <xdr:to>
      <xdr:col>15</xdr:col>
      <xdr:colOff>40822</xdr:colOff>
      <xdr:row>106</xdr:row>
      <xdr:rowOff>149679</xdr:rowOff>
    </xdr:to>
    <xdr:cxnSp macro="">
      <xdr:nvCxnSpPr>
        <xdr:cNvPr id="53" name="Straight Connector 52"/>
        <xdr:cNvCxnSpPr/>
      </xdr:nvCxnSpPr>
      <xdr:spPr>
        <a:xfrm flipV="1">
          <a:off x="8571820" y="20002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105</xdr:row>
      <xdr:rowOff>18714</xdr:rowOff>
    </xdr:from>
    <xdr:to>
      <xdr:col>15</xdr:col>
      <xdr:colOff>887864</xdr:colOff>
      <xdr:row>106</xdr:row>
      <xdr:rowOff>190500</xdr:rowOff>
    </xdr:to>
    <xdr:cxnSp macro="">
      <xdr:nvCxnSpPr>
        <xdr:cNvPr id="54" name="Straight Connector 53"/>
        <xdr:cNvCxnSpPr/>
      </xdr:nvCxnSpPr>
      <xdr:spPr>
        <a:xfrm flipV="1">
          <a:off x="9171214" y="2002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107</xdr:row>
      <xdr:rowOff>13608</xdr:rowOff>
    </xdr:from>
    <xdr:to>
      <xdr:col>12</xdr:col>
      <xdr:colOff>27214</xdr:colOff>
      <xdr:row>108</xdr:row>
      <xdr:rowOff>190502</xdr:rowOff>
    </xdr:to>
    <xdr:cxnSp macro="">
      <xdr:nvCxnSpPr>
        <xdr:cNvPr id="55" name="Straight Connector 54"/>
        <xdr:cNvCxnSpPr/>
      </xdr:nvCxnSpPr>
      <xdr:spPr>
        <a:xfrm flipV="1">
          <a:off x="6787242" y="2039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107</xdr:row>
      <xdr:rowOff>13608</xdr:rowOff>
    </xdr:from>
    <xdr:to>
      <xdr:col>11</xdr:col>
      <xdr:colOff>51026</xdr:colOff>
      <xdr:row>109</xdr:row>
      <xdr:rowOff>0</xdr:rowOff>
    </xdr:to>
    <xdr:cxnSp macro="">
      <xdr:nvCxnSpPr>
        <xdr:cNvPr id="56" name="Straight Connector 55"/>
        <xdr:cNvCxnSpPr/>
      </xdr:nvCxnSpPr>
      <xdr:spPr>
        <a:xfrm flipV="1">
          <a:off x="6109607" y="20397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107</xdr:row>
      <xdr:rowOff>17011</xdr:rowOff>
    </xdr:from>
    <xdr:to>
      <xdr:col>12</xdr:col>
      <xdr:colOff>916780</xdr:colOff>
      <xdr:row>108</xdr:row>
      <xdr:rowOff>192201</xdr:rowOff>
    </xdr:to>
    <xdr:cxnSp macro="">
      <xdr:nvCxnSpPr>
        <xdr:cNvPr id="57" name="Straight Connector 56"/>
        <xdr:cNvCxnSpPr/>
      </xdr:nvCxnSpPr>
      <xdr:spPr>
        <a:xfrm flipV="1">
          <a:off x="7349218" y="2040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107</xdr:row>
      <xdr:rowOff>3</xdr:rowOff>
    </xdr:from>
    <xdr:to>
      <xdr:col>15</xdr:col>
      <xdr:colOff>40822</xdr:colOff>
      <xdr:row>108</xdr:row>
      <xdr:rowOff>149679</xdr:rowOff>
    </xdr:to>
    <xdr:cxnSp macro="">
      <xdr:nvCxnSpPr>
        <xdr:cNvPr id="58" name="Straight Connector 57"/>
        <xdr:cNvCxnSpPr/>
      </xdr:nvCxnSpPr>
      <xdr:spPr>
        <a:xfrm flipV="1">
          <a:off x="8571820" y="20383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107</xdr:row>
      <xdr:rowOff>18714</xdr:rowOff>
    </xdr:from>
    <xdr:to>
      <xdr:col>15</xdr:col>
      <xdr:colOff>887864</xdr:colOff>
      <xdr:row>108</xdr:row>
      <xdr:rowOff>190500</xdr:rowOff>
    </xdr:to>
    <xdr:cxnSp macro="">
      <xdr:nvCxnSpPr>
        <xdr:cNvPr id="59" name="Straight Connector 58"/>
        <xdr:cNvCxnSpPr/>
      </xdr:nvCxnSpPr>
      <xdr:spPr>
        <a:xfrm flipV="1">
          <a:off x="9171214" y="20402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60" name="Straight Connector 59"/>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61" name="Straight Connector 60"/>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62" name="Straight Connector 61"/>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83</xdr:row>
      <xdr:rowOff>40825</xdr:rowOff>
    </xdr:from>
    <xdr:to>
      <xdr:col>15</xdr:col>
      <xdr:colOff>54429</xdr:colOff>
      <xdr:row>84</xdr:row>
      <xdr:rowOff>190501</xdr:rowOff>
    </xdr:to>
    <xdr:cxnSp macro="">
      <xdr:nvCxnSpPr>
        <xdr:cNvPr id="63" name="Straight Connector 62"/>
        <xdr:cNvCxnSpPr/>
      </xdr:nvCxnSpPr>
      <xdr:spPr>
        <a:xfrm flipV="1">
          <a:off x="8585427" y="15852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64" name="Straight Connector 63"/>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65" name="Straight Connector 64"/>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66" name="Straight Connector 65"/>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67" name="Straight Connector 66"/>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68" name="Straight Connector 67"/>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69" name="Straight Connector 68"/>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70" name="Straight Connector 69"/>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71" name="Straight Connector 70"/>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72" name="Straight Connector 71"/>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103</xdr:row>
      <xdr:rowOff>17010</xdr:rowOff>
    </xdr:from>
    <xdr:to>
      <xdr:col>14</xdr:col>
      <xdr:colOff>903173</xdr:colOff>
      <xdr:row>104</xdr:row>
      <xdr:rowOff>192200</xdr:rowOff>
    </xdr:to>
    <xdr:cxnSp macro="">
      <xdr:nvCxnSpPr>
        <xdr:cNvPr id="73" name="Straight Connector 72"/>
        <xdr:cNvCxnSpPr/>
      </xdr:nvCxnSpPr>
      <xdr:spPr>
        <a:xfrm flipV="1">
          <a:off x="8554811" y="19638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96</xdr:row>
      <xdr:rowOff>3404</xdr:rowOff>
    </xdr:from>
    <xdr:to>
      <xdr:col>15</xdr:col>
      <xdr:colOff>5101</xdr:colOff>
      <xdr:row>97</xdr:row>
      <xdr:rowOff>178593</xdr:rowOff>
    </xdr:to>
    <xdr:cxnSp macro="">
      <xdr:nvCxnSpPr>
        <xdr:cNvPr id="74" name="Straight Connector 73"/>
        <xdr:cNvCxnSpPr/>
      </xdr:nvCxnSpPr>
      <xdr:spPr>
        <a:xfrm flipV="1">
          <a:off x="8582025" y="18291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94</xdr:row>
      <xdr:rowOff>17011</xdr:rowOff>
    </xdr:from>
    <xdr:to>
      <xdr:col>15</xdr:col>
      <xdr:colOff>5101</xdr:colOff>
      <xdr:row>95</xdr:row>
      <xdr:rowOff>192201</xdr:rowOff>
    </xdr:to>
    <xdr:cxnSp macro="">
      <xdr:nvCxnSpPr>
        <xdr:cNvPr id="75" name="Straight Connector 74"/>
        <xdr:cNvCxnSpPr/>
      </xdr:nvCxnSpPr>
      <xdr:spPr>
        <a:xfrm flipV="1">
          <a:off x="8582025" y="17924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92</xdr:row>
      <xdr:rowOff>17011</xdr:rowOff>
    </xdr:from>
    <xdr:to>
      <xdr:col>14</xdr:col>
      <xdr:colOff>916780</xdr:colOff>
      <xdr:row>93</xdr:row>
      <xdr:rowOff>192201</xdr:rowOff>
    </xdr:to>
    <xdr:cxnSp macro="">
      <xdr:nvCxnSpPr>
        <xdr:cNvPr id="76" name="Straight Connector 75"/>
        <xdr:cNvCxnSpPr/>
      </xdr:nvCxnSpPr>
      <xdr:spPr>
        <a:xfrm flipV="1">
          <a:off x="85684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89</xdr:row>
      <xdr:rowOff>17011</xdr:rowOff>
    </xdr:from>
    <xdr:to>
      <xdr:col>15</xdr:col>
      <xdr:colOff>32315</xdr:colOff>
      <xdr:row>90</xdr:row>
      <xdr:rowOff>192201</xdr:rowOff>
    </xdr:to>
    <xdr:cxnSp macro="">
      <xdr:nvCxnSpPr>
        <xdr:cNvPr id="77" name="Straight Connector 76"/>
        <xdr:cNvCxnSpPr/>
      </xdr:nvCxnSpPr>
      <xdr:spPr>
        <a:xfrm flipV="1">
          <a:off x="8609239" y="16971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87</xdr:row>
      <xdr:rowOff>17011</xdr:rowOff>
    </xdr:from>
    <xdr:to>
      <xdr:col>15</xdr:col>
      <xdr:colOff>32315</xdr:colOff>
      <xdr:row>88</xdr:row>
      <xdr:rowOff>192201</xdr:rowOff>
    </xdr:to>
    <xdr:cxnSp macro="">
      <xdr:nvCxnSpPr>
        <xdr:cNvPr id="78" name="Straight Connector 77"/>
        <xdr:cNvCxnSpPr/>
      </xdr:nvCxnSpPr>
      <xdr:spPr>
        <a:xfrm flipV="1">
          <a:off x="8609239" y="16590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85</xdr:row>
      <xdr:rowOff>3403</xdr:rowOff>
    </xdr:from>
    <xdr:to>
      <xdr:col>15</xdr:col>
      <xdr:colOff>18708</xdr:colOff>
      <xdr:row>86</xdr:row>
      <xdr:rowOff>178593</xdr:rowOff>
    </xdr:to>
    <xdr:cxnSp macro="">
      <xdr:nvCxnSpPr>
        <xdr:cNvPr id="79" name="Straight Connector 78"/>
        <xdr:cNvCxnSpPr/>
      </xdr:nvCxnSpPr>
      <xdr:spPr>
        <a:xfrm flipV="1">
          <a:off x="8595632" y="16195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80" name="Straight Connector 79"/>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81" name="Straight Connector 80"/>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82" name="Straight Connector 81"/>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83" name="Straight Connector 82"/>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84" name="Straight Connector 83"/>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66</xdr:row>
      <xdr:rowOff>27214</xdr:rowOff>
    </xdr:from>
    <xdr:to>
      <xdr:col>15</xdr:col>
      <xdr:colOff>898072</xdr:colOff>
      <xdr:row>67</xdr:row>
      <xdr:rowOff>149678</xdr:rowOff>
    </xdr:to>
    <xdr:cxnSp macro="">
      <xdr:nvCxnSpPr>
        <xdr:cNvPr id="85" name="Straight Connector 84"/>
        <xdr:cNvCxnSpPr/>
      </xdr:nvCxnSpPr>
      <xdr:spPr>
        <a:xfrm flipV="1">
          <a:off x="9171214" y="12600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66</xdr:row>
      <xdr:rowOff>13607</xdr:rowOff>
    </xdr:from>
    <xdr:to>
      <xdr:col>10</xdr:col>
      <xdr:colOff>911677</xdr:colOff>
      <xdr:row>68</xdr:row>
      <xdr:rowOff>0</xdr:rowOff>
    </xdr:to>
    <xdr:cxnSp macro="">
      <xdr:nvCxnSpPr>
        <xdr:cNvPr id="86" name="Straight Connector 85"/>
        <xdr:cNvCxnSpPr/>
      </xdr:nvCxnSpPr>
      <xdr:spPr>
        <a:xfrm flipV="1">
          <a:off x="6109607" y="12586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66</xdr:row>
      <xdr:rowOff>13608</xdr:rowOff>
    </xdr:from>
    <xdr:to>
      <xdr:col>12</xdr:col>
      <xdr:colOff>27214</xdr:colOff>
      <xdr:row>67</xdr:row>
      <xdr:rowOff>190502</xdr:rowOff>
    </xdr:to>
    <xdr:cxnSp macro="">
      <xdr:nvCxnSpPr>
        <xdr:cNvPr id="87" name="Straight Connector 86"/>
        <xdr:cNvCxnSpPr/>
      </xdr:nvCxnSpPr>
      <xdr:spPr>
        <a:xfrm flipV="1">
          <a:off x="6787242" y="1258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66</xdr:row>
      <xdr:rowOff>17011</xdr:rowOff>
    </xdr:from>
    <xdr:to>
      <xdr:col>12</xdr:col>
      <xdr:colOff>916780</xdr:colOff>
      <xdr:row>67</xdr:row>
      <xdr:rowOff>192201</xdr:rowOff>
    </xdr:to>
    <xdr:cxnSp macro="">
      <xdr:nvCxnSpPr>
        <xdr:cNvPr id="88" name="Straight Connector 87"/>
        <xdr:cNvCxnSpPr/>
      </xdr:nvCxnSpPr>
      <xdr:spPr>
        <a:xfrm flipV="1">
          <a:off x="7349218" y="1259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66</xdr:row>
      <xdr:rowOff>54428</xdr:rowOff>
    </xdr:from>
    <xdr:to>
      <xdr:col>14</xdr:col>
      <xdr:colOff>884463</xdr:colOff>
      <xdr:row>67</xdr:row>
      <xdr:rowOff>163285</xdr:rowOff>
    </xdr:to>
    <xdr:cxnSp macro="">
      <xdr:nvCxnSpPr>
        <xdr:cNvPr id="89" name="Straight Connector 88"/>
        <xdr:cNvCxnSpPr/>
      </xdr:nvCxnSpPr>
      <xdr:spPr>
        <a:xfrm flipV="1">
          <a:off x="8537119" y="12627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81</xdr:row>
      <xdr:rowOff>13610</xdr:rowOff>
    </xdr:from>
    <xdr:to>
      <xdr:col>15</xdr:col>
      <xdr:colOff>54429</xdr:colOff>
      <xdr:row>82</xdr:row>
      <xdr:rowOff>163286</xdr:rowOff>
    </xdr:to>
    <xdr:cxnSp macro="">
      <xdr:nvCxnSpPr>
        <xdr:cNvPr id="90" name="Straight Connector 89"/>
        <xdr:cNvCxnSpPr/>
      </xdr:nvCxnSpPr>
      <xdr:spPr>
        <a:xfrm flipV="1">
          <a:off x="8585427" y="15444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49</xdr:row>
      <xdr:rowOff>13607</xdr:rowOff>
    </xdr:from>
    <xdr:to>
      <xdr:col>10</xdr:col>
      <xdr:colOff>911677</xdr:colOff>
      <xdr:row>51</xdr:row>
      <xdr:rowOff>0</xdr:rowOff>
    </xdr:to>
    <xdr:cxnSp macro="">
      <xdr:nvCxnSpPr>
        <xdr:cNvPr id="91" name="Straight Connector 90"/>
        <xdr:cNvCxnSpPr/>
      </xdr:nvCxnSpPr>
      <xdr:spPr>
        <a:xfrm flipV="1">
          <a:off x="6109607" y="9348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49</xdr:row>
      <xdr:rowOff>13608</xdr:rowOff>
    </xdr:from>
    <xdr:to>
      <xdr:col>12</xdr:col>
      <xdr:colOff>27214</xdr:colOff>
      <xdr:row>50</xdr:row>
      <xdr:rowOff>190502</xdr:rowOff>
    </xdr:to>
    <xdr:cxnSp macro="">
      <xdr:nvCxnSpPr>
        <xdr:cNvPr id="92" name="Straight Connector 91"/>
        <xdr:cNvCxnSpPr/>
      </xdr:nvCxnSpPr>
      <xdr:spPr>
        <a:xfrm flipV="1">
          <a:off x="6787242" y="934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49</xdr:row>
      <xdr:rowOff>17011</xdr:rowOff>
    </xdr:from>
    <xdr:to>
      <xdr:col>12</xdr:col>
      <xdr:colOff>916780</xdr:colOff>
      <xdr:row>50</xdr:row>
      <xdr:rowOff>192201</xdr:rowOff>
    </xdr:to>
    <xdr:cxnSp macro="">
      <xdr:nvCxnSpPr>
        <xdr:cNvPr id="93" name="Straight Connector 92"/>
        <xdr:cNvCxnSpPr/>
      </xdr:nvCxnSpPr>
      <xdr:spPr>
        <a:xfrm flipV="1">
          <a:off x="7349218" y="935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49</xdr:row>
      <xdr:rowOff>54428</xdr:rowOff>
    </xdr:from>
    <xdr:to>
      <xdr:col>14</xdr:col>
      <xdr:colOff>884463</xdr:colOff>
      <xdr:row>50</xdr:row>
      <xdr:rowOff>163285</xdr:rowOff>
    </xdr:to>
    <xdr:cxnSp macro="">
      <xdr:nvCxnSpPr>
        <xdr:cNvPr id="94" name="Straight Connector 93"/>
        <xdr:cNvCxnSpPr/>
      </xdr:nvCxnSpPr>
      <xdr:spPr>
        <a:xfrm flipV="1">
          <a:off x="8537119" y="9388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53</xdr:row>
      <xdr:rowOff>27214</xdr:rowOff>
    </xdr:from>
    <xdr:to>
      <xdr:col>15</xdr:col>
      <xdr:colOff>898072</xdr:colOff>
      <xdr:row>54</xdr:row>
      <xdr:rowOff>149678</xdr:rowOff>
    </xdr:to>
    <xdr:cxnSp macro="">
      <xdr:nvCxnSpPr>
        <xdr:cNvPr id="95" name="Straight Connector 94"/>
        <xdr:cNvCxnSpPr/>
      </xdr:nvCxnSpPr>
      <xdr:spPr>
        <a:xfrm flipV="1">
          <a:off x="9171214" y="10123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53</xdr:row>
      <xdr:rowOff>13607</xdr:rowOff>
    </xdr:from>
    <xdr:to>
      <xdr:col>10</xdr:col>
      <xdr:colOff>911677</xdr:colOff>
      <xdr:row>55</xdr:row>
      <xdr:rowOff>0</xdr:rowOff>
    </xdr:to>
    <xdr:cxnSp macro="">
      <xdr:nvCxnSpPr>
        <xdr:cNvPr id="96" name="Straight Connector 95"/>
        <xdr:cNvCxnSpPr/>
      </xdr:nvCxnSpPr>
      <xdr:spPr>
        <a:xfrm flipV="1">
          <a:off x="6109607" y="10110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53</xdr:row>
      <xdr:rowOff>13608</xdr:rowOff>
    </xdr:from>
    <xdr:to>
      <xdr:col>12</xdr:col>
      <xdr:colOff>27214</xdr:colOff>
      <xdr:row>54</xdr:row>
      <xdr:rowOff>190502</xdr:rowOff>
    </xdr:to>
    <xdr:cxnSp macro="">
      <xdr:nvCxnSpPr>
        <xdr:cNvPr id="97" name="Straight Connector 96"/>
        <xdr:cNvCxnSpPr/>
      </xdr:nvCxnSpPr>
      <xdr:spPr>
        <a:xfrm flipV="1">
          <a:off x="6787242" y="10110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53</xdr:row>
      <xdr:rowOff>17011</xdr:rowOff>
    </xdr:from>
    <xdr:to>
      <xdr:col>12</xdr:col>
      <xdr:colOff>916780</xdr:colOff>
      <xdr:row>54</xdr:row>
      <xdr:rowOff>192201</xdr:rowOff>
    </xdr:to>
    <xdr:cxnSp macro="">
      <xdr:nvCxnSpPr>
        <xdr:cNvPr id="98" name="Straight Connector 97"/>
        <xdr:cNvCxnSpPr/>
      </xdr:nvCxnSpPr>
      <xdr:spPr>
        <a:xfrm flipV="1">
          <a:off x="7349218" y="10113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53</xdr:row>
      <xdr:rowOff>54428</xdr:rowOff>
    </xdr:from>
    <xdr:to>
      <xdr:col>14</xdr:col>
      <xdr:colOff>884463</xdr:colOff>
      <xdr:row>54</xdr:row>
      <xdr:rowOff>163285</xdr:rowOff>
    </xdr:to>
    <xdr:cxnSp macro="">
      <xdr:nvCxnSpPr>
        <xdr:cNvPr id="99" name="Straight Connector 98"/>
        <xdr:cNvCxnSpPr/>
      </xdr:nvCxnSpPr>
      <xdr:spPr>
        <a:xfrm flipV="1">
          <a:off x="8537119" y="10150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51</xdr:row>
      <xdr:rowOff>27214</xdr:rowOff>
    </xdr:from>
    <xdr:to>
      <xdr:col>15</xdr:col>
      <xdr:colOff>898072</xdr:colOff>
      <xdr:row>52</xdr:row>
      <xdr:rowOff>149678</xdr:rowOff>
    </xdr:to>
    <xdr:cxnSp macro="">
      <xdr:nvCxnSpPr>
        <xdr:cNvPr id="100" name="Straight Connector 99"/>
        <xdr:cNvCxnSpPr/>
      </xdr:nvCxnSpPr>
      <xdr:spPr>
        <a:xfrm flipV="1">
          <a:off x="9171214" y="9742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51</xdr:row>
      <xdr:rowOff>13607</xdr:rowOff>
    </xdr:from>
    <xdr:to>
      <xdr:col>10</xdr:col>
      <xdr:colOff>911677</xdr:colOff>
      <xdr:row>53</xdr:row>
      <xdr:rowOff>0</xdr:rowOff>
    </xdr:to>
    <xdr:cxnSp macro="">
      <xdr:nvCxnSpPr>
        <xdr:cNvPr id="101" name="Straight Connector 100"/>
        <xdr:cNvCxnSpPr/>
      </xdr:nvCxnSpPr>
      <xdr:spPr>
        <a:xfrm flipV="1">
          <a:off x="6109607" y="9729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51</xdr:row>
      <xdr:rowOff>13608</xdr:rowOff>
    </xdr:from>
    <xdr:to>
      <xdr:col>12</xdr:col>
      <xdr:colOff>27214</xdr:colOff>
      <xdr:row>52</xdr:row>
      <xdr:rowOff>190502</xdr:rowOff>
    </xdr:to>
    <xdr:cxnSp macro="">
      <xdr:nvCxnSpPr>
        <xdr:cNvPr id="102" name="Straight Connector 101"/>
        <xdr:cNvCxnSpPr/>
      </xdr:nvCxnSpPr>
      <xdr:spPr>
        <a:xfrm flipV="1">
          <a:off x="6787242" y="9729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51</xdr:row>
      <xdr:rowOff>17011</xdr:rowOff>
    </xdr:from>
    <xdr:to>
      <xdr:col>12</xdr:col>
      <xdr:colOff>916780</xdr:colOff>
      <xdr:row>52</xdr:row>
      <xdr:rowOff>192201</xdr:rowOff>
    </xdr:to>
    <xdr:cxnSp macro="">
      <xdr:nvCxnSpPr>
        <xdr:cNvPr id="103" name="Straight Connector 102"/>
        <xdr:cNvCxnSpPr/>
      </xdr:nvCxnSpPr>
      <xdr:spPr>
        <a:xfrm flipV="1">
          <a:off x="7349218" y="9732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51</xdr:row>
      <xdr:rowOff>54428</xdr:rowOff>
    </xdr:from>
    <xdr:to>
      <xdr:col>14</xdr:col>
      <xdr:colOff>884463</xdr:colOff>
      <xdr:row>52</xdr:row>
      <xdr:rowOff>163285</xdr:rowOff>
    </xdr:to>
    <xdr:cxnSp macro="">
      <xdr:nvCxnSpPr>
        <xdr:cNvPr id="104" name="Straight Connector 103"/>
        <xdr:cNvCxnSpPr/>
      </xdr:nvCxnSpPr>
      <xdr:spPr>
        <a:xfrm flipV="1">
          <a:off x="8537119" y="9769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112</xdr:row>
      <xdr:rowOff>0</xdr:rowOff>
    </xdr:from>
    <xdr:ext cx="17150072" cy="3743326"/>
    <xdr:pic>
      <xdr:nvPicPr>
        <xdr:cNvPr id="105" name="Picture 104"/>
        <xdr:cNvPicPr>
          <a:picLocks noChangeAspect="1" noChangeArrowheads="1"/>
          <a:extLst/>
        </xdr:cNvPicPr>
      </xdr:nvPicPr>
      <xdr:blipFill>
        <a:blip xmlns:r="http://schemas.openxmlformats.org/officeDocument/2006/relationships" r:embed="rId1"/>
        <a:srcRect/>
        <a:stretch>
          <a:fillRect/>
        </a:stretch>
      </xdr:blipFill>
      <xdr:spPr bwMode="auto">
        <a:xfrm>
          <a:off x="609600" y="21336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128</xdr:row>
      <xdr:rowOff>176894</xdr:rowOff>
    </xdr:from>
    <xdr:ext cx="18008063" cy="3743325"/>
    <xdr:pic>
      <xdr:nvPicPr>
        <xdr:cNvPr id="106" name="Picture 105"/>
        <xdr:cNvPicPr>
          <a:picLocks noChangeAspect="1" noChangeArrowheads="1"/>
          <a:extLst/>
        </xdr:cNvPicPr>
      </xdr:nvPicPr>
      <xdr:blipFill>
        <a:blip xmlns:r="http://schemas.openxmlformats.org/officeDocument/2006/relationships" r:embed="rId2"/>
        <a:srcRect/>
        <a:stretch>
          <a:fillRect/>
        </a:stretch>
      </xdr:blipFill>
      <xdr:spPr bwMode="auto">
        <a:xfrm>
          <a:off x="621846" y="24560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38</xdr:row>
      <xdr:rowOff>13608</xdr:rowOff>
    </xdr:from>
    <xdr:to>
      <xdr:col>12</xdr:col>
      <xdr:colOff>27214</xdr:colOff>
      <xdr:row>39</xdr:row>
      <xdr:rowOff>190502</xdr:rowOff>
    </xdr:to>
    <xdr:cxnSp macro="">
      <xdr:nvCxnSpPr>
        <xdr:cNvPr id="107" name="Straight Connector 106"/>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108" name="Straight Connector 107"/>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38</xdr:row>
      <xdr:rowOff>0</xdr:rowOff>
    </xdr:from>
    <xdr:to>
      <xdr:col>15</xdr:col>
      <xdr:colOff>0</xdr:colOff>
      <xdr:row>39</xdr:row>
      <xdr:rowOff>190501</xdr:rowOff>
    </xdr:to>
    <xdr:cxnSp macro="">
      <xdr:nvCxnSpPr>
        <xdr:cNvPr id="109" name="Straight Connector 108"/>
        <xdr:cNvCxnSpPr/>
      </xdr:nvCxnSpPr>
      <xdr:spPr>
        <a:xfrm flipV="1">
          <a:off x="8533039" y="7239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110" name="Straight Connector 109"/>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38</xdr:row>
      <xdr:rowOff>13607</xdr:rowOff>
    </xdr:from>
    <xdr:to>
      <xdr:col>16</xdr:col>
      <xdr:colOff>0</xdr:colOff>
      <xdr:row>40</xdr:row>
      <xdr:rowOff>0</xdr:rowOff>
    </xdr:to>
    <xdr:cxnSp macro="">
      <xdr:nvCxnSpPr>
        <xdr:cNvPr id="111" name="Straight Connector 110"/>
        <xdr:cNvCxnSpPr/>
      </xdr:nvCxnSpPr>
      <xdr:spPr>
        <a:xfrm flipV="1">
          <a:off x="9171214" y="7252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58</xdr:row>
      <xdr:rowOff>40821</xdr:rowOff>
    </xdr:from>
    <xdr:to>
      <xdr:col>15</xdr:col>
      <xdr:colOff>952500</xdr:colOff>
      <xdr:row>59</xdr:row>
      <xdr:rowOff>163285</xdr:rowOff>
    </xdr:to>
    <xdr:cxnSp macro="">
      <xdr:nvCxnSpPr>
        <xdr:cNvPr id="112" name="Straight Connector 111"/>
        <xdr:cNvCxnSpPr/>
      </xdr:nvCxnSpPr>
      <xdr:spPr>
        <a:xfrm flipV="1">
          <a:off x="9225642" y="11089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13" name="Straight Connector 112"/>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14" name="Straight Connector 113"/>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15" name="Straight Connector 114"/>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16" name="Straight Connector 115"/>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117" name="Straight Connector 116"/>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118" name="Straight Connector 117"/>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119" name="Straight Connector 118"/>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120" name="Straight Connector 119"/>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121" name="Straight Connector 120"/>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62</xdr:row>
      <xdr:rowOff>27214</xdr:rowOff>
    </xdr:from>
    <xdr:to>
      <xdr:col>15</xdr:col>
      <xdr:colOff>898072</xdr:colOff>
      <xdr:row>63</xdr:row>
      <xdr:rowOff>149678</xdr:rowOff>
    </xdr:to>
    <xdr:cxnSp macro="">
      <xdr:nvCxnSpPr>
        <xdr:cNvPr id="122" name="Straight Connector 121"/>
        <xdr:cNvCxnSpPr/>
      </xdr:nvCxnSpPr>
      <xdr:spPr>
        <a:xfrm flipV="1">
          <a:off x="9171214" y="11838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62</xdr:row>
      <xdr:rowOff>13607</xdr:rowOff>
    </xdr:from>
    <xdr:to>
      <xdr:col>10</xdr:col>
      <xdr:colOff>911677</xdr:colOff>
      <xdr:row>64</xdr:row>
      <xdr:rowOff>0</xdr:rowOff>
    </xdr:to>
    <xdr:cxnSp macro="">
      <xdr:nvCxnSpPr>
        <xdr:cNvPr id="123" name="Straight Connector 122"/>
        <xdr:cNvCxnSpPr/>
      </xdr:nvCxnSpPr>
      <xdr:spPr>
        <a:xfrm flipV="1">
          <a:off x="6109607" y="11824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62</xdr:row>
      <xdr:rowOff>13608</xdr:rowOff>
    </xdr:from>
    <xdr:to>
      <xdr:col>12</xdr:col>
      <xdr:colOff>27214</xdr:colOff>
      <xdr:row>63</xdr:row>
      <xdr:rowOff>190502</xdr:rowOff>
    </xdr:to>
    <xdr:cxnSp macro="">
      <xdr:nvCxnSpPr>
        <xdr:cNvPr id="124" name="Straight Connector 123"/>
        <xdr:cNvCxnSpPr/>
      </xdr:nvCxnSpPr>
      <xdr:spPr>
        <a:xfrm flipV="1">
          <a:off x="6787242" y="1182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62</xdr:row>
      <xdr:rowOff>17011</xdr:rowOff>
    </xdr:from>
    <xdr:to>
      <xdr:col>12</xdr:col>
      <xdr:colOff>916780</xdr:colOff>
      <xdr:row>63</xdr:row>
      <xdr:rowOff>192201</xdr:rowOff>
    </xdr:to>
    <xdr:cxnSp macro="">
      <xdr:nvCxnSpPr>
        <xdr:cNvPr id="125" name="Straight Connector 124"/>
        <xdr:cNvCxnSpPr/>
      </xdr:nvCxnSpPr>
      <xdr:spPr>
        <a:xfrm flipV="1">
          <a:off x="7349218" y="1182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62</xdr:row>
      <xdr:rowOff>54428</xdr:rowOff>
    </xdr:from>
    <xdr:to>
      <xdr:col>14</xdr:col>
      <xdr:colOff>884463</xdr:colOff>
      <xdr:row>63</xdr:row>
      <xdr:rowOff>163285</xdr:rowOff>
    </xdr:to>
    <xdr:cxnSp macro="">
      <xdr:nvCxnSpPr>
        <xdr:cNvPr id="126" name="Straight Connector 125"/>
        <xdr:cNvCxnSpPr/>
      </xdr:nvCxnSpPr>
      <xdr:spPr>
        <a:xfrm flipV="1">
          <a:off x="8537119" y="11865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64</xdr:row>
      <xdr:rowOff>27214</xdr:rowOff>
    </xdr:from>
    <xdr:to>
      <xdr:col>15</xdr:col>
      <xdr:colOff>898072</xdr:colOff>
      <xdr:row>65</xdr:row>
      <xdr:rowOff>149678</xdr:rowOff>
    </xdr:to>
    <xdr:cxnSp macro="">
      <xdr:nvCxnSpPr>
        <xdr:cNvPr id="127" name="Straight Connector 126"/>
        <xdr:cNvCxnSpPr/>
      </xdr:nvCxnSpPr>
      <xdr:spPr>
        <a:xfrm flipV="1">
          <a:off x="9171214" y="12219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64</xdr:row>
      <xdr:rowOff>13607</xdr:rowOff>
    </xdr:from>
    <xdr:to>
      <xdr:col>10</xdr:col>
      <xdr:colOff>911677</xdr:colOff>
      <xdr:row>66</xdr:row>
      <xdr:rowOff>0</xdr:rowOff>
    </xdr:to>
    <xdr:cxnSp macro="">
      <xdr:nvCxnSpPr>
        <xdr:cNvPr id="128" name="Straight Connector 127"/>
        <xdr:cNvCxnSpPr/>
      </xdr:nvCxnSpPr>
      <xdr:spPr>
        <a:xfrm flipV="1">
          <a:off x="6109607" y="12205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64</xdr:row>
      <xdr:rowOff>13608</xdr:rowOff>
    </xdr:from>
    <xdr:to>
      <xdr:col>12</xdr:col>
      <xdr:colOff>27214</xdr:colOff>
      <xdr:row>65</xdr:row>
      <xdr:rowOff>190502</xdr:rowOff>
    </xdr:to>
    <xdr:cxnSp macro="">
      <xdr:nvCxnSpPr>
        <xdr:cNvPr id="129" name="Straight Connector 128"/>
        <xdr:cNvCxnSpPr/>
      </xdr:nvCxnSpPr>
      <xdr:spPr>
        <a:xfrm flipV="1">
          <a:off x="6787242" y="1220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64</xdr:row>
      <xdr:rowOff>17011</xdr:rowOff>
    </xdr:from>
    <xdr:to>
      <xdr:col>12</xdr:col>
      <xdr:colOff>916780</xdr:colOff>
      <xdr:row>65</xdr:row>
      <xdr:rowOff>192201</xdr:rowOff>
    </xdr:to>
    <xdr:cxnSp macro="">
      <xdr:nvCxnSpPr>
        <xdr:cNvPr id="130" name="Straight Connector 129"/>
        <xdr:cNvCxnSpPr/>
      </xdr:nvCxnSpPr>
      <xdr:spPr>
        <a:xfrm flipV="1">
          <a:off x="7349218" y="1220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64</xdr:row>
      <xdr:rowOff>54428</xdr:rowOff>
    </xdr:from>
    <xdr:to>
      <xdr:col>14</xdr:col>
      <xdr:colOff>884463</xdr:colOff>
      <xdr:row>65</xdr:row>
      <xdr:rowOff>163285</xdr:rowOff>
    </xdr:to>
    <xdr:cxnSp macro="">
      <xdr:nvCxnSpPr>
        <xdr:cNvPr id="131" name="Straight Connector 130"/>
        <xdr:cNvCxnSpPr/>
      </xdr:nvCxnSpPr>
      <xdr:spPr>
        <a:xfrm flipV="1">
          <a:off x="8537119" y="12246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49</xdr:row>
      <xdr:rowOff>27216</xdr:rowOff>
    </xdr:from>
    <xdr:to>
      <xdr:col>16</xdr:col>
      <xdr:colOff>27215</xdr:colOff>
      <xdr:row>50</xdr:row>
      <xdr:rowOff>176893</xdr:rowOff>
    </xdr:to>
    <xdr:cxnSp macro="">
      <xdr:nvCxnSpPr>
        <xdr:cNvPr id="132" name="Straight Connector 131"/>
        <xdr:cNvCxnSpPr/>
      </xdr:nvCxnSpPr>
      <xdr:spPr>
        <a:xfrm flipV="1">
          <a:off x="9198428" y="9361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898070</xdr:colOff>
      <xdr:row>41</xdr:row>
      <xdr:rowOff>176892</xdr:rowOff>
    </xdr:from>
    <xdr:to>
      <xdr:col>14</xdr:col>
      <xdr:colOff>911679</xdr:colOff>
      <xdr:row>42</xdr:row>
      <xdr:rowOff>0</xdr:rowOff>
    </xdr:to>
    <xdr:cxnSp macro="">
      <xdr:nvCxnSpPr>
        <xdr:cNvPr id="133" name="Straight Connector 132"/>
        <xdr:cNvCxnSpPr/>
      </xdr:nvCxnSpPr>
      <xdr:spPr>
        <a:xfrm flipV="1">
          <a:off x="8537120" y="7987392"/>
          <a:ext cx="604159" cy="136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134" name="Straight Connector 133"/>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35" name="Straight Connector 134"/>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136" name="Straight Connector 135"/>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32</xdr:row>
      <xdr:rowOff>13609</xdr:rowOff>
    </xdr:from>
    <xdr:to>
      <xdr:col>10</xdr:col>
      <xdr:colOff>911678</xdr:colOff>
      <xdr:row>33</xdr:row>
      <xdr:rowOff>190501</xdr:rowOff>
    </xdr:to>
    <xdr:cxnSp macro="">
      <xdr:nvCxnSpPr>
        <xdr:cNvPr id="137" name="Straight Connector 136"/>
        <xdr:cNvCxnSpPr/>
      </xdr:nvCxnSpPr>
      <xdr:spPr>
        <a:xfrm flipV="1">
          <a:off x="6109607" y="6109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138" name="Straight Connector 137"/>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40</xdr:row>
      <xdr:rowOff>13608</xdr:rowOff>
    </xdr:from>
    <xdr:to>
      <xdr:col>12</xdr:col>
      <xdr:colOff>27214</xdr:colOff>
      <xdr:row>41</xdr:row>
      <xdr:rowOff>190500</xdr:rowOff>
    </xdr:to>
    <xdr:cxnSp macro="">
      <xdr:nvCxnSpPr>
        <xdr:cNvPr id="139" name="Straight Connector 138"/>
        <xdr:cNvCxnSpPr/>
      </xdr:nvCxnSpPr>
      <xdr:spPr>
        <a:xfrm flipV="1">
          <a:off x="6732814" y="7633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140" name="Straight Connector 139"/>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39</xdr:row>
      <xdr:rowOff>190500</xdr:rowOff>
    </xdr:from>
    <xdr:to>
      <xdr:col>15</xdr:col>
      <xdr:colOff>27214</xdr:colOff>
      <xdr:row>41</xdr:row>
      <xdr:rowOff>176894</xdr:rowOff>
    </xdr:to>
    <xdr:cxnSp macro="">
      <xdr:nvCxnSpPr>
        <xdr:cNvPr id="141" name="Straight Connector 140"/>
        <xdr:cNvCxnSpPr/>
      </xdr:nvCxnSpPr>
      <xdr:spPr>
        <a:xfrm flipV="1">
          <a:off x="8561614" y="7620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40</xdr:row>
      <xdr:rowOff>0</xdr:rowOff>
    </xdr:from>
    <xdr:to>
      <xdr:col>11</xdr:col>
      <xdr:colOff>13607</xdr:colOff>
      <xdr:row>41</xdr:row>
      <xdr:rowOff>176892</xdr:rowOff>
    </xdr:to>
    <xdr:cxnSp macro="">
      <xdr:nvCxnSpPr>
        <xdr:cNvPr id="142" name="Straight Connector 141"/>
        <xdr:cNvCxnSpPr/>
      </xdr:nvCxnSpPr>
      <xdr:spPr>
        <a:xfrm flipV="1">
          <a:off x="6123215" y="7620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40</xdr:row>
      <xdr:rowOff>0</xdr:rowOff>
    </xdr:from>
    <xdr:to>
      <xdr:col>15</xdr:col>
      <xdr:colOff>952500</xdr:colOff>
      <xdr:row>41</xdr:row>
      <xdr:rowOff>190501</xdr:rowOff>
    </xdr:to>
    <xdr:cxnSp macro="">
      <xdr:nvCxnSpPr>
        <xdr:cNvPr id="143" name="Straight Connector 142"/>
        <xdr:cNvCxnSpPr/>
      </xdr:nvCxnSpPr>
      <xdr:spPr>
        <a:xfrm flipV="1">
          <a:off x="9141279" y="7620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144" name="Straight Connector 143"/>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45" name="Straight Connector 144"/>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36</xdr:row>
      <xdr:rowOff>40821</xdr:rowOff>
    </xdr:from>
    <xdr:to>
      <xdr:col>14</xdr:col>
      <xdr:colOff>911678</xdr:colOff>
      <xdr:row>37</xdr:row>
      <xdr:rowOff>149677</xdr:rowOff>
    </xdr:to>
    <xdr:cxnSp macro="">
      <xdr:nvCxnSpPr>
        <xdr:cNvPr id="146" name="Straight Connector 145"/>
        <xdr:cNvCxnSpPr/>
      </xdr:nvCxnSpPr>
      <xdr:spPr>
        <a:xfrm flipV="1">
          <a:off x="8561613" y="689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27216</xdr:rowOff>
    </xdr:from>
    <xdr:to>
      <xdr:col>10</xdr:col>
      <xdr:colOff>898071</xdr:colOff>
      <xdr:row>38</xdr:row>
      <xdr:rowOff>0</xdr:rowOff>
    </xdr:to>
    <xdr:cxnSp macro="">
      <xdr:nvCxnSpPr>
        <xdr:cNvPr id="147" name="Straight Connector 146"/>
        <xdr:cNvCxnSpPr/>
      </xdr:nvCxnSpPr>
      <xdr:spPr>
        <a:xfrm flipV="1">
          <a:off x="6096000" y="6885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148" name="Straight Connector 147"/>
        <xdr:cNvCxnSpPr/>
      </xdr:nvCxnSpPr>
      <xdr:spPr>
        <a:xfrm flipV="1">
          <a:off x="9198428" y="688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14</xdr:row>
      <xdr:rowOff>13608</xdr:rowOff>
    </xdr:from>
    <xdr:to>
      <xdr:col>12</xdr:col>
      <xdr:colOff>27214</xdr:colOff>
      <xdr:row>15</xdr:row>
      <xdr:rowOff>190502</xdr:rowOff>
    </xdr:to>
    <xdr:cxnSp macro="">
      <xdr:nvCxnSpPr>
        <xdr:cNvPr id="149" name="Straight Connector 148"/>
        <xdr:cNvCxnSpPr/>
      </xdr:nvCxnSpPr>
      <xdr:spPr>
        <a:xfrm flipV="1">
          <a:off x="6787242" y="268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50" name="Straight Connector 149"/>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51" name="Straight Connector 150"/>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14</xdr:row>
      <xdr:rowOff>2</xdr:rowOff>
    </xdr:from>
    <xdr:to>
      <xdr:col>11</xdr:col>
      <xdr:colOff>40820</xdr:colOff>
      <xdr:row>15</xdr:row>
      <xdr:rowOff>176893</xdr:rowOff>
    </xdr:to>
    <xdr:cxnSp macro="">
      <xdr:nvCxnSpPr>
        <xdr:cNvPr id="152" name="Straight Connector 151"/>
        <xdr:cNvCxnSpPr/>
      </xdr:nvCxnSpPr>
      <xdr:spPr>
        <a:xfrm flipV="1">
          <a:off x="6164035" y="2667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53" name="Straight Connector 152"/>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54" name="Straight Connector 153"/>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55" name="Straight Connector 154"/>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56" name="Straight Connector 155"/>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13609</xdr:rowOff>
    </xdr:from>
    <xdr:to>
      <xdr:col>11</xdr:col>
      <xdr:colOff>40820</xdr:colOff>
      <xdr:row>7</xdr:row>
      <xdr:rowOff>190500</xdr:rowOff>
    </xdr:to>
    <xdr:cxnSp macro="">
      <xdr:nvCxnSpPr>
        <xdr:cNvPr id="157" name="Straight Connector 156"/>
        <xdr:cNvCxnSpPr/>
      </xdr:nvCxnSpPr>
      <xdr:spPr>
        <a:xfrm flipV="1">
          <a:off x="6164035" y="1156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58" name="Straight Connector 157"/>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59" name="Straight Connector 158"/>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60" name="Straight Connector 159"/>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61" name="Straight Connector 160"/>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62" name="Straight Connector 161"/>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63" name="Straight Connector 162"/>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164" name="Straight Connector 163"/>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65" name="Straight Connector 164"/>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66" name="Straight Connector 165"/>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167" name="Straight Connector 166"/>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68" name="Straight Connector 167"/>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30</xdr:row>
      <xdr:rowOff>13609</xdr:rowOff>
    </xdr:from>
    <xdr:to>
      <xdr:col>12</xdr:col>
      <xdr:colOff>27214</xdr:colOff>
      <xdr:row>32</xdr:row>
      <xdr:rowOff>0</xdr:rowOff>
    </xdr:to>
    <xdr:cxnSp macro="">
      <xdr:nvCxnSpPr>
        <xdr:cNvPr id="169" name="Straight Connector 168"/>
        <xdr:cNvCxnSpPr/>
      </xdr:nvCxnSpPr>
      <xdr:spPr>
        <a:xfrm flipV="1">
          <a:off x="6719207" y="5728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70" name="Straight Connector 169"/>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71" name="Straight Connector 170"/>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30</xdr:row>
      <xdr:rowOff>2</xdr:rowOff>
    </xdr:from>
    <xdr:to>
      <xdr:col>11</xdr:col>
      <xdr:colOff>40820</xdr:colOff>
      <xdr:row>32</xdr:row>
      <xdr:rowOff>0</xdr:rowOff>
    </xdr:to>
    <xdr:cxnSp macro="">
      <xdr:nvCxnSpPr>
        <xdr:cNvPr id="172" name="Straight Connector 171"/>
        <xdr:cNvCxnSpPr/>
      </xdr:nvCxnSpPr>
      <xdr:spPr>
        <a:xfrm flipV="1">
          <a:off x="6109607" y="5715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73" name="Straight Connector 172"/>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74" name="Straight Connector 173"/>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75" name="Straight Connector 174"/>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76" name="Straight Connector 175"/>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177" name="Straight Connector 176"/>
        <xdr:cNvCxnSpPr/>
      </xdr:nvCxnSpPr>
      <xdr:spPr>
        <a:xfrm flipV="1">
          <a:off x="6109607" y="3048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78" name="Straight Connector 177"/>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79" name="Straight Connector 178"/>
        <xdr:cNvCxnSpPr/>
      </xdr:nvCxnSpPr>
      <xdr:spPr>
        <a:xfrm flipV="1">
          <a:off x="6719207" y="3442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80" name="Straight Connector 179"/>
        <xdr:cNvCxnSpPr/>
      </xdr:nvCxnSpPr>
      <xdr:spPr>
        <a:xfrm flipV="1">
          <a:off x="7349218" y="3446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81" name="Straight Connector 180"/>
        <xdr:cNvCxnSpPr/>
      </xdr:nvCxnSpPr>
      <xdr:spPr>
        <a:xfrm flipV="1">
          <a:off x="8561613" y="3469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82" name="Straight Connector 181"/>
        <xdr:cNvCxnSpPr/>
      </xdr:nvCxnSpPr>
      <xdr:spPr>
        <a:xfrm flipV="1">
          <a:off x="6109607" y="3429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83" name="Straight Connector 182"/>
        <xdr:cNvCxnSpPr/>
      </xdr:nvCxnSpPr>
      <xdr:spPr>
        <a:xfrm flipV="1">
          <a:off x="9198428" y="3456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84" name="Straight Connector 18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85" name="Straight Connector 18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86" name="Straight Connector 18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87" name="Straight Connector 186"/>
        <xdr:cNvCxnSpPr/>
      </xdr:nvCxnSpPr>
      <xdr:spPr>
        <a:xfrm flipV="1">
          <a:off x="6164035" y="1524002"/>
          <a:ext cx="582385"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88" name="Straight Connector 18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46</xdr:row>
      <xdr:rowOff>13608</xdr:rowOff>
    </xdr:from>
    <xdr:to>
      <xdr:col>12</xdr:col>
      <xdr:colOff>27214</xdr:colOff>
      <xdr:row>47</xdr:row>
      <xdr:rowOff>190502</xdr:rowOff>
    </xdr:to>
    <xdr:cxnSp macro="">
      <xdr:nvCxnSpPr>
        <xdr:cNvPr id="189" name="Straight Connector 188"/>
        <xdr:cNvCxnSpPr/>
      </xdr:nvCxnSpPr>
      <xdr:spPr>
        <a:xfrm flipV="1">
          <a:off x="6787242" y="877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46</xdr:row>
      <xdr:rowOff>17011</xdr:rowOff>
    </xdr:from>
    <xdr:to>
      <xdr:col>12</xdr:col>
      <xdr:colOff>916780</xdr:colOff>
      <xdr:row>47</xdr:row>
      <xdr:rowOff>192201</xdr:rowOff>
    </xdr:to>
    <xdr:cxnSp macro="">
      <xdr:nvCxnSpPr>
        <xdr:cNvPr id="190" name="Straight Connector 189"/>
        <xdr:cNvCxnSpPr/>
      </xdr:nvCxnSpPr>
      <xdr:spPr>
        <a:xfrm flipV="1">
          <a:off x="7349218" y="878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46</xdr:row>
      <xdr:rowOff>40821</xdr:rowOff>
    </xdr:from>
    <xdr:to>
      <xdr:col>14</xdr:col>
      <xdr:colOff>911678</xdr:colOff>
      <xdr:row>47</xdr:row>
      <xdr:rowOff>149677</xdr:rowOff>
    </xdr:to>
    <xdr:cxnSp macro="">
      <xdr:nvCxnSpPr>
        <xdr:cNvPr id="191" name="Straight Connector 190"/>
        <xdr:cNvCxnSpPr/>
      </xdr:nvCxnSpPr>
      <xdr:spPr>
        <a:xfrm flipV="1">
          <a:off x="8561613" y="880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46</xdr:row>
      <xdr:rowOff>27215</xdr:rowOff>
    </xdr:from>
    <xdr:to>
      <xdr:col>10</xdr:col>
      <xdr:colOff>911678</xdr:colOff>
      <xdr:row>48</xdr:row>
      <xdr:rowOff>0</xdr:rowOff>
    </xdr:to>
    <xdr:cxnSp macro="">
      <xdr:nvCxnSpPr>
        <xdr:cNvPr id="192" name="Straight Connector 191"/>
        <xdr:cNvCxnSpPr/>
      </xdr:nvCxnSpPr>
      <xdr:spPr>
        <a:xfrm flipV="1">
          <a:off x="6096000" y="8790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46</xdr:row>
      <xdr:rowOff>27216</xdr:rowOff>
    </xdr:from>
    <xdr:to>
      <xdr:col>16</xdr:col>
      <xdr:colOff>27215</xdr:colOff>
      <xdr:row>47</xdr:row>
      <xdr:rowOff>176893</xdr:rowOff>
    </xdr:to>
    <xdr:cxnSp macro="">
      <xdr:nvCxnSpPr>
        <xdr:cNvPr id="193" name="Straight Connector 192"/>
        <xdr:cNvCxnSpPr/>
      </xdr:nvCxnSpPr>
      <xdr:spPr>
        <a:xfrm flipV="1">
          <a:off x="9198428" y="879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94" name="Straight Connector 193"/>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95" name="Straight Connector 194"/>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96" name="Straight Connector 195"/>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97" name="Straight Connector 196"/>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98" name="Straight Connector 197"/>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99" name="Straight Connector 198"/>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00" name="Straight Connector 199"/>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42</xdr:row>
      <xdr:rowOff>13608</xdr:rowOff>
    </xdr:from>
    <xdr:to>
      <xdr:col>12</xdr:col>
      <xdr:colOff>27214</xdr:colOff>
      <xdr:row>43</xdr:row>
      <xdr:rowOff>190502</xdr:rowOff>
    </xdr:to>
    <xdr:cxnSp macro="">
      <xdr:nvCxnSpPr>
        <xdr:cNvPr id="201" name="Straight Connector 200"/>
        <xdr:cNvCxnSpPr/>
      </xdr:nvCxnSpPr>
      <xdr:spPr>
        <a:xfrm flipV="1">
          <a:off x="6787242" y="801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42</xdr:row>
      <xdr:rowOff>17011</xdr:rowOff>
    </xdr:from>
    <xdr:to>
      <xdr:col>12</xdr:col>
      <xdr:colOff>916780</xdr:colOff>
      <xdr:row>43</xdr:row>
      <xdr:rowOff>192201</xdr:rowOff>
    </xdr:to>
    <xdr:cxnSp macro="">
      <xdr:nvCxnSpPr>
        <xdr:cNvPr id="202" name="Straight Connector 201"/>
        <xdr:cNvCxnSpPr/>
      </xdr:nvCxnSpPr>
      <xdr:spPr>
        <a:xfrm flipV="1">
          <a:off x="7349218" y="801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42</xdr:row>
      <xdr:rowOff>40821</xdr:rowOff>
    </xdr:from>
    <xdr:to>
      <xdr:col>14</xdr:col>
      <xdr:colOff>911678</xdr:colOff>
      <xdr:row>43</xdr:row>
      <xdr:rowOff>149677</xdr:rowOff>
    </xdr:to>
    <xdr:cxnSp macro="">
      <xdr:nvCxnSpPr>
        <xdr:cNvPr id="203" name="Straight Connector 202"/>
        <xdr:cNvCxnSpPr/>
      </xdr:nvCxnSpPr>
      <xdr:spPr>
        <a:xfrm flipV="1">
          <a:off x="8561613" y="804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42</xdr:row>
      <xdr:rowOff>27215</xdr:rowOff>
    </xdr:from>
    <xdr:to>
      <xdr:col>10</xdr:col>
      <xdr:colOff>911678</xdr:colOff>
      <xdr:row>44</xdr:row>
      <xdr:rowOff>0</xdr:rowOff>
    </xdr:to>
    <xdr:cxnSp macro="">
      <xdr:nvCxnSpPr>
        <xdr:cNvPr id="204" name="Straight Connector 203"/>
        <xdr:cNvCxnSpPr/>
      </xdr:nvCxnSpPr>
      <xdr:spPr>
        <a:xfrm flipV="1">
          <a:off x="6096000" y="8028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42</xdr:row>
      <xdr:rowOff>27216</xdr:rowOff>
    </xdr:from>
    <xdr:to>
      <xdr:col>16</xdr:col>
      <xdr:colOff>27215</xdr:colOff>
      <xdr:row>43</xdr:row>
      <xdr:rowOff>176893</xdr:rowOff>
    </xdr:to>
    <xdr:cxnSp macro="">
      <xdr:nvCxnSpPr>
        <xdr:cNvPr id="205" name="Straight Connector 204"/>
        <xdr:cNvCxnSpPr/>
      </xdr:nvCxnSpPr>
      <xdr:spPr>
        <a:xfrm flipV="1">
          <a:off x="9198428" y="802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34</xdr:row>
      <xdr:rowOff>13608</xdr:rowOff>
    </xdr:from>
    <xdr:to>
      <xdr:col>12</xdr:col>
      <xdr:colOff>27214</xdr:colOff>
      <xdr:row>35</xdr:row>
      <xdr:rowOff>190502</xdr:rowOff>
    </xdr:to>
    <xdr:cxnSp macro="">
      <xdr:nvCxnSpPr>
        <xdr:cNvPr id="206" name="Straight Connector 205"/>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207" name="Straight Connector 206"/>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34</xdr:row>
      <xdr:rowOff>40821</xdr:rowOff>
    </xdr:from>
    <xdr:to>
      <xdr:col>14</xdr:col>
      <xdr:colOff>911678</xdr:colOff>
      <xdr:row>35</xdr:row>
      <xdr:rowOff>149677</xdr:rowOff>
    </xdr:to>
    <xdr:cxnSp macro="">
      <xdr:nvCxnSpPr>
        <xdr:cNvPr id="208" name="Straight Connector 207"/>
        <xdr:cNvCxnSpPr/>
      </xdr:nvCxnSpPr>
      <xdr:spPr>
        <a:xfrm flipV="1">
          <a:off x="8561613" y="651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27216</xdr:rowOff>
    </xdr:from>
    <xdr:to>
      <xdr:col>10</xdr:col>
      <xdr:colOff>898071</xdr:colOff>
      <xdr:row>36</xdr:row>
      <xdr:rowOff>0</xdr:rowOff>
    </xdr:to>
    <xdr:cxnSp macro="">
      <xdr:nvCxnSpPr>
        <xdr:cNvPr id="209" name="Straight Connector 208"/>
        <xdr:cNvCxnSpPr/>
      </xdr:nvCxnSpPr>
      <xdr:spPr>
        <a:xfrm flipV="1">
          <a:off x="6096000" y="6504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210" name="Straight Connector 209"/>
        <xdr:cNvCxnSpPr/>
      </xdr:nvCxnSpPr>
      <xdr:spPr>
        <a:xfrm flipV="1">
          <a:off x="9198428" y="650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44</xdr:row>
      <xdr:rowOff>13608</xdr:rowOff>
    </xdr:from>
    <xdr:to>
      <xdr:col>12</xdr:col>
      <xdr:colOff>27214</xdr:colOff>
      <xdr:row>45</xdr:row>
      <xdr:rowOff>190502</xdr:rowOff>
    </xdr:to>
    <xdr:cxnSp macro="">
      <xdr:nvCxnSpPr>
        <xdr:cNvPr id="211" name="Straight Connector 210"/>
        <xdr:cNvCxnSpPr/>
      </xdr:nvCxnSpPr>
      <xdr:spPr>
        <a:xfrm flipV="1">
          <a:off x="6787242" y="839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44</xdr:row>
      <xdr:rowOff>17011</xdr:rowOff>
    </xdr:from>
    <xdr:to>
      <xdr:col>12</xdr:col>
      <xdr:colOff>916780</xdr:colOff>
      <xdr:row>45</xdr:row>
      <xdr:rowOff>192201</xdr:rowOff>
    </xdr:to>
    <xdr:cxnSp macro="">
      <xdr:nvCxnSpPr>
        <xdr:cNvPr id="212" name="Straight Connector 211"/>
        <xdr:cNvCxnSpPr/>
      </xdr:nvCxnSpPr>
      <xdr:spPr>
        <a:xfrm flipV="1">
          <a:off x="7349218" y="839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44</xdr:row>
      <xdr:rowOff>40821</xdr:rowOff>
    </xdr:from>
    <xdr:to>
      <xdr:col>14</xdr:col>
      <xdr:colOff>911678</xdr:colOff>
      <xdr:row>45</xdr:row>
      <xdr:rowOff>149677</xdr:rowOff>
    </xdr:to>
    <xdr:cxnSp macro="">
      <xdr:nvCxnSpPr>
        <xdr:cNvPr id="213" name="Straight Connector 212"/>
        <xdr:cNvCxnSpPr/>
      </xdr:nvCxnSpPr>
      <xdr:spPr>
        <a:xfrm flipV="1">
          <a:off x="8561613" y="842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44</xdr:row>
      <xdr:rowOff>27215</xdr:rowOff>
    </xdr:from>
    <xdr:to>
      <xdr:col>10</xdr:col>
      <xdr:colOff>911678</xdr:colOff>
      <xdr:row>46</xdr:row>
      <xdr:rowOff>0</xdr:rowOff>
    </xdr:to>
    <xdr:cxnSp macro="">
      <xdr:nvCxnSpPr>
        <xdr:cNvPr id="214" name="Straight Connector 213"/>
        <xdr:cNvCxnSpPr/>
      </xdr:nvCxnSpPr>
      <xdr:spPr>
        <a:xfrm flipV="1">
          <a:off x="6096000" y="8409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44</xdr:row>
      <xdr:rowOff>27216</xdr:rowOff>
    </xdr:from>
    <xdr:to>
      <xdr:col>16</xdr:col>
      <xdr:colOff>27215</xdr:colOff>
      <xdr:row>45</xdr:row>
      <xdr:rowOff>176893</xdr:rowOff>
    </xdr:to>
    <xdr:cxnSp macro="">
      <xdr:nvCxnSpPr>
        <xdr:cNvPr id="215" name="Straight Connector 214"/>
        <xdr:cNvCxnSpPr/>
      </xdr:nvCxnSpPr>
      <xdr:spPr>
        <a:xfrm flipV="1">
          <a:off x="9198428" y="840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216" name="Straight Connector 215"/>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217" name="Straight Connector 216"/>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218" name="Straight Connector 217"/>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219" name="Straight Connector 218"/>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220" name="Straight Connector 219"/>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221" name="Straight Connector 220"/>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222" name="Straight Connector 221"/>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223" name="Straight Connector 222"/>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224" name="Straight Connector 223"/>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25" name="Straight Connector 224"/>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28</xdr:row>
      <xdr:rowOff>13609</xdr:rowOff>
    </xdr:from>
    <xdr:to>
      <xdr:col>12</xdr:col>
      <xdr:colOff>27214</xdr:colOff>
      <xdr:row>30</xdr:row>
      <xdr:rowOff>0</xdr:rowOff>
    </xdr:to>
    <xdr:cxnSp macro="">
      <xdr:nvCxnSpPr>
        <xdr:cNvPr id="226" name="Straight Connector 225"/>
        <xdr:cNvCxnSpPr/>
      </xdr:nvCxnSpPr>
      <xdr:spPr>
        <a:xfrm flipV="1">
          <a:off x="6719207" y="5347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227" name="Straight Connector 226"/>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228" name="Straight Connector 227"/>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2</xdr:rowOff>
    </xdr:from>
    <xdr:to>
      <xdr:col>11</xdr:col>
      <xdr:colOff>40820</xdr:colOff>
      <xdr:row>30</xdr:row>
      <xdr:rowOff>0</xdr:rowOff>
    </xdr:to>
    <xdr:cxnSp macro="">
      <xdr:nvCxnSpPr>
        <xdr:cNvPr id="229" name="Straight Connector 228"/>
        <xdr:cNvCxnSpPr/>
      </xdr:nvCxnSpPr>
      <xdr:spPr>
        <a:xfrm flipV="1">
          <a:off x="6109607" y="5334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230" name="Straight Connector 229"/>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231" name="Straight Connector 230"/>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232" name="Straight Connector 231"/>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233" name="Straight Connector 232"/>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234" name="Straight Connector 233"/>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35" name="Straight Connector 234"/>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236" name="Straight Connector 235"/>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237" name="Straight Connector 236"/>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238" name="Straight Connector 237"/>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239" name="Straight Connector 238"/>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240" name="Straight Connector 239"/>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11</xdr:col>
      <xdr:colOff>13607</xdr:colOff>
      <xdr:row>72</xdr:row>
      <xdr:rowOff>13608</xdr:rowOff>
    </xdr:from>
    <xdr:to>
      <xdr:col>11</xdr:col>
      <xdr:colOff>898071</xdr:colOff>
      <xdr:row>73</xdr:row>
      <xdr:rowOff>190502</xdr:rowOff>
    </xdr:to>
    <xdr:cxnSp macro="">
      <xdr:nvCxnSpPr>
        <xdr:cNvPr id="2" name="Straight Connector 1"/>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3" name="Straight Connector 2"/>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4" name="Straight Connector 3"/>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72</xdr:row>
      <xdr:rowOff>27214</xdr:rowOff>
    </xdr:from>
    <xdr:to>
      <xdr:col>16</xdr:col>
      <xdr:colOff>0</xdr:colOff>
      <xdr:row>74</xdr:row>
      <xdr:rowOff>0</xdr:rowOff>
    </xdr:to>
    <xdr:cxnSp macro="">
      <xdr:nvCxnSpPr>
        <xdr:cNvPr id="5" name="Straight Connector 4"/>
        <xdr:cNvCxnSpPr/>
      </xdr:nvCxnSpPr>
      <xdr:spPr>
        <a:xfrm flipV="1">
          <a:off x="9144001" y="13743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72</xdr:row>
      <xdr:rowOff>1</xdr:rowOff>
    </xdr:from>
    <xdr:to>
      <xdr:col>11</xdr:col>
      <xdr:colOff>13607</xdr:colOff>
      <xdr:row>73</xdr:row>
      <xdr:rowOff>176895</xdr:rowOff>
    </xdr:to>
    <xdr:cxnSp macro="">
      <xdr:nvCxnSpPr>
        <xdr:cNvPr id="6" name="Straight Connector 5"/>
        <xdr:cNvCxnSpPr/>
      </xdr:nvCxnSpPr>
      <xdr:spPr>
        <a:xfrm flipV="1">
          <a:off x="6150429" y="13716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78</xdr:row>
      <xdr:rowOff>13608</xdr:rowOff>
    </xdr:from>
    <xdr:to>
      <xdr:col>11</xdr:col>
      <xdr:colOff>898071</xdr:colOff>
      <xdr:row>79</xdr:row>
      <xdr:rowOff>190502</xdr:rowOff>
    </xdr:to>
    <xdr:cxnSp macro="">
      <xdr:nvCxnSpPr>
        <xdr:cNvPr id="7" name="Straight Connector 6"/>
        <xdr:cNvCxnSpPr/>
      </xdr:nvCxnSpPr>
      <xdr:spPr>
        <a:xfrm flipV="1">
          <a:off x="6719207" y="14872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78</xdr:row>
      <xdr:rowOff>40824</xdr:rowOff>
    </xdr:from>
    <xdr:to>
      <xdr:col>12</xdr:col>
      <xdr:colOff>898072</xdr:colOff>
      <xdr:row>79</xdr:row>
      <xdr:rowOff>190500</xdr:rowOff>
    </xdr:to>
    <xdr:cxnSp macro="">
      <xdr:nvCxnSpPr>
        <xdr:cNvPr id="8" name="Straight Connector 7"/>
        <xdr:cNvCxnSpPr/>
      </xdr:nvCxnSpPr>
      <xdr:spPr>
        <a:xfrm flipV="1">
          <a:off x="7315200" y="14899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78</xdr:row>
      <xdr:rowOff>40824</xdr:rowOff>
    </xdr:from>
    <xdr:to>
      <xdr:col>14</xdr:col>
      <xdr:colOff>884465</xdr:colOff>
      <xdr:row>79</xdr:row>
      <xdr:rowOff>176893</xdr:rowOff>
    </xdr:to>
    <xdr:cxnSp macro="">
      <xdr:nvCxnSpPr>
        <xdr:cNvPr id="9" name="Straight Connector 8"/>
        <xdr:cNvCxnSpPr/>
      </xdr:nvCxnSpPr>
      <xdr:spPr>
        <a:xfrm flipV="1">
          <a:off x="8561614" y="14899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78</xdr:row>
      <xdr:rowOff>13608</xdr:rowOff>
    </xdr:from>
    <xdr:to>
      <xdr:col>10</xdr:col>
      <xdr:colOff>884464</xdr:colOff>
      <xdr:row>80</xdr:row>
      <xdr:rowOff>0</xdr:rowOff>
    </xdr:to>
    <xdr:cxnSp macro="">
      <xdr:nvCxnSpPr>
        <xdr:cNvPr id="10" name="Straight Connector 9"/>
        <xdr:cNvCxnSpPr/>
      </xdr:nvCxnSpPr>
      <xdr:spPr>
        <a:xfrm flipV="1">
          <a:off x="6097361" y="14872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74</xdr:row>
      <xdr:rowOff>13608</xdr:rowOff>
    </xdr:from>
    <xdr:to>
      <xdr:col>11</xdr:col>
      <xdr:colOff>898071</xdr:colOff>
      <xdr:row>75</xdr:row>
      <xdr:rowOff>190502</xdr:rowOff>
    </xdr:to>
    <xdr:cxnSp macro="">
      <xdr:nvCxnSpPr>
        <xdr:cNvPr id="11" name="Straight Connector 10"/>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12" name="Straight Connector 11"/>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13" name="Straight Connector 12"/>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74</xdr:row>
      <xdr:rowOff>13608</xdr:rowOff>
    </xdr:from>
    <xdr:to>
      <xdr:col>10</xdr:col>
      <xdr:colOff>884464</xdr:colOff>
      <xdr:row>76</xdr:row>
      <xdr:rowOff>0</xdr:rowOff>
    </xdr:to>
    <xdr:cxnSp macro="">
      <xdr:nvCxnSpPr>
        <xdr:cNvPr id="14" name="Straight Connector 13"/>
        <xdr:cNvCxnSpPr/>
      </xdr:nvCxnSpPr>
      <xdr:spPr>
        <a:xfrm flipV="1">
          <a:off x="6097361" y="14110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74</xdr:row>
      <xdr:rowOff>27217</xdr:rowOff>
    </xdr:from>
    <xdr:to>
      <xdr:col>15</xdr:col>
      <xdr:colOff>938894</xdr:colOff>
      <xdr:row>75</xdr:row>
      <xdr:rowOff>201083</xdr:rowOff>
    </xdr:to>
    <xdr:cxnSp macro="">
      <xdr:nvCxnSpPr>
        <xdr:cNvPr id="15" name="Straight Connector 14"/>
        <xdr:cNvCxnSpPr/>
      </xdr:nvCxnSpPr>
      <xdr:spPr>
        <a:xfrm flipV="1">
          <a:off x="9154584" y="14124217"/>
          <a:ext cx="594935" cy="35484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87</xdr:row>
      <xdr:rowOff>13608</xdr:rowOff>
    </xdr:from>
    <xdr:to>
      <xdr:col>12</xdr:col>
      <xdr:colOff>27214</xdr:colOff>
      <xdr:row>88</xdr:row>
      <xdr:rowOff>190502</xdr:rowOff>
    </xdr:to>
    <xdr:cxnSp macro="">
      <xdr:nvCxnSpPr>
        <xdr:cNvPr id="16" name="Straight Connector 15"/>
        <xdr:cNvCxnSpPr/>
      </xdr:nvCxnSpPr>
      <xdr:spPr>
        <a:xfrm flipV="1">
          <a:off x="6787242" y="1658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87</xdr:row>
      <xdr:rowOff>13608</xdr:rowOff>
    </xdr:from>
    <xdr:to>
      <xdr:col>11</xdr:col>
      <xdr:colOff>51026</xdr:colOff>
      <xdr:row>89</xdr:row>
      <xdr:rowOff>0</xdr:rowOff>
    </xdr:to>
    <xdr:cxnSp macro="">
      <xdr:nvCxnSpPr>
        <xdr:cNvPr id="17" name="Straight Connector 16"/>
        <xdr:cNvCxnSpPr/>
      </xdr:nvCxnSpPr>
      <xdr:spPr>
        <a:xfrm flipV="1">
          <a:off x="6109607" y="16587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87</xdr:row>
      <xdr:rowOff>17011</xdr:rowOff>
    </xdr:from>
    <xdr:to>
      <xdr:col>12</xdr:col>
      <xdr:colOff>916780</xdr:colOff>
      <xdr:row>88</xdr:row>
      <xdr:rowOff>192201</xdr:rowOff>
    </xdr:to>
    <xdr:cxnSp macro="">
      <xdr:nvCxnSpPr>
        <xdr:cNvPr id="18" name="Straight Connector 17"/>
        <xdr:cNvCxnSpPr/>
      </xdr:nvCxnSpPr>
      <xdr:spPr>
        <a:xfrm flipV="1">
          <a:off x="7349218" y="1659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87</xdr:row>
      <xdr:rowOff>18714</xdr:rowOff>
    </xdr:from>
    <xdr:to>
      <xdr:col>15</xdr:col>
      <xdr:colOff>887864</xdr:colOff>
      <xdr:row>88</xdr:row>
      <xdr:rowOff>190500</xdr:rowOff>
    </xdr:to>
    <xdr:cxnSp macro="">
      <xdr:nvCxnSpPr>
        <xdr:cNvPr id="19" name="Straight Connector 18"/>
        <xdr:cNvCxnSpPr/>
      </xdr:nvCxnSpPr>
      <xdr:spPr>
        <a:xfrm flipV="1">
          <a:off x="9171214" y="16592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89</xdr:row>
      <xdr:rowOff>13608</xdr:rowOff>
    </xdr:from>
    <xdr:to>
      <xdr:col>12</xdr:col>
      <xdr:colOff>27214</xdr:colOff>
      <xdr:row>90</xdr:row>
      <xdr:rowOff>190502</xdr:rowOff>
    </xdr:to>
    <xdr:cxnSp macro="">
      <xdr:nvCxnSpPr>
        <xdr:cNvPr id="20" name="Straight Connector 19"/>
        <xdr:cNvCxnSpPr/>
      </xdr:nvCxnSpPr>
      <xdr:spPr>
        <a:xfrm flipV="1">
          <a:off x="6787242" y="1696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89</xdr:row>
      <xdr:rowOff>13608</xdr:rowOff>
    </xdr:from>
    <xdr:to>
      <xdr:col>11</xdr:col>
      <xdr:colOff>51026</xdr:colOff>
      <xdr:row>91</xdr:row>
      <xdr:rowOff>0</xdr:rowOff>
    </xdr:to>
    <xdr:cxnSp macro="">
      <xdr:nvCxnSpPr>
        <xdr:cNvPr id="21" name="Straight Connector 20"/>
        <xdr:cNvCxnSpPr/>
      </xdr:nvCxnSpPr>
      <xdr:spPr>
        <a:xfrm flipV="1">
          <a:off x="6109607" y="16968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89</xdr:row>
      <xdr:rowOff>17011</xdr:rowOff>
    </xdr:from>
    <xdr:to>
      <xdr:col>12</xdr:col>
      <xdr:colOff>916780</xdr:colOff>
      <xdr:row>90</xdr:row>
      <xdr:rowOff>192201</xdr:rowOff>
    </xdr:to>
    <xdr:cxnSp macro="">
      <xdr:nvCxnSpPr>
        <xdr:cNvPr id="22" name="Straight Connector 21"/>
        <xdr:cNvCxnSpPr/>
      </xdr:nvCxnSpPr>
      <xdr:spPr>
        <a:xfrm flipV="1">
          <a:off x="7349218" y="1697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89</xdr:row>
      <xdr:rowOff>18714</xdr:rowOff>
    </xdr:from>
    <xdr:to>
      <xdr:col>15</xdr:col>
      <xdr:colOff>887864</xdr:colOff>
      <xdr:row>90</xdr:row>
      <xdr:rowOff>190500</xdr:rowOff>
    </xdr:to>
    <xdr:cxnSp macro="">
      <xdr:nvCxnSpPr>
        <xdr:cNvPr id="23" name="Straight Connector 22"/>
        <xdr:cNvCxnSpPr/>
      </xdr:nvCxnSpPr>
      <xdr:spPr>
        <a:xfrm flipV="1">
          <a:off x="9171214" y="16973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24" name="Straight Connector 23"/>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25" name="Straight Connector 24"/>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26" name="Straight Connector 25"/>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27" name="Straight Connector 26"/>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28" name="Straight Connector 27"/>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29" name="Straight Connector 28"/>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0" name="Straight Connector 29"/>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31" name="Straight Connector 30"/>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96</xdr:row>
      <xdr:rowOff>13608</xdr:rowOff>
    </xdr:from>
    <xdr:to>
      <xdr:col>12</xdr:col>
      <xdr:colOff>27214</xdr:colOff>
      <xdr:row>97</xdr:row>
      <xdr:rowOff>190502</xdr:rowOff>
    </xdr:to>
    <xdr:cxnSp macro="">
      <xdr:nvCxnSpPr>
        <xdr:cNvPr id="32" name="Straight Connector 31"/>
        <xdr:cNvCxnSpPr/>
      </xdr:nvCxnSpPr>
      <xdr:spPr>
        <a:xfrm flipV="1">
          <a:off x="6787242" y="1830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96</xdr:row>
      <xdr:rowOff>13608</xdr:rowOff>
    </xdr:from>
    <xdr:to>
      <xdr:col>11</xdr:col>
      <xdr:colOff>51026</xdr:colOff>
      <xdr:row>98</xdr:row>
      <xdr:rowOff>0</xdr:rowOff>
    </xdr:to>
    <xdr:cxnSp macro="">
      <xdr:nvCxnSpPr>
        <xdr:cNvPr id="33" name="Straight Connector 32"/>
        <xdr:cNvCxnSpPr/>
      </xdr:nvCxnSpPr>
      <xdr:spPr>
        <a:xfrm flipV="1">
          <a:off x="6109607" y="18301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96</xdr:row>
      <xdr:rowOff>17011</xdr:rowOff>
    </xdr:from>
    <xdr:to>
      <xdr:col>12</xdr:col>
      <xdr:colOff>916780</xdr:colOff>
      <xdr:row>97</xdr:row>
      <xdr:rowOff>192201</xdr:rowOff>
    </xdr:to>
    <xdr:cxnSp macro="">
      <xdr:nvCxnSpPr>
        <xdr:cNvPr id="34" name="Straight Connector 33"/>
        <xdr:cNvCxnSpPr/>
      </xdr:nvCxnSpPr>
      <xdr:spPr>
        <a:xfrm flipV="1">
          <a:off x="7349218" y="1830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96</xdr:row>
      <xdr:rowOff>18714</xdr:rowOff>
    </xdr:from>
    <xdr:to>
      <xdr:col>15</xdr:col>
      <xdr:colOff>887864</xdr:colOff>
      <xdr:row>97</xdr:row>
      <xdr:rowOff>190500</xdr:rowOff>
    </xdr:to>
    <xdr:cxnSp macro="">
      <xdr:nvCxnSpPr>
        <xdr:cNvPr id="35" name="Straight Connector 34"/>
        <xdr:cNvCxnSpPr/>
      </xdr:nvCxnSpPr>
      <xdr:spPr>
        <a:xfrm flipV="1">
          <a:off x="9171214" y="18306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98</xdr:row>
      <xdr:rowOff>13608</xdr:rowOff>
    </xdr:from>
    <xdr:to>
      <xdr:col>12</xdr:col>
      <xdr:colOff>27214</xdr:colOff>
      <xdr:row>99</xdr:row>
      <xdr:rowOff>190502</xdr:rowOff>
    </xdr:to>
    <xdr:cxnSp macro="">
      <xdr:nvCxnSpPr>
        <xdr:cNvPr id="36" name="Straight Connector 35"/>
        <xdr:cNvCxnSpPr/>
      </xdr:nvCxnSpPr>
      <xdr:spPr>
        <a:xfrm flipV="1">
          <a:off x="6787242" y="1868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98</xdr:row>
      <xdr:rowOff>13608</xdr:rowOff>
    </xdr:from>
    <xdr:to>
      <xdr:col>11</xdr:col>
      <xdr:colOff>51026</xdr:colOff>
      <xdr:row>100</xdr:row>
      <xdr:rowOff>0</xdr:rowOff>
    </xdr:to>
    <xdr:cxnSp macro="">
      <xdr:nvCxnSpPr>
        <xdr:cNvPr id="37" name="Straight Connector 36"/>
        <xdr:cNvCxnSpPr/>
      </xdr:nvCxnSpPr>
      <xdr:spPr>
        <a:xfrm flipV="1">
          <a:off x="6109607" y="18682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98</xdr:row>
      <xdr:rowOff>17011</xdr:rowOff>
    </xdr:from>
    <xdr:to>
      <xdr:col>12</xdr:col>
      <xdr:colOff>916780</xdr:colOff>
      <xdr:row>99</xdr:row>
      <xdr:rowOff>192201</xdr:rowOff>
    </xdr:to>
    <xdr:cxnSp macro="">
      <xdr:nvCxnSpPr>
        <xdr:cNvPr id="38" name="Straight Connector 37"/>
        <xdr:cNvCxnSpPr/>
      </xdr:nvCxnSpPr>
      <xdr:spPr>
        <a:xfrm flipV="1">
          <a:off x="7349218" y="1868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98</xdr:row>
      <xdr:rowOff>3</xdr:rowOff>
    </xdr:from>
    <xdr:to>
      <xdr:col>15</xdr:col>
      <xdr:colOff>40822</xdr:colOff>
      <xdr:row>99</xdr:row>
      <xdr:rowOff>149679</xdr:rowOff>
    </xdr:to>
    <xdr:cxnSp macro="">
      <xdr:nvCxnSpPr>
        <xdr:cNvPr id="39" name="Straight Connector 38"/>
        <xdr:cNvCxnSpPr/>
      </xdr:nvCxnSpPr>
      <xdr:spPr>
        <a:xfrm flipV="1">
          <a:off x="8571820" y="18669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98</xdr:row>
      <xdr:rowOff>18714</xdr:rowOff>
    </xdr:from>
    <xdr:to>
      <xdr:col>15</xdr:col>
      <xdr:colOff>887864</xdr:colOff>
      <xdr:row>99</xdr:row>
      <xdr:rowOff>190500</xdr:rowOff>
    </xdr:to>
    <xdr:cxnSp macro="">
      <xdr:nvCxnSpPr>
        <xdr:cNvPr id="40" name="Straight Connector 39"/>
        <xdr:cNvCxnSpPr/>
      </xdr:nvCxnSpPr>
      <xdr:spPr>
        <a:xfrm flipV="1">
          <a:off x="9171214" y="18687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41" name="Straight Connector 40"/>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42" name="Straight Connector 41"/>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43" name="Straight Connector 42"/>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44" name="Straight Connector 43"/>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45" name="Straight Connector 44"/>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46" name="Straight Connector 45"/>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47" name="Straight Connector 46"/>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48" name="Straight Connector 47"/>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105</xdr:row>
      <xdr:rowOff>13608</xdr:rowOff>
    </xdr:from>
    <xdr:to>
      <xdr:col>12</xdr:col>
      <xdr:colOff>27214</xdr:colOff>
      <xdr:row>106</xdr:row>
      <xdr:rowOff>190502</xdr:rowOff>
    </xdr:to>
    <xdr:cxnSp macro="">
      <xdr:nvCxnSpPr>
        <xdr:cNvPr id="49" name="Straight Connector 48"/>
        <xdr:cNvCxnSpPr/>
      </xdr:nvCxnSpPr>
      <xdr:spPr>
        <a:xfrm flipV="1">
          <a:off x="6787242" y="2001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105</xdr:row>
      <xdr:rowOff>13608</xdr:rowOff>
    </xdr:from>
    <xdr:to>
      <xdr:col>11</xdr:col>
      <xdr:colOff>51026</xdr:colOff>
      <xdr:row>107</xdr:row>
      <xdr:rowOff>0</xdr:rowOff>
    </xdr:to>
    <xdr:cxnSp macro="">
      <xdr:nvCxnSpPr>
        <xdr:cNvPr id="50" name="Straight Connector 49"/>
        <xdr:cNvCxnSpPr/>
      </xdr:nvCxnSpPr>
      <xdr:spPr>
        <a:xfrm flipV="1">
          <a:off x="6109607" y="2001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105</xdr:row>
      <xdr:rowOff>17011</xdr:rowOff>
    </xdr:from>
    <xdr:to>
      <xdr:col>12</xdr:col>
      <xdr:colOff>916780</xdr:colOff>
      <xdr:row>106</xdr:row>
      <xdr:rowOff>192201</xdr:rowOff>
    </xdr:to>
    <xdr:cxnSp macro="">
      <xdr:nvCxnSpPr>
        <xdr:cNvPr id="51" name="Straight Connector 50"/>
        <xdr:cNvCxnSpPr/>
      </xdr:nvCxnSpPr>
      <xdr:spPr>
        <a:xfrm flipV="1">
          <a:off x="7349218" y="2001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105</xdr:row>
      <xdr:rowOff>3</xdr:rowOff>
    </xdr:from>
    <xdr:to>
      <xdr:col>15</xdr:col>
      <xdr:colOff>40822</xdr:colOff>
      <xdr:row>106</xdr:row>
      <xdr:rowOff>149679</xdr:rowOff>
    </xdr:to>
    <xdr:cxnSp macro="">
      <xdr:nvCxnSpPr>
        <xdr:cNvPr id="52" name="Straight Connector 51"/>
        <xdr:cNvCxnSpPr/>
      </xdr:nvCxnSpPr>
      <xdr:spPr>
        <a:xfrm flipV="1">
          <a:off x="8571820" y="20002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105</xdr:row>
      <xdr:rowOff>18714</xdr:rowOff>
    </xdr:from>
    <xdr:to>
      <xdr:col>15</xdr:col>
      <xdr:colOff>887864</xdr:colOff>
      <xdr:row>106</xdr:row>
      <xdr:rowOff>190500</xdr:rowOff>
    </xdr:to>
    <xdr:cxnSp macro="">
      <xdr:nvCxnSpPr>
        <xdr:cNvPr id="53" name="Straight Connector 52"/>
        <xdr:cNvCxnSpPr/>
      </xdr:nvCxnSpPr>
      <xdr:spPr>
        <a:xfrm flipV="1">
          <a:off x="9171214" y="2002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107</xdr:row>
      <xdr:rowOff>13608</xdr:rowOff>
    </xdr:from>
    <xdr:to>
      <xdr:col>12</xdr:col>
      <xdr:colOff>27214</xdr:colOff>
      <xdr:row>108</xdr:row>
      <xdr:rowOff>190502</xdr:rowOff>
    </xdr:to>
    <xdr:cxnSp macro="">
      <xdr:nvCxnSpPr>
        <xdr:cNvPr id="54" name="Straight Connector 53"/>
        <xdr:cNvCxnSpPr/>
      </xdr:nvCxnSpPr>
      <xdr:spPr>
        <a:xfrm flipV="1">
          <a:off x="6787242" y="2039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107</xdr:row>
      <xdr:rowOff>13608</xdr:rowOff>
    </xdr:from>
    <xdr:to>
      <xdr:col>11</xdr:col>
      <xdr:colOff>51026</xdr:colOff>
      <xdr:row>109</xdr:row>
      <xdr:rowOff>0</xdr:rowOff>
    </xdr:to>
    <xdr:cxnSp macro="">
      <xdr:nvCxnSpPr>
        <xdr:cNvPr id="55" name="Straight Connector 54"/>
        <xdr:cNvCxnSpPr/>
      </xdr:nvCxnSpPr>
      <xdr:spPr>
        <a:xfrm flipV="1">
          <a:off x="6109607" y="20397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107</xdr:row>
      <xdr:rowOff>17011</xdr:rowOff>
    </xdr:from>
    <xdr:to>
      <xdr:col>12</xdr:col>
      <xdr:colOff>916780</xdr:colOff>
      <xdr:row>108</xdr:row>
      <xdr:rowOff>192201</xdr:rowOff>
    </xdr:to>
    <xdr:cxnSp macro="">
      <xdr:nvCxnSpPr>
        <xdr:cNvPr id="56" name="Straight Connector 55"/>
        <xdr:cNvCxnSpPr/>
      </xdr:nvCxnSpPr>
      <xdr:spPr>
        <a:xfrm flipV="1">
          <a:off x="7349218" y="2040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107</xdr:row>
      <xdr:rowOff>3</xdr:rowOff>
    </xdr:from>
    <xdr:to>
      <xdr:col>15</xdr:col>
      <xdr:colOff>40822</xdr:colOff>
      <xdr:row>108</xdr:row>
      <xdr:rowOff>149679</xdr:rowOff>
    </xdr:to>
    <xdr:cxnSp macro="">
      <xdr:nvCxnSpPr>
        <xdr:cNvPr id="57" name="Straight Connector 56"/>
        <xdr:cNvCxnSpPr/>
      </xdr:nvCxnSpPr>
      <xdr:spPr>
        <a:xfrm flipV="1">
          <a:off x="8571820" y="20383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107</xdr:row>
      <xdr:rowOff>18714</xdr:rowOff>
    </xdr:from>
    <xdr:to>
      <xdr:col>15</xdr:col>
      <xdr:colOff>887864</xdr:colOff>
      <xdr:row>108</xdr:row>
      <xdr:rowOff>190500</xdr:rowOff>
    </xdr:to>
    <xdr:cxnSp macro="">
      <xdr:nvCxnSpPr>
        <xdr:cNvPr id="58" name="Straight Connector 57"/>
        <xdr:cNvCxnSpPr/>
      </xdr:nvCxnSpPr>
      <xdr:spPr>
        <a:xfrm flipV="1">
          <a:off x="9171214" y="20402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59" name="Straight Connector 58"/>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60" name="Straight Connector 59"/>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61" name="Straight Connector 60"/>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83</xdr:row>
      <xdr:rowOff>40825</xdr:rowOff>
    </xdr:from>
    <xdr:to>
      <xdr:col>15</xdr:col>
      <xdr:colOff>54429</xdr:colOff>
      <xdr:row>84</xdr:row>
      <xdr:rowOff>190501</xdr:rowOff>
    </xdr:to>
    <xdr:cxnSp macro="">
      <xdr:nvCxnSpPr>
        <xdr:cNvPr id="62" name="Straight Connector 61"/>
        <xdr:cNvCxnSpPr/>
      </xdr:nvCxnSpPr>
      <xdr:spPr>
        <a:xfrm flipV="1">
          <a:off x="8585427" y="15852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63" name="Straight Connector 62"/>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64" name="Straight Connector 63"/>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65" name="Straight Connector 64"/>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66" name="Straight Connector 65"/>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67" name="Straight Connector 66"/>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68" name="Straight Connector 67"/>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69" name="Straight Connector 68"/>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70" name="Straight Connector 69"/>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71" name="Straight Connector 70"/>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103</xdr:row>
      <xdr:rowOff>17010</xdr:rowOff>
    </xdr:from>
    <xdr:to>
      <xdr:col>14</xdr:col>
      <xdr:colOff>903173</xdr:colOff>
      <xdr:row>104</xdr:row>
      <xdr:rowOff>192200</xdr:rowOff>
    </xdr:to>
    <xdr:cxnSp macro="">
      <xdr:nvCxnSpPr>
        <xdr:cNvPr id="72" name="Straight Connector 71"/>
        <xdr:cNvCxnSpPr/>
      </xdr:nvCxnSpPr>
      <xdr:spPr>
        <a:xfrm flipV="1">
          <a:off x="8554811" y="19638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96</xdr:row>
      <xdr:rowOff>3404</xdr:rowOff>
    </xdr:from>
    <xdr:to>
      <xdr:col>15</xdr:col>
      <xdr:colOff>5101</xdr:colOff>
      <xdr:row>97</xdr:row>
      <xdr:rowOff>178593</xdr:rowOff>
    </xdr:to>
    <xdr:cxnSp macro="">
      <xdr:nvCxnSpPr>
        <xdr:cNvPr id="73" name="Straight Connector 72"/>
        <xdr:cNvCxnSpPr/>
      </xdr:nvCxnSpPr>
      <xdr:spPr>
        <a:xfrm flipV="1">
          <a:off x="8582025" y="18291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94</xdr:row>
      <xdr:rowOff>17011</xdr:rowOff>
    </xdr:from>
    <xdr:to>
      <xdr:col>15</xdr:col>
      <xdr:colOff>5101</xdr:colOff>
      <xdr:row>95</xdr:row>
      <xdr:rowOff>192201</xdr:rowOff>
    </xdr:to>
    <xdr:cxnSp macro="">
      <xdr:nvCxnSpPr>
        <xdr:cNvPr id="74" name="Straight Connector 73"/>
        <xdr:cNvCxnSpPr/>
      </xdr:nvCxnSpPr>
      <xdr:spPr>
        <a:xfrm flipV="1">
          <a:off x="8582025" y="17924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92</xdr:row>
      <xdr:rowOff>17011</xdr:rowOff>
    </xdr:from>
    <xdr:to>
      <xdr:col>14</xdr:col>
      <xdr:colOff>916780</xdr:colOff>
      <xdr:row>93</xdr:row>
      <xdr:rowOff>192201</xdr:rowOff>
    </xdr:to>
    <xdr:cxnSp macro="">
      <xdr:nvCxnSpPr>
        <xdr:cNvPr id="75" name="Straight Connector 74"/>
        <xdr:cNvCxnSpPr/>
      </xdr:nvCxnSpPr>
      <xdr:spPr>
        <a:xfrm flipV="1">
          <a:off x="85684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89</xdr:row>
      <xdr:rowOff>17011</xdr:rowOff>
    </xdr:from>
    <xdr:to>
      <xdr:col>15</xdr:col>
      <xdr:colOff>32315</xdr:colOff>
      <xdr:row>90</xdr:row>
      <xdr:rowOff>192201</xdr:rowOff>
    </xdr:to>
    <xdr:cxnSp macro="">
      <xdr:nvCxnSpPr>
        <xdr:cNvPr id="76" name="Straight Connector 75"/>
        <xdr:cNvCxnSpPr/>
      </xdr:nvCxnSpPr>
      <xdr:spPr>
        <a:xfrm flipV="1">
          <a:off x="8609239" y="16971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87</xdr:row>
      <xdr:rowOff>17011</xdr:rowOff>
    </xdr:from>
    <xdr:to>
      <xdr:col>15</xdr:col>
      <xdr:colOff>32315</xdr:colOff>
      <xdr:row>88</xdr:row>
      <xdr:rowOff>192201</xdr:rowOff>
    </xdr:to>
    <xdr:cxnSp macro="">
      <xdr:nvCxnSpPr>
        <xdr:cNvPr id="77" name="Straight Connector 76"/>
        <xdr:cNvCxnSpPr/>
      </xdr:nvCxnSpPr>
      <xdr:spPr>
        <a:xfrm flipV="1">
          <a:off x="8609239" y="16590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85</xdr:row>
      <xdr:rowOff>3403</xdr:rowOff>
    </xdr:from>
    <xdr:to>
      <xdr:col>15</xdr:col>
      <xdr:colOff>18708</xdr:colOff>
      <xdr:row>86</xdr:row>
      <xdr:rowOff>178593</xdr:rowOff>
    </xdr:to>
    <xdr:cxnSp macro="">
      <xdr:nvCxnSpPr>
        <xdr:cNvPr id="78" name="Straight Connector 77"/>
        <xdr:cNvCxnSpPr/>
      </xdr:nvCxnSpPr>
      <xdr:spPr>
        <a:xfrm flipV="1">
          <a:off x="8595632" y="16195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79" name="Straight Connector 78"/>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80" name="Straight Connector 79"/>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81" name="Straight Connector 80"/>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82" name="Straight Connector 81"/>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83" name="Straight Connector 82"/>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64</xdr:row>
      <xdr:rowOff>27214</xdr:rowOff>
    </xdr:from>
    <xdr:to>
      <xdr:col>15</xdr:col>
      <xdr:colOff>898072</xdr:colOff>
      <xdr:row>65</xdr:row>
      <xdr:rowOff>149678</xdr:rowOff>
    </xdr:to>
    <xdr:cxnSp macro="">
      <xdr:nvCxnSpPr>
        <xdr:cNvPr id="84" name="Straight Connector 83"/>
        <xdr:cNvCxnSpPr/>
      </xdr:nvCxnSpPr>
      <xdr:spPr>
        <a:xfrm flipV="1">
          <a:off x="9171214" y="12219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64</xdr:row>
      <xdr:rowOff>13607</xdr:rowOff>
    </xdr:from>
    <xdr:to>
      <xdr:col>10</xdr:col>
      <xdr:colOff>911677</xdr:colOff>
      <xdr:row>66</xdr:row>
      <xdr:rowOff>0</xdr:rowOff>
    </xdr:to>
    <xdr:cxnSp macro="">
      <xdr:nvCxnSpPr>
        <xdr:cNvPr id="85" name="Straight Connector 84"/>
        <xdr:cNvCxnSpPr/>
      </xdr:nvCxnSpPr>
      <xdr:spPr>
        <a:xfrm flipV="1">
          <a:off x="6109607" y="12205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64</xdr:row>
      <xdr:rowOff>13608</xdr:rowOff>
    </xdr:from>
    <xdr:to>
      <xdr:col>12</xdr:col>
      <xdr:colOff>27214</xdr:colOff>
      <xdr:row>65</xdr:row>
      <xdr:rowOff>190502</xdr:rowOff>
    </xdr:to>
    <xdr:cxnSp macro="">
      <xdr:nvCxnSpPr>
        <xdr:cNvPr id="86" name="Straight Connector 85"/>
        <xdr:cNvCxnSpPr/>
      </xdr:nvCxnSpPr>
      <xdr:spPr>
        <a:xfrm flipV="1">
          <a:off x="6787242" y="1220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64</xdr:row>
      <xdr:rowOff>17011</xdr:rowOff>
    </xdr:from>
    <xdr:to>
      <xdr:col>12</xdr:col>
      <xdr:colOff>916780</xdr:colOff>
      <xdr:row>65</xdr:row>
      <xdr:rowOff>192201</xdr:rowOff>
    </xdr:to>
    <xdr:cxnSp macro="">
      <xdr:nvCxnSpPr>
        <xdr:cNvPr id="87" name="Straight Connector 86"/>
        <xdr:cNvCxnSpPr/>
      </xdr:nvCxnSpPr>
      <xdr:spPr>
        <a:xfrm flipV="1">
          <a:off x="7349218" y="1220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64</xdr:row>
      <xdr:rowOff>54428</xdr:rowOff>
    </xdr:from>
    <xdr:to>
      <xdr:col>14</xdr:col>
      <xdr:colOff>884463</xdr:colOff>
      <xdr:row>65</xdr:row>
      <xdr:rowOff>163285</xdr:rowOff>
    </xdr:to>
    <xdr:cxnSp macro="">
      <xdr:nvCxnSpPr>
        <xdr:cNvPr id="88" name="Straight Connector 87"/>
        <xdr:cNvCxnSpPr/>
      </xdr:nvCxnSpPr>
      <xdr:spPr>
        <a:xfrm flipV="1">
          <a:off x="8537119" y="12246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81</xdr:row>
      <xdr:rowOff>13610</xdr:rowOff>
    </xdr:from>
    <xdr:to>
      <xdr:col>15</xdr:col>
      <xdr:colOff>54429</xdr:colOff>
      <xdr:row>82</xdr:row>
      <xdr:rowOff>163286</xdr:rowOff>
    </xdr:to>
    <xdr:cxnSp macro="">
      <xdr:nvCxnSpPr>
        <xdr:cNvPr id="89" name="Straight Connector 88"/>
        <xdr:cNvCxnSpPr/>
      </xdr:nvCxnSpPr>
      <xdr:spPr>
        <a:xfrm flipV="1">
          <a:off x="8585427" y="15444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90" name="Straight Connector 89"/>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91" name="Straight Connector 90"/>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92" name="Straight Connector 91"/>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93" name="Straight Connector 92"/>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51</xdr:row>
      <xdr:rowOff>27214</xdr:rowOff>
    </xdr:from>
    <xdr:to>
      <xdr:col>15</xdr:col>
      <xdr:colOff>898072</xdr:colOff>
      <xdr:row>52</xdr:row>
      <xdr:rowOff>149678</xdr:rowOff>
    </xdr:to>
    <xdr:cxnSp macro="">
      <xdr:nvCxnSpPr>
        <xdr:cNvPr id="94" name="Straight Connector 93"/>
        <xdr:cNvCxnSpPr/>
      </xdr:nvCxnSpPr>
      <xdr:spPr>
        <a:xfrm flipV="1">
          <a:off x="9171214" y="9742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51</xdr:row>
      <xdr:rowOff>13607</xdr:rowOff>
    </xdr:from>
    <xdr:to>
      <xdr:col>10</xdr:col>
      <xdr:colOff>911677</xdr:colOff>
      <xdr:row>53</xdr:row>
      <xdr:rowOff>0</xdr:rowOff>
    </xdr:to>
    <xdr:cxnSp macro="">
      <xdr:nvCxnSpPr>
        <xdr:cNvPr id="95" name="Straight Connector 94"/>
        <xdr:cNvCxnSpPr/>
      </xdr:nvCxnSpPr>
      <xdr:spPr>
        <a:xfrm flipV="1">
          <a:off x="6109607" y="9729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51</xdr:row>
      <xdr:rowOff>13608</xdr:rowOff>
    </xdr:from>
    <xdr:to>
      <xdr:col>12</xdr:col>
      <xdr:colOff>27214</xdr:colOff>
      <xdr:row>52</xdr:row>
      <xdr:rowOff>190502</xdr:rowOff>
    </xdr:to>
    <xdr:cxnSp macro="">
      <xdr:nvCxnSpPr>
        <xdr:cNvPr id="96" name="Straight Connector 95"/>
        <xdr:cNvCxnSpPr/>
      </xdr:nvCxnSpPr>
      <xdr:spPr>
        <a:xfrm flipV="1">
          <a:off x="6787242" y="9729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51</xdr:row>
      <xdr:rowOff>17011</xdr:rowOff>
    </xdr:from>
    <xdr:to>
      <xdr:col>12</xdr:col>
      <xdr:colOff>916780</xdr:colOff>
      <xdr:row>52</xdr:row>
      <xdr:rowOff>192201</xdr:rowOff>
    </xdr:to>
    <xdr:cxnSp macro="">
      <xdr:nvCxnSpPr>
        <xdr:cNvPr id="97" name="Straight Connector 96"/>
        <xdr:cNvCxnSpPr/>
      </xdr:nvCxnSpPr>
      <xdr:spPr>
        <a:xfrm flipV="1">
          <a:off x="7349218" y="9732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51</xdr:row>
      <xdr:rowOff>54428</xdr:rowOff>
    </xdr:from>
    <xdr:to>
      <xdr:col>14</xdr:col>
      <xdr:colOff>884463</xdr:colOff>
      <xdr:row>52</xdr:row>
      <xdr:rowOff>163285</xdr:rowOff>
    </xdr:to>
    <xdr:cxnSp macro="">
      <xdr:nvCxnSpPr>
        <xdr:cNvPr id="98" name="Straight Connector 97"/>
        <xdr:cNvCxnSpPr/>
      </xdr:nvCxnSpPr>
      <xdr:spPr>
        <a:xfrm flipV="1">
          <a:off x="8537119" y="9769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49</xdr:row>
      <xdr:rowOff>27214</xdr:rowOff>
    </xdr:from>
    <xdr:to>
      <xdr:col>15</xdr:col>
      <xdr:colOff>898072</xdr:colOff>
      <xdr:row>50</xdr:row>
      <xdr:rowOff>149678</xdr:rowOff>
    </xdr:to>
    <xdr:cxnSp macro="">
      <xdr:nvCxnSpPr>
        <xdr:cNvPr id="99" name="Straight Connector 98"/>
        <xdr:cNvCxnSpPr/>
      </xdr:nvCxnSpPr>
      <xdr:spPr>
        <a:xfrm flipV="1">
          <a:off x="9171214" y="9361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49</xdr:row>
      <xdr:rowOff>13607</xdr:rowOff>
    </xdr:from>
    <xdr:to>
      <xdr:col>10</xdr:col>
      <xdr:colOff>911677</xdr:colOff>
      <xdr:row>51</xdr:row>
      <xdr:rowOff>0</xdr:rowOff>
    </xdr:to>
    <xdr:cxnSp macro="">
      <xdr:nvCxnSpPr>
        <xdr:cNvPr id="100" name="Straight Connector 99"/>
        <xdr:cNvCxnSpPr/>
      </xdr:nvCxnSpPr>
      <xdr:spPr>
        <a:xfrm flipV="1">
          <a:off x="6109607" y="9348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49</xdr:row>
      <xdr:rowOff>13608</xdr:rowOff>
    </xdr:from>
    <xdr:to>
      <xdr:col>12</xdr:col>
      <xdr:colOff>27214</xdr:colOff>
      <xdr:row>50</xdr:row>
      <xdr:rowOff>190502</xdr:rowOff>
    </xdr:to>
    <xdr:cxnSp macro="">
      <xdr:nvCxnSpPr>
        <xdr:cNvPr id="101" name="Straight Connector 100"/>
        <xdr:cNvCxnSpPr/>
      </xdr:nvCxnSpPr>
      <xdr:spPr>
        <a:xfrm flipV="1">
          <a:off x="6787242" y="934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49</xdr:row>
      <xdr:rowOff>17011</xdr:rowOff>
    </xdr:from>
    <xdr:to>
      <xdr:col>12</xdr:col>
      <xdr:colOff>916780</xdr:colOff>
      <xdr:row>50</xdr:row>
      <xdr:rowOff>192201</xdr:rowOff>
    </xdr:to>
    <xdr:cxnSp macro="">
      <xdr:nvCxnSpPr>
        <xdr:cNvPr id="102" name="Straight Connector 101"/>
        <xdr:cNvCxnSpPr/>
      </xdr:nvCxnSpPr>
      <xdr:spPr>
        <a:xfrm flipV="1">
          <a:off x="7349218" y="935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49</xdr:row>
      <xdr:rowOff>54428</xdr:rowOff>
    </xdr:from>
    <xdr:to>
      <xdr:col>14</xdr:col>
      <xdr:colOff>884463</xdr:colOff>
      <xdr:row>50</xdr:row>
      <xdr:rowOff>163285</xdr:rowOff>
    </xdr:to>
    <xdr:cxnSp macro="">
      <xdr:nvCxnSpPr>
        <xdr:cNvPr id="103" name="Straight Connector 102"/>
        <xdr:cNvCxnSpPr/>
      </xdr:nvCxnSpPr>
      <xdr:spPr>
        <a:xfrm flipV="1">
          <a:off x="8537119" y="9388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112</xdr:row>
      <xdr:rowOff>0</xdr:rowOff>
    </xdr:from>
    <xdr:ext cx="17150072" cy="3743326"/>
    <xdr:pic>
      <xdr:nvPicPr>
        <xdr:cNvPr id="104" name="Picture 103"/>
        <xdr:cNvPicPr>
          <a:picLocks noChangeAspect="1" noChangeArrowheads="1"/>
          <a:extLst/>
        </xdr:cNvPicPr>
      </xdr:nvPicPr>
      <xdr:blipFill>
        <a:blip xmlns:r="http://schemas.openxmlformats.org/officeDocument/2006/relationships" r:embed="rId1"/>
        <a:srcRect/>
        <a:stretch>
          <a:fillRect/>
        </a:stretch>
      </xdr:blipFill>
      <xdr:spPr bwMode="auto">
        <a:xfrm>
          <a:off x="609600" y="21336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128</xdr:row>
      <xdr:rowOff>176894</xdr:rowOff>
    </xdr:from>
    <xdr:ext cx="18008063" cy="3743325"/>
    <xdr:pic>
      <xdr:nvPicPr>
        <xdr:cNvPr id="105" name="Picture 104"/>
        <xdr:cNvPicPr>
          <a:picLocks noChangeAspect="1" noChangeArrowheads="1"/>
          <a:extLst/>
        </xdr:cNvPicPr>
      </xdr:nvPicPr>
      <xdr:blipFill>
        <a:blip xmlns:r="http://schemas.openxmlformats.org/officeDocument/2006/relationships" r:embed="rId2"/>
        <a:srcRect/>
        <a:stretch>
          <a:fillRect/>
        </a:stretch>
      </xdr:blipFill>
      <xdr:spPr bwMode="auto">
        <a:xfrm>
          <a:off x="621846" y="24560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36</xdr:row>
      <xdr:rowOff>13608</xdr:rowOff>
    </xdr:from>
    <xdr:to>
      <xdr:col>12</xdr:col>
      <xdr:colOff>27214</xdr:colOff>
      <xdr:row>37</xdr:row>
      <xdr:rowOff>190502</xdr:rowOff>
    </xdr:to>
    <xdr:cxnSp macro="">
      <xdr:nvCxnSpPr>
        <xdr:cNvPr id="106" name="Straight Connector 105"/>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07" name="Straight Connector 106"/>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36</xdr:row>
      <xdr:rowOff>0</xdr:rowOff>
    </xdr:from>
    <xdr:to>
      <xdr:col>15</xdr:col>
      <xdr:colOff>0</xdr:colOff>
      <xdr:row>37</xdr:row>
      <xdr:rowOff>190501</xdr:rowOff>
    </xdr:to>
    <xdr:cxnSp macro="">
      <xdr:nvCxnSpPr>
        <xdr:cNvPr id="108" name="Straight Connector 107"/>
        <xdr:cNvCxnSpPr/>
      </xdr:nvCxnSpPr>
      <xdr:spPr>
        <a:xfrm flipV="1">
          <a:off x="8533039" y="6858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109" name="Straight Connector 108"/>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36</xdr:row>
      <xdr:rowOff>13607</xdr:rowOff>
    </xdr:from>
    <xdr:to>
      <xdr:col>16</xdr:col>
      <xdr:colOff>0</xdr:colOff>
      <xdr:row>38</xdr:row>
      <xdr:rowOff>0</xdr:rowOff>
    </xdr:to>
    <xdr:cxnSp macro="">
      <xdr:nvCxnSpPr>
        <xdr:cNvPr id="110" name="Straight Connector 109"/>
        <xdr:cNvCxnSpPr/>
      </xdr:nvCxnSpPr>
      <xdr:spPr>
        <a:xfrm flipV="1">
          <a:off x="9171214" y="6871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56</xdr:row>
      <xdr:rowOff>40821</xdr:rowOff>
    </xdr:from>
    <xdr:to>
      <xdr:col>15</xdr:col>
      <xdr:colOff>952500</xdr:colOff>
      <xdr:row>57</xdr:row>
      <xdr:rowOff>163285</xdr:rowOff>
    </xdr:to>
    <xdr:cxnSp macro="">
      <xdr:nvCxnSpPr>
        <xdr:cNvPr id="111" name="Straight Connector 110"/>
        <xdr:cNvCxnSpPr/>
      </xdr:nvCxnSpPr>
      <xdr:spPr>
        <a:xfrm flipV="1">
          <a:off x="9225642" y="10708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12" name="Straight Connector 111"/>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13" name="Straight Connector 112"/>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14" name="Straight Connector 113"/>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15" name="Straight Connector 114"/>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16" name="Straight Connector 115"/>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17" name="Straight Connector 116"/>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18" name="Straight Connector 117"/>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19" name="Straight Connector 118"/>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20" name="Straight Connector 119"/>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121" name="Straight Connector 120"/>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122" name="Straight Connector 121"/>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123" name="Straight Connector 122"/>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124" name="Straight Connector 123"/>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125" name="Straight Connector 124"/>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62</xdr:row>
      <xdr:rowOff>27214</xdr:rowOff>
    </xdr:from>
    <xdr:to>
      <xdr:col>15</xdr:col>
      <xdr:colOff>898072</xdr:colOff>
      <xdr:row>63</xdr:row>
      <xdr:rowOff>149678</xdr:rowOff>
    </xdr:to>
    <xdr:cxnSp macro="">
      <xdr:nvCxnSpPr>
        <xdr:cNvPr id="126" name="Straight Connector 125"/>
        <xdr:cNvCxnSpPr/>
      </xdr:nvCxnSpPr>
      <xdr:spPr>
        <a:xfrm flipV="1">
          <a:off x="9171214" y="11838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62</xdr:row>
      <xdr:rowOff>13607</xdr:rowOff>
    </xdr:from>
    <xdr:to>
      <xdr:col>10</xdr:col>
      <xdr:colOff>911677</xdr:colOff>
      <xdr:row>64</xdr:row>
      <xdr:rowOff>0</xdr:rowOff>
    </xdr:to>
    <xdr:cxnSp macro="">
      <xdr:nvCxnSpPr>
        <xdr:cNvPr id="127" name="Straight Connector 126"/>
        <xdr:cNvCxnSpPr/>
      </xdr:nvCxnSpPr>
      <xdr:spPr>
        <a:xfrm flipV="1">
          <a:off x="6109607" y="11824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62</xdr:row>
      <xdr:rowOff>13608</xdr:rowOff>
    </xdr:from>
    <xdr:to>
      <xdr:col>12</xdr:col>
      <xdr:colOff>27214</xdr:colOff>
      <xdr:row>63</xdr:row>
      <xdr:rowOff>190502</xdr:rowOff>
    </xdr:to>
    <xdr:cxnSp macro="">
      <xdr:nvCxnSpPr>
        <xdr:cNvPr id="128" name="Straight Connector 127"/>
        <xdr:cNvCxnSpPr/>
      </xdr:nvCxnSpPr>
      <xdr:spPr>
        <a:xfrm flipV="1">
          <a:off x="6787242" y="1182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62</xdr:row>
      <xdr:rowOff>17011</xdr:rowOff>
    </xdr:from>
    <xdr:to>
      <xdr:col>12</xdr:col>
      <xdr:colOff>916780</xdr:colOff>
      <xdr:row>63</xdr:row>
      <xdr:rowOff>192201</xdr:rowOff>
    </xdr:to>
    <xdr:cxnSp macro="">
      <xdr:nvCxnSpPr>
        <xdr:cNvPr id="129" name="Straight Connector 128"/>
        <xdr:cNvCxnSpPr/>
      </xdr:nvCxnSpPr>
      <xdr:spPr>
        <a:xfrm flipV="1">
          <a:off x="7349218" y="1182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62</xdr:row>
      <xdr:rowOff>54428</xdr:rowOff>
    </xdr:from>
    <xdr:to>
      <xdr:col>14</xdr:col>
      <xdr:colOff>884463</xdr:colOff>
      <xdr:row>63</xdr:row>
      <xdr:rowOff>163285</xdr:rowOff>
    </xdr:to>
    <xdr:cxnSp macro="">
      <xdr:nvCxnSpPr>
        <xdr:cNvPr id="130" name="Straight Connector 129"/>
        <xdr:cNvCxnSpPr/>
      </xdr:nvCxnSpPr>
      <xdr:spPr>
        <a:xfrm flipV="1">
          <a:off x="8537119" y="11865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47</xdr:row>
      <xdr:rowOff>27216</xdr:rowOff>
    </xdr:from>
    <xdr:to>
      <xdr:col>16</xdr:col>
      <xdr:colOff>27215</xdr:colOff>
      <xdr:row>48</xdr:row>
      <xdr:rowOff>176893</xdr:rowOff>
    </xdr:to>
    <xdr:cxnSp macro="">
      <xdr:nvCxnSpPr>
        <xdr:cNvPr id="131" name="Straight Connector 130"/>
        <xdr:cNvCxnSpPr/>
      </xdr:nvCxnSpPr>
      <xdr:spPr>
        <a:xfrm flipV="1">
          <a:off x="9198428" y="8980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32" name="Straight Connector 131"/>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33" name="Straight Connector 132"/>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34" name="Straight Connector 133"/>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30</xdr:row>
      <xdr:rowOff>13609</xdr:rowOff>
    </xdr:from>
    <xdr:to>
      <xdr:col>10</xdr:col>
      <xdr:colOff>911678</xdr:colOff>
      <xdr:row>31</xdr:row>
      <xdr:rowOff>190501</xdr:rowOff>
    </xdr:to>
    <xdr:cxnSp macro="">
      <xdr:nvCxnSpPr>
        <xdr:cNvPr id="135" name="Straight Connector 134"/>
        <xdr:cNvCxnSpPr/>
      </xdr:nvCxnSpPr>
      <xdr:spPr>
        <a:xfrm flipV="1">
          <a:off x="6109607" y="5728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36" name="Straight Connector 135"/>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38</xdr:row>
      <xdr:rowOff>13608</xdr:rowOff>
    </xdr:from>
    <xdr:to>
      <xdr:col>12</xdr:col>
      <xdr:colOff>27214</xdr:colOff>
      <xdr:row>39</xdr:row>
      <xdr:rowOff>190500</xdr:rowOff>
    </xdr:to>
    <xdr:cxnSp macro="">
      <xdr:nvCxnSpPr>
        <xdr:cNvPr id="137" name="Straight Connector 136"/>
        <xdr:cNvCxnSpPr/>
      </xdr:nvCxnSpPr>
      <xdr:spPr>
        <a:xfrm flipV="1">
          <a:off x="6732814" y="7252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138" name="Straight Connector 137"/>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37</xdr:row>
      <xdr:rowOff>190500</xdr:rowOff>
    </xdr:from>
    <xdr:to>
      <xdr:col>15</xdr:col>
      <xdr:colOff>27214</xdr:colOff>
      <xdr:row>39</xdr:row>
      <xdr:rowOff>176894</xdr:rowOff>
    </xdr:to>
    <xdr:cxnSp macro="">
      <xdr:nvCxnSpPr>
        <xdr:cNvPr id="139" name="Straight Connector 138"/>
        <xdr:cNvCxnSpPr/>
      </xdr:nvCxnSpPr>
      <xdr:spPr>
        <a:xfrm flipV="1">
          <a:off x="8561614" y="7239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38</xdr:row>
      <xdr:rowOff>0</xdr:rowOff>
    </xdr:from>
    <xdr:to>
      <xdr:col>11</xdr:col>
      <xdr:colOff>13607</xdr:colOff>
      <xdr:row>39</xdr:row>
      <xdr:rowOff>176892</xdr:rowOff>
    </xdr:to>
    <xdr:cxnSp macro="">
      <xdr:nvCxnSpPr>
        <xdr:cNvPr id="140" name="Straight Connector 139"/>
        <xdr:cNvCxnSpPr/>
      </xdr:nvCxnSpPr>
      <xdr:spPr>
        <a:xfrm flipV="1">
          <a:off x="6123215" y="7239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38</xdr:row>
      <xdr:rowOff>0</xdr:rowOff>
    </xdr:from>
    <xdr:to>
      <xdr:col>15</xdr:col>
      <xdr:colOff>952500</xdr:colOff>
      <xdr:row>39</xdr:row>
      <xdr:rowOff>190501</xdr:rowOff>
    </xdr:to>
    <xdr:cxnSp macro="">
      <xdr:nvCxnSpPr>
        <xdr:cNvPr id="141" name="Straight Connector 140"/>
        <xdr:cNvCxnSpPr/>
      </xdr:nvCxnSpPr>
      <xdr:spPr>
        <a:xfrm flipV="1">
          <a:off x="9141279" y="7239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34</xdr:row>
      <xdr:rowOff>13608</xdr:rowOff>
    </xdr:from>
    <xdr:to>
      <xdr:col>12</xdr:col>
      <xdr:colOff>27214</xdr:colOff>
      <xdr:row>35</xdr:row>
      <xdr:rowOff>190502</xdr:rowOff>
    </xdr:to>
    <xdr:cxnSp macro="">
      <xdr:nvCxnSpPr>
        <xdr:cNvPr id="142" name="Straight Connector 141"/>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43" name="Straight Connector 142"/>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34</xdr:row>
      <xdr:rowOff>40821</xdr:rowOff>
    </xdr:from>
    <xdr:to>
      <xdr:col>14</xdr:col>
      <xdr:colOff>911678</xdr:colOff>
      <xdr:row>35</xdr:row>
      <xdr:rowOff>149677</xdr:rowOff>
    </xdr:to>
    <xdr:cxnSp macro="">
      <xdr:nvCxnSpPr>
        <xdr:cNvPr id="144" name="Straight Connector 143"/>
        <xdr:cNvCxnSpPr/>
      </xdr:nvCxnSpPr>
      <xdr:spPr>
        <a:xfrm flipV="1">
          <a:off x="8561613" y="651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27216</xdr:rowOff>
    </xdr:from>
    <xdr:to>
      <xdr:col>10</xdr:col>
      <xdr:colOff>898071</xdr:colOff>
      <xdr:row>36</xdr:row>
      <xdr:rowOff>0</xdr:rowOff>
    </xdr:to>
    <xdr:cxnSp macro="">
      <xdr:nvCxnSpPr>
        <xdr:cNvPr id="145" name="Straight Connector 144"/>
        <xdr:cNvCxnSpPr/>
      </xdr:nvCxnSpPr>
      <xdr:spPr>
        <a:xfrm flipV="1">
          <a:off x="6096000" y="6504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146" name="Straight Connector 145"/>
        <xdr:cNvCxnSpPr/>
      </xdr:nvCxnSpPr>
      <xdr:spPr>
        <a:xfrm flipV="1">
          <a:off x="9198428" y="650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12</xdr:row>
      <xdr:rowOff>13608</xdr:rowOff>
    </xdr:from>
    <xdr:to>
      <xdr:col>12</xdr:col>
      <xdr:colOff>27214</xdr:colOff>
      <xdr:row>13</xdr:row>
      <xdr:rowOff>190502</xdr:rowOff>
    </xdr:to>
    <xdr:cxnSp macro="">
      <xdr:nvCxnSpPr>
        <xdr:cNvPr id="147" name="Straight Connector 146"/>
        <xdr:cNvCxnSpPr/>
      </xdr:nvCxnSpPr>
      <xdr:spPr>
        <a:xfrm flipV="1">
          <a:off x="6787242" y="229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148" name="Straight Connector 147"/>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149" name="Straight Connector 148"/>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12</xdr:row>
      <xdr:rowOff>2</xdr:rowOff>
    </xdr:from>
    <xdr:to>
      <xdr:col>11</xdr:col>
      <xdr:colOff>40820</xdr:colOff>
      <xdr:row>13</xdr:row>
      <xdr:rowOff>176893</xdr:rowOff>
    </xdr:to>
    <xdr:cxnSp macro="">
      <xdr:nvCxnSpPr>
        <xdr:cNvPr id="150" name="Straight Connector 149"/>
        <xdr:cNvCxnSpPr/>
      </xdr:nvCxnSpPr>
      <xdr:spPr>
        <a:xfrm flipV="1">
          <a:off x="6164035" y="2286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151" name="Straight Connector 150"/>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52" name="Straight Connector 151"/>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53" name="Straight Connector 152"/>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54" name="Straight Connector 153"/>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55" name="Straight Connector 154"/>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56" name="Straight Connector 155"/>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57" name="Straight Connector 156"/>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58" name="Straight Connector 157"/>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59" name="Straight Connector 158"/>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60" name="Straight Connector 159"/>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161" name="Straight Connector 160"/>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28</xdr:row>
      <xdr:rowOff>13609</xdr:rowOff>
    </xdr:from>
    <xdr:to>
      <xdr:col>12</xdr:col>
      <xdr:colOff>27214</xdr:colOff>
      <xdr:row>30</xdr:row>
      <xdr:rowOff>0</xdr:rowOff>
    </xdr:to>
    <xdr:cxnSp macro="">
      <xdr:nvCxnSpPr>
        <xdr:cNvPr id="162" name="Straight Connector 161"/>
        <xdr:cNvCxnSpPr/>
      </xdr:nvCxnSpPr>
      <xdr:spPr>
        <a:xfrm flipV="1">
          <a:off x="6719207" y="5347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63" name="Straight Connector 162"/>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64" name="Straight Connector 163"/>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2</xdr:rowOff>
    </xdr:from>
    <xdr:to>
      <xdr:col>11</xdr:col>
      <xdr:colOff>40820</xdr:colOff>
      <xdr:row>30</xdr:row>
      <xdr:rowOff>0</xdr:rowOff>
    </xdr:to>
    <xdr:cxnSp macro="">
      <xdr:nvCxnSpPr>
        <xdr:cNvPr id="165" name="Straight Connector 164"/>
        <xdr:cNvCxnSpPr/>
      </xdr:nvCxnSpPr>
      <xdr:spPr>
        <a:xfrm flipV="1">
          <a:off x="6109607" y="5334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66" name="Straight Connector 165"/>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14</xdr:row>
      <xdr:rowOff>13609</xdr:rowOff>
    </xdr:from>
    <xdr:to>
      <xdr:col>12</xdr:col>
      <xdr:colOff>27214</xdr:colOff>
      <xdr:row>16</xdr:row>
      <xdr:rowOff>0</xdr:rowOff>
    </xdr:to>
    <xdr:cxnSp macro="">
      <xdr:nvCxnSpPr>
        <xdr:cNvPr id="167" name="Straight Connector 166"/>
        <xdr:cNvCxnSpPr/>
      </xdr:nvCxnSpPr>
      <xdr:spPr>
        <a:xfrm flipV="1">
          <a:off x="6719207" y="2680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68" name="Straight Connector 167"/>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69" name="Straight Connector 168"/>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14</xdr:row>
      <xdr:rowOff>2</xdr:rowOff>
    </xdr:from>
    <xdr:to>
      <xdr:col>11</xdr:col>
      <xdr:colOff>40820</xdr:colOff>
      <xdr:row>16</xdr:row>
      <xdr:rowOff>0</xdr:rowOff>
    </xdr:to>
    <xdr:cxnSp macro="">
      <xdr:nvCxnSpPr>
        <xdr:cNvPr id="170" name="Straight Connector 169"/>
        <xdr:cNvCxnSpPr/>
      </xdr:nvCxnSpPr>
      <xdr:spPr>
        <a:xfrm flipV="1">
          <a:off x="6109607" y="2667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71" name="Straight Connector 170"/>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72" name="Straight Connector 171"/>
        <xdr:cNvCxnSpPr/>
      </xdr:nvCxnSpPr>
      <xdr:spPr>
        <a:xfrm flipV="1">
          <a:off x="6719207" y="3061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73" name="Straight Connector 172"/>
        <xdr:cNvCxnSpPr/>
      </xdr:nvCxnSpPr>
      <xdr:spPr>
        <a:xfrm flipV="1">
          <a:off x="7349218" y="3065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74" name="Straight Connector 173"/>
        <xdr:cNvCxnSpPr/>
      </xdr:nvCxnSpPr>
      <xdr:spPr>
        <a:xfrm flipV="1">
          <a:off x="8561613" y="3088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175" name="Straight Connector 174"/>
        <xdr:cNvCxnSpPr/>
      </xdr:nvCxnSpPr>
      <xdr:spPr>
        <a:xfrm flipV="1">
          <a:off x="6109607" y="3048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76" name="Straight Connector 175"/>
        <xdr:cNvCxnSpPr/>
      </xdr:nvCxnSpPr>
      <xdr:spPr>
        <a:xfrm flipV="1">
          <a:off x="9198428" y="3075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77" name="Straight Connector 176"/>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78" name="Straight Connector 177"/>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79" name="Straight Connector 178"/>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80" name="Straight Connector 179"/>
        <xdr:cNvCxnSpPr/>
      </xdr:nvCxnSpPr>
      <xdr:spPr>
        <a:xfrm flipV="1">
          <a:off x="6164035" y="1143002"/>
          <a:ext cx="582385"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81" name="Straight Connector 180"/>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44</xdr:row>
      <xdr:rowOff>13608</xdr:rowOff>
    </xdr:from>
    <xdr:to>
      <xdr:col>12</xdr:col>
      <xdr:colOff>27214</xdr:colOff>
      <xdr:row>45</xdr:row>
      <xdr:rowOff>190502</xdr:rowOff>
    </xdr:to>
    <xdr:cxnSp macro="">
      <xdr:nvCxnSpPr>
        <xdr:cNvPr id="182" name="Straight Connector 181"/>
        <xdr:cNvCxnSpPr/>
      </xdr:nvCxnSpPr>
      <xdr:spPr>
        <a:xfrm flipV="1">
          <a:off x="6787242" y="839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44</xdr:row>
      <xdr:rowOff>17011</xdr:rowOff>
    </xdr:from>
    <xdr:to>
      <xdr:col>12</xdr:col>
      <xdr:colOff>916780</xdr:colOff>
      <xdr:row>45</xdr:row>
      <xdr:rowOff>192201</xdr:rowOff>
    </xdr:to>
    <xdr:cxnSp macro="">
      <xdr:nvCxnSpPr>
        <xdr:cNvPr id="183" name="Straight Connector 182"/>
        <xdr:cNvCxnSpPr/>
      </xdr:nvCxnSpPr>
      <xdr:spPr>
        <a:xfrm flipV="1">
          <a:off x="7349218" y="839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44</xdr:row>
      <xdr:rowOff>40821</xdr:rowOff>
    </xdr:from>
    <xdr:to>
      <xdr:col>14</xdr:col>
      <xdr:colOff>911678</xdr:colOff>
      <xdr:row>45</xdr:row>
      <xdr:rowOff>149677</xdr:rowOff>
    </xdr:to>
    <xdr:cxnSp macro="">
      <xdr:nvCxnSpPr>
        <xdr:cNvPr id="184" name="Straight Connector 183"/>
        <xdr:cNvCxnSpPr/>
      </xdr:nvCxnSpPr>
      <xdr:spPr>
        <a:xfrm flipV="1">
          <a:off x="8561613" y="842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44</xdr:row>
      <xdr:rowOff>27215</xdr:rowOff>
    </xdr:from>
    <xdr:to>
      <xdr:col>10</xdr:col>
      <xdr:colOff>911678</xdr:colOff>
      <xdr:row>46</xdr:row>
      <xdr:rowOff>0</xdr:rowOff>
    </xdr:to>
    <xdr:cxnSp macro="">
      <xdr:nvCxnSpPr>
        <xdr:cNvPr id="185" name="Straight Connector 184"/>
        <xdr:cNvCxnSpPr/>
      </xdr:nvCxnSpPr>
      <xdr:spPr>
        <a:xfrm flipV="1">
          <a:off x="6096000" y="8409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44</xdr:row>
      <xdr:rowOff>27216</xdr:rowOff>
    </xdr:from>
    <xdr:to>
      <xdr:col>16</xdr:col>
      <xdr:colOff>27215</xdr:colOff>
      <xdr:row>45</xdr:row>
      <xdr:rowOff>176893</xdr:rowOff>
    </xdr:to>
    <xdr:cxnSp macro="">
      <xdr:nvCxnSpPr>
        <xdr:cNvPr id="186" name="Straight Connector 185"/>
        <xdr:cNvCxnSpPr/>
      </xdr:nvCxnSpPr>
      <xdr:spPr>
        <a:xfrm flipV="1">
          <a:off x="9198428" y="840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87" name="Straight Connector 186"/>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88" name="Straight Connector 187"/>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89" name="Straight Connector 188"/>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90" name="Straight Connector 189"/>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91" name="Straight Connector 190"/>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92" name="Straight Connector 191"/>
        <xdr:cNvCxnSpPr/>
      </xdr:nvCxnSpPr>
      <xdr:spPr>
        <a:xfrm flipV="1">
          <a:off x="6109607" y="3429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93" name="Straight Connector 192"/>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194" name="Straight Connector 193"/>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195" name="Straight Connector 194"/>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196" name="Straight Connector 195"/>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197" name="Straight Connector 196"/>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198" name="Straight Connector 197"/>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199" name="Straight Connector 198"/>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200" name="Straight Connector 199"/>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201" name="Straight Connector 200"/>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27216</xdr:rowOff>
    </xdr:from>
    <xdr:to>
      <xdr:col>10</xdr:col>
      <xdr:colOff>898071</xdr:colOff>
      <xdr:row>34</xdr:row>
      <xdr:rowOff>0</xdr:rowOff>
    </xdr:to>
    <xdr:cxnSp macro="">
      <xdr:nvCxnSpPr>
        <xdr:cNvPr id="202" name="Straight Connector 201"/>
        <xdr:cNvCxnSpPr/>
      </xdr:nvCxnSpPr>
      <xdr:spPr>
        <a:xfrm flipV="1">
          <a:off x="6096000" y="6123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203" name="Straight Connector 202"/>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42</xdr:row>
      <xdr:rowOff>13608</xdr:rowOff>
    </xdr:from>
    <xdr:to>
      <xdr:col>12</xdr:col>
      <xdr:colOff>27214</xdr:colOff>
      <xdr:row>43</xdr:row>
      <xdr:rowOff>190502</xdr:rowOff>
    </xdr:to>
    <xdr:cxnSp macro="">
      <xdr:nvCxnSpPr>
        <xdr:cNvPr id="204" name="Straight Connector 203"/>
        <xdr:cNvCxnSpPr/>
      </xdr:nvCxnSpPr>
      <xdr:spPr>
        <a:xfrm flipV="1">
          <a:off x="6787242" y="801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42</xdr:row>
      <xdr:rowOff>17011</xdr:rowOff>
    </xdr:from>
    <xdr:to>
      <xdr:col>12</xdr:col>
      <xdr:colOff>916780</xdr:colOff>
      <xdr:row>43</xdr:row>
      <xdr:rowOff>192201</xdr:rowOff>
    </xdr:to>
    <xdr:cxnSp macro="">
      <xdr:nvCxnSpPr>
        <xdr:cNvPr id="205" name="Straight Connector 204"/>
        <xdr:cNvCxnSpPr/>
      </xdr:nvCxnSpPr>
      <xdr:spPr>
        <a:xfrm flipV="1">
          <a:off x="7349218" y="801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42</xdr:row>
      <xdr:rowOff>40821</xdr:rowOff>
    </xdr:from>
    <xdr:to>
      <xdr:col>14</xdr:col>
      <xdr:colOff>911678</xdr:colOff>
      <xdr:row>43</xdr:row>
      <xdr:rowOff>149677</xdr:rowOff>
    </xdr:to>
    <xdr:cxnSp macro="">
      <xdr:nvCxnSpPr>
        <xdr:cNvPr id="206" name="Straight Connector 205"/>
        <xdr:cNvCxnSpPr/>
      </xdr:nvCxnSpPr>
      <xdr:spPr>
        <a:xfrm flipV="1">
          <a:off x="8561613" y="804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42</xdr:row>
      <xdr:rowOff>27215</xdr:rowOff>
    </xdr:from>
    <xdr:to>
      <xdr:col>10</xdr:col>
      <xdr:colOff>911678</xdr:colOff>
      <xdr:row>44</xdr:row>
      <xdr:rowOff>0</xdr:rowOff>
    </xdr:to>
    <xdr:cxnSp macro="">
      <xdr:nvCxnSpPr>
        <xdr:cNvPr id="207" name="Straight Connector 206"/>
        <xdr:cNvCxnSpPr/>
      </xdr:nvCxnSpPr>
      <xdr:spPr>
        <a:xfrm flipV="1">
          <a:off x="6096000" y="8028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42</xdr:row>
      <xdr:rowOff>27216</xdr:rowOff>
    </xdr:from>
    <xdr:to>
      <xdr:col>16</xdr:col>
      <xdr:colOff>27215</xdr:colOff>
      <xdr:row>43</xdr:row>
      <xdr:rowOff>176893</xdr:rowOff>
    </xdr:to>
    <xdr:cxnSp macro="">
      <xdr:nvCxnSpPr>
        <xdr:cNvPr id="208" name="Straight Connector 207"/>
        <xdr:cNvCxnSpPr/>
      </xdr:nvCxnSpPr>
      <xdr:spPr>
        <a:xfrm flipV="1">
          <a:off x="9198428" y="802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209" name="Straight Connector 208"/>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210" name="Straight Connector 209"/>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211" name="Straight Connector 210"/>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212" name="Straight Connector 211"/>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213" name="Straight Connector 212"/>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214" name="Straight Connector 213"/>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215" name="Straight Connector 214"/>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216" name="Straight Connector 215"/>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217" name="Straight Connector 216"/>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218" name="Straight Connector 217"/>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219" name="Straight Connector 218"/>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220" name="Straight Connector 219"/>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221" name="Straight Connector 220"/>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222" name="Straight Connector 221"/>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223" name="Straight Connector 222"/>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224" name="Straight Connector 223"/>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225" name="Straight Connector 224"/>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226" name="Straight Connector 225"/>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227" name="Straight Connector 226"/>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28" name="Straight Connector 227"/>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76</xdr:row>
      <xdr:rowOff>13608</xdr:rowOff>
    </xdr:from>
    <xdr:to>
      <xdr:col>11</xdr:col>
      <xdr:colOff>898071</xdr:colOff>
      <xdr:row>77</xdr:row>
      <xdr:rowOff>190502</xdr:rowOff>
    </xdr:to>
    <xdr:cxnSp macro="">
      <xdr:nvCxnSpPr>
        <xdr:cNvPr id="229" name="Straight Connector 228"/>
        <xdr:cNvCxnSpPr/>
      </xdr:nvCxnSpPr>
      <xdr:spPr>
        <a:xfrm flipV="1">
          <a:off x="6719207" y="14491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76</xdr:row>
      <xdr:rowOff>40824</xdr:rowOff>
    </xdr:from>
    <xdr:to>
      <xdr:col>12</xdr:col>
      <xdr:colOff>898072</xdr:colOff>
      <xdr:row>77</xdr:row>
      <xdr:rowOff>190500</xdr:rowOff>
    </xdr:to>
    <xdr:cxnSp macro="">
      <xdr:nvCxnSpPr>
        <xdr:cNvPr id="230" name="Straight Connector 229"/>
        <xdr:cNvCxnSpPr/>
      </xdr:nvCxnSpPr>
      <xdr:spPr>
        <a:xfrm flipV="1">
          <a:off x="7315200" y="14518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76</xdr:row>
      <xdr:rowOff>40824</xdr:rowOff>
    </xdr:from>
    <xdr:to>
      <xdr:col>14</xdr:col>
      <xdr:colOff>884465</xdr:colOff>
      <xdr:row>77</xdr:row>
      <xdr:rowOff>176893</xdr:rowOff>
    </xdr:to>
    <xdr:cxnSp macro="">
      <xdr:nvCxnSpPr>
        <xdr:cNvPr id="231" name="Straight Connector 230"/>
        <xdr:cNvCxnSpPr/>
      </xdr:nvCxnSpPr>
      <xdr:spPr>
        <a:xfrm flipV="1">
          <a:off x="8561614" y="14518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76</xdr:row>
      <xdr:rowOff>13608</xdr:rowOff>
    </xdr:from>
    <xdr:to>
      <xdr:col>10</xdr:col>
      <xdr:colOff>884464</xdr:colOff>
      <xdr:row>78</xdr:row>
      <xdr:rowOff>0</xdr:rowOff>
    </xdr:to>
    <xdr:cxnSp macro="">
      <xdr:nvCxnSpPr>
        <xdr:cNvPr id="232" name="Straight Connector 231"/>
        <xdr:cNvCxnSpPr/>
      </xdr:nvCxnSpPr>
      <xdr:spPr>
        <a:xfrm flipV="1">
          <a:off x="6097361" y="14491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76</xdr:row>
      <xdr:rowOff>27217</xdr:rowOff>
    </xdr:from>
    <xdr:to>
      <xdr:col>15</xdr:col>
      <xdr:colOff>938894</xdr:colOff>
      <xdr:row>77</xdr:row>
      <xdr:rowOff>201084</xdr:rowOff>
    </xdr:to>
    <xdr:cxnSp macro="">
      <xdr:nvCxnSpPr>
        <xdr:cNvPr id="233" name="Straight Connector 232"/>
        <xdr:cNvCxnSpPr/>
      </xdr:nvCxnSpPr>
      <xdr:spPr>
        <a:xfrm flipV="1">
          <a:off x="9154584" y="14505217"/>
          <a:ext cx="594935" cy="354842"/>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234" name="Straight Connector 233"/>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235" name="Straight Connector 234"/>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236" name="Straight Connector 235"/>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237" name="Straight Connector 236"/>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238" name="Straight Connector 237"/>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78</xdr:row>
      <xdr:rowOff>27219</xdr:rowOff>
    </xdr:from>
    <xdr:to>
      <xdr:col>15</xdr:col>
      <xdr:colOff>938894</xdr:colOff>
      <xdr:row>80</xdr:row>
      <xdr:rowOff>10583</xdr:rowOff>
    </xdr:to>
    <xdr:cxnSp macro="">
      <xdr:nvCxnSpPr>
        <xdr:cNvPr id="239" name="Straight Connector 238"/>
        <xdr:cNvCxnSpPr/>
      </xdr:nvCxnSpPr>
      <xdr:spPr>
        <a:xfrm flipV="1">
          <a:off x="9154584" y="14886219"/>
          <a:ext cx="594935" cy="364364"/>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11</xdr:col>
      <xdr:colOff>13607</xdr:colOff>
      <xdr:row>70</xdr:row>
      <xdr:rowOff>13608</xdr:rowOff>
    </xdr:from>
    <xdr:to>
      <xdr:col>11</xdr:col>
      <xdr:colOff>898071</xdr:colOff>
      <xdr:row>71</xdr:row>
      <xdr:rowOff>190502</xdr:rowOff>
    </xdr:to>
    <xdr:cxnSp macro="">
      <xdr:nvCxnSpPr>
        <xdr:cNvPr id="2" name="Straight Connector 1"/>
        <xdr:cNvCxnSpPr/>
      </xdr:nvCxnSpPr>
      <xdr:spPr>
        <a:xfrm flipV="1">
          <a:off x="6719207" y="13348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3" name="Straight Connector 2"/>
        <xdr:cNvCxnSpPr/>
      </xdr:nvCxnSpPr>
      <xdr:spPr>
        <a:xfrm flipV="1">
          <a:off x="7315200" y="13375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4" name="Straight Connector 3"/>
        <xdr:cNvCxnSpPr/>
      </xdr:nvCxnSpPr>
      <xdr:spPr>
        <a:xfrm flipV="1">
          <a:off x="8561614" y="13375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70</xdr:row>
      <xdr:rowOff>27214</xdr:rowOff>
    </xdr:from>
    <xdr:to>
      <xdr:col>16</xdr:col>
      <xdr:colOff>0</xdr:colOff>
      <xdr:row>72</xdr:row>
      <xdr:rowOff>0</xdr:rowOff>
    </xdr:to>
    <xdr:cxnSp macro="">
      <xdr:nvCxnSpPr>
        <xdr:cNvPr id="5" name="Straight Connector 4"/>
        <xdr:cNvCxnSpPr/>
      </xdr:nvCxnSpPr>
      <xdr:spPr>
        <a:xfrm flipV="1">
          <a:off x="9144001" y="13362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70</xdr:row>
      <xdr:rowOff>1</xdr:rowOff>
    </xdr:from>
    <xdr:to>
      <xdr:col>11</xdr:col>
      <xdr:colOff>13607</xdr:colOff>
      <xdr:row>71</xdr:row>
      <xdr:rowOff>176895</xdr:rowOff>
    </xdr:to>
    <xdr:cxnSp macro="">
      <xdr:nvCxnSpPr>
        <xdr:cNvPr id="6" name="Straight Connector 5"/>
        <xdr:cNvCxnSpPr/>
      </xdr:nvCxnSpPr>
      <xdr:spPr>
        <a:xfrm flipV="1">
          <a:off x="6150429" y="13335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76</xdr:row>
      <xdr:rowOff>13608</xdr:rowOff>
    </xdr:from>
    <xdr:to>
      <xdr:col>11</xdr:col>
      <xdr:colOff>898071</xdr:colOff>
      <xdr:row>77</xdr:row>
      <xdr:rowOff>190502</xdr:rowOff>
    </xdr:to>
    <xdr:cxnSp macro="">
      <xdr:nvCxnSpPr>
        <xdr:cNvPr id="7" name="Straight Connector 6"/>
        <xdr:cNvCxnSpPr/>
      </xdr:nvCxnSpPr>
      <xdr:spPr>
        <a:xfrm flipV="1">
          <a:off x="6719207" y="14491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76</xdr:row>
      <xdr:rowOff>40824</xdr:rowOff>
    </xdr:from>
    <xdr:to>
      <xdr:col>12</xdr:col>
      <xdr:colOff>898072</xdr:colOff>
      <xdr:row>77</xdr:row>
      <xdr:rowOff>190500</xdr:rowOff>
    </xdr:to>
    <xdr:cxnSp macro="">
      <xdr:nvCxnSpPr>
        <xdr:cNvPr id="8" name="Straight Connector 7"/>
        <xdr:cNvCxnSpPr/>
      </xdr:nvCxnSpPr>
      <xdr:spPr>
        <a:xfrm flipV="1">
          <a:off x="7315200" y="14518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76</xdr:row>
      <xdr:rowOff>40824</xdr:rowOff>
    </xdr:from>
    <xdr:to>
      <xdr:col>14</xdr:col>
      <xdr:colOff>884465</xdr:colOff>
      <xdr:row>77</xdr:row>
      <xdr:rowOff>176893</xdr:rowOff>
    </xdr:to>
    <xdr:cxnSp macro="">
      <xdr:nvCxnSpPr>
        <xdr:cNvPr id="9" name="Straight Connector 8"/>
        <xdr:cNvCxnSpPr/>
      </xdr:nvCxnSpPr>
      <xdr:spPr>
        <a:xfrm flipV="1">
          <a:off x="8561614" y="14518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76</xdr:row>
      <xdr:rowOff>13608</xdr:rowOff>
    </xdr:from>
    <xdr:to>
      <xdr:col>10</xdr:col>
      <xdr:colOff>884464</xdr:colOff>
      <xdr:row>78</xdr:row>
      <xdr:rowOff>0</xdr:rowOff>
    </xdr:to>
    <xdr:cxnSp macro="">
      <xdr:nvCxnSpPr>
        <xdr:cNvPr id="10" name="Straight Connector 9"/>
        <xdr:cNvCxnSpPr/>
      </xdr:nvCxnSpPr>
      <xdr:spPr>
        <a:xfrm flipV="1">
          <a:off x="6097361" y="14491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72</xdr:row>
      <xdr:rowOff>13608</xdr:rowOff>
    </xdr:from>
    <xdr:to>
      <xdr:col>11</xdr:col>
      <xdr:colOff>898071</xdr:colOff>
      <xdr:row>73</xdr:row>
      <xdr:rowOff>190502</xdr:rowOff>
    </xdr:to>
    <xdr:cxnSp macro="">
      <xdr:nvCxnSpPr>
        <xdr:cNvPr id="11" name="Straight Connector 10"/>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12" name="Straight Connector 11"/>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13" name="Straight Connector 12"/>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72</xdr:row>
      <xdr:rowOff>13608</xdr:rowOff>
    </xdr:from>
    <xdr:to>
      <xdr:col>10</xdr:col>
      <xdr:colOff>884464</xdr:colOff>
      <xdr:row>74</xdr:row>
      <xdr:rowOff>0</xdr:rowOff>
    </xdr:to>
    <xdr:cxnSp macro="">
      <xdr:nvCxnSpPr>
        <xdr:cNvPr id="14" name="Straight Connector 13"/>
        <xdr:cNvCxnSpPr/>
      </xdr:nvCxnSpPr>
      <xdr:spPr>
        <a:xfrm flipV="1">
          <a:off x="6097361" y="13729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72</xdr:row>
      <xdr:rowOff>27217</xdr:rowOff>
    </xdr:from>
    <xdr:to>
      <xdr:col>15</xdr:col>
      <xdr:colOff>938894</xdr:colOff>
      <xdr:row>73</xdr:row>
      <xdr:rowOff>201083</xdr:rowOff>
    </xdr:to>
    <xdr:cxnSp macro="">
      <xdr:nvCxnSpPr>
        <xdr:cNvPr id="15" name="Straight Connector 14"/>
        <xdr:cNvCxnSpPr/>
      </xdr:nvCxnSpPr>
      <xdr:spPr>
        <a:xfrm flipV="1">
          <a:off x="9154584" y="13743217"/>
          <a:ext cx="594935" cy="35484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16" name="Straight Connector 15"/>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17" name="Straight Connector 16"/>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18" name="Straight Connector 17"/>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19" name="Straight Connector 18"/>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87</xdr:row>
      <xdr:rowOff>13608</xdr:rowOff>
    </xdr:from>
    <xdr:to>
      <xdr:col>12</xdr:col>
      <xdr:colOff>27214</xdr:colOff>
      <xdr:row>88</xdr:row>
      <xdr:rowOff>190502</xdr:rowOff>
    </xdr:to>
    <xdr:cxnSp macro="">
      <xdr:nvCxnSpPr>
        <xdr:cNvPr id="20" name="Straight Connector 19"/>
        <xdr:cNvCxnSpPr/>
      </xdr:nvCxnSpPr>
      <xdr:spPr>
        <a:xfrm flipV="1">
          <a:off x="6787242" y="1658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87</xdr:row>
      <xdr:rowOff>13608</xdr:rowOff>
    </xdr:from>
    <xdr:to>
      <xdr:col>11</xdr:col>
      <xdr:colOff>51026</xdr:colOff>
      <xdr:row>89</xdr:row>
      <xdr:rowOff>0</xdr:rowOff>
    </xdr:to>
    <xdr:cxnSp macro="">
      <xdr:nvCxnSpPr>
        <xdr:cNvPr id="21" name="Straight Connector 20"/>
        <xdr:cNvCxnSpPr/>
      </xdr:nvCxnSpPr>
      <xdr:spPr>
        <a:xfrm flipV="1">
          <a:off x="6109607" y="16587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87</xdr:row>
      <xdr:rowOff>17011</xdr:rowOff>
    </xdr:from>
    <xdr:to>
      <xdr:col>12</xdr:col>
      <xdr:colOff>916780</xdr:colOff>
      <xdr:row>88</xdr:row>
      <xdr:rowOff>192201</xdr:rowOff>
    </xdr:to>
    <xdr:cxnSp macro="">
      <xdr:nvCxnSpPr>
        <xdr:cNvPr id="22" name="Straight Connector 21"/>
        <xdr:cNvCxnSpPr/>
      </xdr:nvCxnSpPr>
      <xdr:spPr>
        <a:xfrm flipV="1">
          <a:off x="7349218" y="1659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87</xdr:row>
      <xdr:rowOff>18714</xdr:rowOff>
    </xdr:from>
    <xdr:to>
      <xdr:col>15</xdr:col>
      <xdr:colOff>887864</xdr:colOff>
      <xdr:row>88</xdr:row>
      <xdr:rowOff>190500</xdr:rowOff>
    </xdr:to>
    <xdr:cxnSp macro="">
      <xdr:nvCxnSpPr>
        <xdr:cNvPr id="23" name="Straight Connector 22"/>
        <xdr:cNvCxnSpPr/>
      </xdr:nvCxnSpPr>
      <xdr:spPr>
        <a:xfrm flipV="1">
          <a:off x="9171214" y="16592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24" name="Straight Connector 23"/>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25" name="Straight Connector 24"/>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26" name="Straight Connector 25"/>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27" name="Straight Connector 26"/>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28" name="Straight Connector 27"/>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29" name="Straight Connector 28"/>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0" name="Straight Connector 29"/>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31" name="Straight Connector 30"/>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32" name="Straight Connector 31"/>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33" name="Straight Connector 32"/>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4" name="Straight Connector 33"/>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35" name="Straight Connector 34"/>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96</xdr:row>
      <xdr:rowOff>13608</xdr:rowOff>
    </xdr:from>
    <xdr:to>
      <xdr:col>12</xdr:col>
      <xdr:colOff>27214</xdr:colOff>
      <xdr:row>97</xdr:row>
      <xdr:rowOff>190502</xdr:rowOff>
    </xdr:to>
    <xdr:cxnSp macro="">
      <xdr:nvCxnSpPr>
        <xdr:cNvPr id="36" name="Straight Connector 35"/>
        <xdr:cNvCxnSpPr/>
      </xdr:nvCxnSpPr>
      <xdr:spPr>
        <a:xfrm flipV="1">
          <a:off x="6787242" y="1830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96</xdr:row>
      <xdr:rowOff>13608</xdr:rowOff>
    </xdr:from>
    <xdr:to>
      <xdr:col>11</xdr:col>
      <xdr:colOff>51026</xdr:colOff>
      <xdr:row>98</xdr:row>
      <xdr:rowOff>0</xdr:rowOff>
    </xdr:to>
    <xdr:cxnSp macro="">
      <xdr:nvCxnSpPr>
        <xdr:cNvPr id="37" name="Straight Connector 36"/>
        <xdr:cNvCxnSpPr/>
      </xdr:nvCxnSpPr>
      <xdr:spPr>
        <a:xfrm flipV="1">
          <a:off x="6109607" y="18301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96</xdr:row>
      <xdr:rowOff>17011</xdr:rowOff>
    </xdr:from>
    <xdr:to>
      <xdr:col>12</xdr:col>
      <xdr:colOff>916780</xdr:colOff>
      <xdr:row>97</xdr:row>
      <xdr:rowOff>192201</xdr:rowOff>
    </xdr:to>
    <xdr:cxnSp macro="">
      <xdr:nvCxnSpPr>
        <xdr:cNvPr id="38" name="Straight Connector 37"/>
        <xdr:cNvCxnSpPr/>
      </xdr:nvCxnSpPr>
      <xdr:spPr>
        <a:xfrm flipV="1">
          <a:off x="7349218" y="1830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96</xdr:row>
      <xdr:rowOff>3</xdr:rowOff>
    </xdr:from>
    <xdr:to>
      <xdr:col>15</xdr:col>
      <xdr:colOff>40822</xdr:colOff>
      <xdr:row>97</xdr:row>
      <xdr:rowOff>149679</xdr:rowOff>
    </xdr:to>
    <xdr:cxnSp macro="">
      <xdr:nvCxnSpPr>
        <xdr:cNvPr id="39" name="Straight Connector 38"/>
        <xdr:cNvCxnSpPr/>
      </xdr:nvCxnSpPr>
      <xdr:spPr>
        <a:xfrm flipV="1">
          <a:off x="8571820" y="18288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96</xdr:row>
      <xdr:rowOff>18714</xdr:rowOff>
    </xdr:from>
    <xdr:to>
      <xdr:col>15</xdr:col>
      <xdr:colOff>887864</xdr:colOff>
      <xdr:row>97</xdr:row>
      <xdr:rowOff>190500</xdr:rowOff>
    </xdr:to>
    <xdr:cxnSp macro="">
      <xdr:nvCxnSpPr>
        <xdr:cNvPr id="40" name="Straight Connector 39"/>
        <xdr:cNvCxnSpPr/>
      </xdr:nvCxnSpPr>
      <xdr:spPr>
        <a:xfrm flipV="1">
          <a:off x="9171214" y="18306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41" name="Straight Connector 40"/>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42" name="Straight Connector 41"/>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43" name="Straight Connector 42"/>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44" name="Straight Connector 43"/>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45" name="Straight Connector 44"/>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46" name="Straight Connector 45"/>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47" name="Straight Connector 46"/>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48" name="Straight Connector 47"/>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49" name="Straight Connector 48"/>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50" name="Straight Connector 49"/>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51" name="Straight Connector 50"/>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103</xdr:row>
      <xdr:rowOff>3</xdr:rowOff>
    </xdr:from>
    <xdr:to>
      <xdr:col>15</xdr:col>
      <xdr:colOff>40822</xdr:colOff>
      <xdr:row>104</xdr:row>
      <xdr:rowOff>149679</xdr:rowOff>
    </xdr:to>
    <xdr:cxnSp macro="">
      <xdr:nvCxnSpPr>
        <xdr:cNvPr id="52" name="Straight Connector 51"/>
        <xdr:cNvCxnSpPr/>
      </xdr:nvCxnSpPr>
      <xdr:spPr>
        <a:xfrm flipV="1">
          <a:off x="8571820" y="19621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53" name="Straight Connector 52"/>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105</xdr:row>
      <xdr:rowOff>13608</xdr:rowOff>
    </xdr:from>
    <xdr:to>
      <xdr:col>12</xdr:col>
      <xdr:colOff>27214</xdr:colOff>
      <xdr:row>106</xdr:row>
      <xdr:rowOff>190502</xdr:rowOff>
    </xdr:to>
    <xdr:cxnSp macro="">
      <xdr:nvCxnSpPr>
        <xdr:cNvPr id="54" name="Straight Connector 53"/>
        <xdr:cNvCxnSpPr/>
      </xdr:nvCxnSpPr>
      <xdr:spPr>
        <a:xfrm flipV="1">
          <a:off x="6787242" y="2001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105</xdr:row>
      <xdr:rowOff>13608</xdr:rowOff>
    </xdr:from>
    <xdr:to>
      <xdr:col>11</xdr:col>
      <xdr:colOff>51026</xdr:colOff>
      <xdr:row>107</xdr:row>
      <xdr:rowOff>0</xdr:rowOff>
    </xdr:to>
    <xdr:cxnSp macro="">
      <xdr:nvCxnSpPr>
        <xdr:cNvPr id="55" name="Straight Connector 54"/>
        <xdr:cNvCxnSpPr/>
      </xdr:nvCxnSpPr>
      <xdr:spPr>
        <a:xfrm flipV="1">
          <a:off x="6109607" y="2001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105</xdr:row>
      <xdr:rowOff>17011</xdr:rowOff>
    </xdr:from>
    <xdr:to>
      <xdr:col>12</xdr:col>
      <xdr:colOff>916780</xdr:colOff>
      <xdr:row>106</xdr:row>
      <xdr:rowOff>192201</xdr:rowOff>
    </xdr:to>
    <xdr:cxnSp macro="">
      <xdr:nvCxnSpPr>
        <xdr:cNvPr id="56" name="Straight Connector 55"/>
        <xdr:cNvCxnSpPr/>
      </xdr:nvCxnSpPr>
      <xdr:spPr>
        <a:xfrm flipV="1">
          <a:off x="7349218" y="2001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105</xdr:row>
      <xdr:rowOff>3</xdr:rowOff>
    </xdr:from>
    <xdr:to>
      <xdr:col>15</xdr:col>
      <xdr:colOff>40822</xdr:colOff>
      <xdr:row>106</xdr:row>
      <xdr:rowOff>149679</xdr:rowOff>
    </xdr:to>
    <xdr:cxnSp macro="">
      <xdr:nvCxnSpPr>
        <xdr:cNvPr id="57" name="Straight Connector 56"/>
        <xdr:cNvCxnSpPr/>
      </xdr:nvCxnSpPr>
      <xdr:spPr>
        <a:xfrm flipV="1">
          <a:off x="8571820" y="20002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105</xdr:row>
      <xdr:rowOff>18714</xdr:rowOff>
    </xdr:from>
    <xdr:to>
      <xdr:col>15</xdr:col>
      <xdr:colOff>887864</xdr:colOff>
      <xdr:row>106</xdr:row>
      <xdr:rowOff>190500</xdr:rowOff>
    </xdr:to>
    <xdr:cxnSp macro="">
      <xdr:nvCxnSpPr>
        <xdr:cNvPr id="58" name="Straight Connector 57"/>
        <xdr:cNvCxnSpPr/>
      </xdr:nvCxnSpPr>
      <xdr:spPr>
        <a:xfrm flipV="1">
          <a:off x="9171214" y="2002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59" name="Straight Connector 58"/>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60" name="Straight Connector 59"/>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61" name="Straight Connector 60"/>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81</xdr:row>
      <xdr:rowOff>40825</xdr:rowOff>
    </xdr:from>
    <xdr:to>
      <xdr:col>15</xdr:col>
      <xdr:colOff>54429</xdr:colOff>
      <xdr:row>82</xdr:row>
      <xdr:rowOff>190501</xdr:rowOff>
    </xdr:to>
    <xdr:cxnSp macro="">
      <xdr:nvCxnSpPr>
        <xdr:cNvPr id="62" name="Straight Connector 61"/>
        <xdr:cNvCxnSpPr/>
      </xdr:nvCxnSpPr>
      <xdr:spPr>
        <a:xfrm flipV="1">
          <a:off x="8585427" y="15471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63" name="Straight Connector 62"/>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64" name="Straight Connector 63"/>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65" name="Straight Connector 64"/>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66" name="Straight Connector 65"/>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67" name="Straight Connector 66"/>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68" name="Straight Connector 67"/>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69" name="Straight Connector 68"/>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70" name="Straight Connector 69"/>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71" name="Straight Connector 70"/>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101</xdr:row>
      <xdr:rowOff>17010</xdr:rowOff>
    </xdr:from>
    <xdr:to>
      <xdr:col>14</xdr:col>
      <xdr:colOff>903173</xdr:colOff>
      <xdr:row>102</xdr:row>
      <xdr:rowOff>192200</xdr:rowOff>
    </xdr:to>
    <xdr:cxnSp macro="">
      <xdr:nvCxnSpPr>
        <xdr:cNvPr id="72" name="Straight Connector 71"/>
        <xdr:cNvCxnSpPr/>
      </xdr:nvCxnSpPr>
      <xdr:spPr>
        <a:xfrm flipV="1">
          <a:off x="8554811" y="19257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94</xdr:row>
      <xdr:rowOff>3404</xdr:rowOff>
    </xdr:from>
    <xdr:to>
      <xdr:col>15</xdr:col>
      <xdr:colOff>5101</xdr:colOff>
      <xdr:row>95</xdr:row>
      <xdr:rowOff>178593</xdr:rowOff>
    </xdr:to>
    <xdr:cxnSp macro="">
      <xdr:nvCxnSpPr>
        <xdr:cNvPr id="73" name="Straight Connector 72"/>
        <xdr:cNvCxnSpPr/>
      </xdr:nvCxnSpPr>
      <xdr:spPr>
        <a:xfrm flipV="1">
          <a:off x="8582025" y="17910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92</xdr:row>
      <xdr:rowOff>17011</xdr:rowOff>
    </xdr:from>
    <xdr:to>
      <xdr:col>15</xdr:col>
      <xdr:colOff>5101</xdr:colOff>
      <xdr:row>93</xdr:row>
      <xdr:rowOff>192201</xdr:rowOff>
    </xdr:to>
    <xdr:cxnSp macro="">
      <xdr:nvCxnSpPr>
        <xdr:cNvPr id="74" name="Straight Connector 73"/>
        <xdr:cNvCxnSpPr/>
      </xdr:nvCxnSpPr>
      <xdr:spPr>
        <a:xfrm flipV="1">
          <a:off x="8582025" y="17543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90</xdr:row>
      <xdr:rowOff>17011</xdr:rowOff>
    </xdr:from>
    <xdr:to>
      <xdr:col>14</xdr:col>
      <xdr:colOff>916780</xdr:colOff>
      <xdr:row>91</xdr:row>
      <xdr:rowOff>192201</xdr:rowOff>
    </xdr:to>
    <xdr:cxnSp macro="">
      <xdr:nvCxnSpPr>
        <xdr:cNvPr id="75" name="Straight Connector 74"/>
        <xdr:cNvCxnSpPr/>
      </xdr:nvCxnSpPr>
      <xdr:spPr>
        <a:xfrm flipV="1">
          <a:off x="85684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87</xdr:row>
      <xdr:rowOff>17011</xdr:rowOff>
    </xdr:from>
    <xdr:to>
      <xdr:col>15</xdr:col>
      <xdr:colOff>32315</xdr:colOff>
      <xdr:row>88</xdr:row>
      <xdr:rowOff>192201</xdr:rowOff>
    </xdr:to>
    <xdr:cxnSp macro="">
      <xdr:nvCxnSpPr>
        <xdr:cNvPr id="76" name="Straight Connector 75"/>
        <xdr:cNvCxnSpPr/>
      </xdr:nvCxnSpPr>
      <xdr:spPr>
        <a:xfrm flipV="1">
          <a:off x="8609239" y="16590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85</xdr:row>
      <xdr:rowOff>17011</xdr:rowOff>
    </xdr:from>
    <xdr:to>
      <xdr:col>15</xdr:col>
      <xdr:colOff>32315</xdr:colOff>
      <xdr:row>86</xdr:row>
      <xdr:rowOff>192201</xdr:rowOff>
    </xdr:to>
    <xdr:cxnSp macro="">
      <xdr:nvCxnSpPr>
        <xdr:cNvPr id="77" name="Straight Connector 76"/>
        <xdr:cNvCxnSpPr/>
      </xdr:nvCxnSpPr>
      <xdr:spPr>
        <a:xfrm flipV="1">
          <a:off x="8609239" y="16209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83</xdr:row>
      <xdr:rowOff>3403</xdr:rowOff>
    </xdr:from>
    <xdr:to>
      <xdr:col>15</xdr:col>
      <xdr:colOff>18708</xdr:colOff>
      <xdr:row>84</xdr:row>
      <xdr:rowOff>178593</xdr:rowOff>
    </xdr:to>
    <xdr:cxnSp macro="">
      <xdr:nvCxnSpPr>
        <xdr:cNvPr id="78" name="Straight Connector 77"/>
        <xdr:cNvCxnSpPr/>
      </xdr:nvCxnSpPr>
      <xdr:spPr>
        <a:xfrm flipV="1">
          <a:off x="8595632" y="15814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52</xdr:row>
      <xdr:rowOff>27214</xdr:rowOff>
    </xdr:from>
    <xdr:to>
      <xdr:col>15</xdr:col>
      <xdr:colOff>898072</xdr:colOff>
      <xdr:row>53</xdr:row>
      <xdr:rowOff>149678</xdr:rowOff>
    </xdr:to>
    <xdr:cxnSp macro="">
      <xdr:nvCxnSpPr>
        <xdr:cNvPr id="79" name="Straight Connector 78"/>
        <xdr:cNvCxnSpPr/>
      </xdr:nvCxnSpPr>
      <xdr:spPr>
        <a:xfrm flipV="1">
          <a:off x="9171214" y="9933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80" name="Straight Connector 79"/>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81" name="Straight Connector 80"/>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82" name="Straight Connector 81"/>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83" name="Straight Connector 82"/>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62</xdr:row>
      <xdr:rowOff>27214</xdr:rowOff>
    </xdr:from>
    <xdr:to>
      <xdr:col>15</xdr:col>
      <xdr:colOff>898072</xdr:colOff>
      <xdr:row>63</xdr:row>
      <xdr:rowOff>149678</xdr:rowOff>
    </xdr:to>
    <xdr:cxnSp macro="">
      <xdr:nvCxnSpPr>
        <xdr:cNvPr id="84" name="Straight Connector 83"/>
        <xdr:cNvCxnSpPr/>
      </xdr:nvCxnSpPr>
      <xdr:spPr>
        <a:xfrm flipV="1">
          <a:off x="9171214" y="11838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62</xdr:row>
      <xdr:rowOff>13607</xdr:rowOff>
    </xdr:from>
    <xdr:to>
      <xdr:col>10</xdr:col>
      <xdr:colOff>911677</xdr:colOff>
      <xdr:row>64</xdr:row>
      <xdr:rowOff>0</xdr:rowOff>
    </xdr:to>
    <xdr:cxnSp macro="">
      <xdr:nvCxnSpPr>
        <xdr:cNvPr id="85" name="Straight Connector 84"/>
        <xdr:cNvCxnSpPr/>
      </xdr:nvCxnSpPr>
      <xdr:spPr>
        <a:xfrm flipV="1">
          <a:off x="6109607" y="11824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62</xdr:row>
      <xdr:rowOff>13608</xdr:rowOff>
    </xdr:from>
    <xdr:to>
      <xdr:col>12</xdr:col>
      <xdr:colOff>27214</xdr:colOff>
      <xdr:row>63</xdr:row>
      <xdr:rowOff>190502</xdr:rowOff>
    </xdr:to>
    <xdr:cxnSp macro="">
      <xdr:nvCxnSpPr>
        <xdr:cNvPr id="86" name="Straight Connector 85"/>
        <xdr:cNvCxnSpPr/>
      </xdr:nvCxnSpPr>
      <xdr:spPr>
        <a:xfrm flipV="1">
          <a:off x="6787242" y="1182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62</xdr:row>
      <xdr:rowOff>17011</xdr:rowOff>
    </xdr:from>
    <xdr:to>
      <xdr:col>12</xdr:col>
      <xdr:colOff>916780</xdr:colOff>
      <xdr:row>63</xdr:row>
      <xdr:rowOff>192201</xdr:rowOff>
    </xdr:to>
    <xdr:cxnSp macro="">
      <xdr:nvCxnSpPr>
        <xdr:cNvPr id="87" name="Straight Connector 86"/>
        <xdr:cNvCxnSpPr/>
      </xdr:nvCxnSpPr>
      <xdr:spPr>
        <a:xfrm flipV="1">
          <a:off x="7349218" y="1182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62</xdr:row>
      <xdr:rowOff>54428</xdr:rowOff>
    </xdr:from>
    <xdr:to>
      <xdr:col>14</xdr:col>
      <xdr:colOff>884463</xdr:colOff>
      <xdr:row>63</xdr:row>
      <xdr:rowOff>163285</xdr:rowOff>
    </xdr:to>
    <xdr:cxnSp macro="">
      <xdr:nvCxnSpPr>
        <xdr:cNvPr id="88" name="Straight Connector 87"/>
        <xdr:cNvCxnSpPr/>
      </xdr:nvCxnSpPr>
      <xdr:spPr>
        <a:xfrm flipV="1">
          <a:off x="8537119" y="11865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79</xdr:row>
      <xdr:rowOff>13610</xdr:rowOff>
    </xdr:from>
    <xdr:to>
      <xdr:col>15</xdr:col>
      <xdr:colOff>54429</xdr:colOff>
      <xdr:row>80</xdr:row>
      <xdr:rowOff>163286</xdr:rowOff>
    </xdr:to>
    <xdr:cxnSp macro="">
      <xdr:nvCxnSpPr>
        <xdr:cNvPr id="89" name="Straight Connector 88"/>
        <xdr:cNvCxnSpPr/>
      </xdr:nvCxnSpPr>
      <xdr:spPr>
        <a:xfrm flipV="1">
          <a:off x="8585427" y="15063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45</xdr:row>
      <xdr:rowOff>13607</xdr:rowOff>
    </xdr:from>
    <xdr:to>
      <xdr:col>10</xdr:col>
      <xdr:colOff>911677</xdr:colOff>
      <xdr:row>47</xdr:row>
      <xdr:rowOff>0</xdr:rowOff>
    </xdr:to>
    <xdr:cxnSp macro="">
      <xdr:nvCxnSpPr>
        <xdr:cNvPr id="90" name="Straight Connector 89"/>
        <xdr:cNvCxnSpPr/>
      </xdr:nvCxnSpPr>
      <xdr:spPr>
        <a:xfrm flipV="1">
          <a:off x="6109607" y="8586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91" name="Straight Connector 90"/>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92" name="Straight Connector 91"/>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45</xdr:row>
      <xdr:rowOff>54428</xdr:rowOff>
    </xdr:from>
    <xdr:to>
      <xdr:col>14</xdr:col>
      <xdr:colOff>884463</xdr:colOff>
      <xdr:row>46</xdr:row>
      <xdr:rowOff>163285</xdr:rowOff>
    </xdr:to>
    <xdr:cxnSp macro="">
      <xdr:nvCxnSpPr>
        <xdr:cNvPr id="93" name="Straight Connector 92"/>
        <xdr:cNvCxnSpPr/>
      </xdr:nvCxnSpPr>
      <xdr:spPr>
        <a:xfrm flipV="1">
          <a:off x="8537119" y="8626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49</xdr:row>
      <xdr:rowOff>27214</xdr:rowOff>
    </xdr:from>
    <xdr:to>
      <xdr:col>15</xdr:col>
      <xdr:colOff>898072</xdr:colOff>
      <xdr:row>50</xdr:row>
      <xdr:rowOff>149678</xdr:rowOff>
    </xdr:to>
    <xdr:cxnSp macro="">
      <xdr:nvCxnSpPr>
        <xdr:cNvPr id="94" name="Straight Connector 93"/>
        <xdr:cNvCxnSpPr/>
      </xdr:nvCxnSpPr>
      <xdr:spPr>
        <a:xfrm flipV="1">
          <a:off x="9171214" y="9361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49</xdr:row>
      <xdr:rowOff>13607</xdr:rowOff>
    </xdr:from>
    <xdr:to>
      <xdr:col>10</xdr:col>
      <xdr:colOff>911677</xdr:colOff>
      <xdr:row>51</xdr:row>
      <xdr:rowOff>0</xdr:rowOff>
    </xdr:to>
    <xdr:cxnSp macro="">
      <xdr:nvCxnSpPr>
        <xdr:cNvPr id="95" name="Straight Connector 94"/>
        <xdr:cNvCxnSpPr/>
      </xdr:nvCxnSpPr>
      <xdr:spPr>
        <a:xfrm flipV="1">
          <a:off x="6109607" y="9348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49</xdr:row>
      <xdr:rowOff>13608</xdr:rowOff>
    </xdr:from>
    <xdr:to>
      <xdr:col>12</xdr:col>
      <xdr:colOff>27214</xdr:colOff>
      <xdr:row>50</xdr:row>
      <xdr:rowOff>190502</xdr:rowOff>
    </xdr:to>
    <xdr:cxnSp macro="">
      <xdr:nvCxnSpPr>
        <xdr:cNvPr id="96" name="Straight Connector 95"/>
        <xdr:cNvCxnSpPr/>
      </xdr:nvCxnSpPr>
      <xdr:spPr>
        <a:xfrm flipV="1">
          <a:off x="6787242" y="9348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49</xdr:row>
      <xdr:rowOff>17011</xdr:rowOff>
    </xdr:from>
    <xdr:to>
      <xdr:col>12</xdr:col>
      <xdr:colOff>916780</xdr:colOff>
      <xdr:row>50</xdr:row>
      <xdr:rowOff>192201</xdr:rowOff>
    </xdr:to>
    <xdr:cxnSp macro="">
      <xdr:nvCxnSpPr>
        <xdr:cNvPr id="97" name="Straight Connector 96"/>
        <xdr:cNvCxnSpPr/>
      </xdr:nvCxnSpPr>
      <xdr:spPr>
        <a:xfrm flipV="1">
          <a:off x="7349218" y="9351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49</xdr:row>
      <xdr:rowOff>54428</xdr:rowOff>
    </xdr:from>
    <xdr:to>
      <xdr:col>14</xdr:col>
      <xdr:colOff>884463</xdr:colOff>
      <xdr:row>50</xdr:row>
      <xdr:rowOff>163285</xdr:rowOff>
    </xdr:to>
    <xdr:cxnSp macro="">
      <xdr:nvCxnSpPr>
        <xdr:cNvPr id="98" name="Straight Connector 97"/>
        <xdr:cNvCxnSpPr/>
      </xdr:nvCxnSpPr>
      <xdr:spPr>
        <a:xfrm flipV="1">
          <a:off x="8537119" y="9388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47</xdr:row>
      <xdr:rowOff>27214</xdr:rowOff>
    </xdr:from>
    <xdr:to>
      <xdr:col>15</xdr:col>
      <xdr:colOff>898072</xdr:colOff>
      <xdr:row>48</xdr:row>
      <xdr:rowOff>149678</xdr:rowOff>
    </xdr:to>
    <xdr:cxnSp macro="">
      <xdr:nvCxnSpPr>
        <xdr:cNvPr id="99" name="Straight Connector 98"/>
        <xdr:cNvCxnSpPr/>
      </xdr:nvCxnSpPr>
      <xdr:spPr>
        <a:xfrm flipV="1">
          <a:off x="9171214" y="8980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100" name="Straight Connector 99"/>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101" name="Straight Connector 100"/>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102" name="Straight Connector 101"/>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103" name="Straight Connector 102"/>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110</xdr:row>
      <xdr:rowOff>0</xdr:rowOff>
    </xdr:from>
    <xdr:ext cx="17150072" cy="3743326"/>
    <xdr:pic>
      <xdr:nvPicPr>
        <xdr:cNvPr id="104" name="Picture 103"/>
        <xdr:cNvPicPr>
          <a:picLocks noChangeAspect="1" noChangeArrowheads="1"/>
          <a:extLst/>
        </xdr:cNvPicPr>
      </xdr:nvPicPr>
      <xdr:blipFill>
        <a:blip xmlns:r="http://schemas.openxmlformats.org/officeDocument/2006/relationships" r:embed="rId1"/>
        <a:srcRect/>
        <a:stretch>
          <a:fillRect/>
        </a:stretch>
      </xdr:blipFill>
      <xdr:spPr bwMode="auto">
        <a:xfrm>
          <a:off x="609600" y="20955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126</xdr:row>
      <xdr:rowOff>176894</xdr:rowOff>
    </xdr:from>
    <xdr:ext cx="18008063" cy="3743325"/>
    <xdr:pic>
      <xdr:nvPicPr>
        <xdr:cNvPr id="105" name="Picture 104"/>
        <xdr:cNvPicPr>
          <a:picLocks noChangeAspect="1" noChangeArrowheads="1"/>
          <a:extLst/>
        </xdr:cNvPicPr>
      </xdr:nvPicPr>
      <xdr:blipFill>
        <a:blip xmlns:r="http://schemas.openxmlformats.org/officeDocument/2006/relationships" r:embed="rId2"/>
        <a:srcRect/>
        <a:stretch>
          <a:fillRect/>
        </a:stretch>
      </xdr:blipFill>
      <xdr:spPr bwMode="auto">
        <a:xfrm>
          <a:off x="621846" y="24179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34</xdr:row>
      <xdr:rowOff>13608</xdr:rowOff>
    </xdr:from>
    <xdr:to>
      <xdr:col>12</xdr:col>
      <xdr:colOff>27214</xdr:colOff>
      <xdr:row>35</xdr:row>
      <xdr:rowOff>190502</xdr:rowOff>
    </xdr:to>
    <xdr:cxnSp macro="">
      <xdr:nvCxnSpPr>
        <xdr:cNvPr id="106" name="Straight Connector 105"/>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07" name="Straight Connector 106"/>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34</xdr:row>
      <xdr:rowOff>0</xdr:rowOff>
    </xdr:from>
    <xdr:to>
      <xdr:col>15</xdr:col>
      <xdr:colOff>0</xdr:colOff>
      <xdr:row>35</xdr:row>
      <xdr:rowOff>190501</xdr:rowOff>
    </xdr:to>
    <xdr:cxnSp macro="">
      <xdr:nvCxnSpPr>
        <xdr:cNvPr id="108" name="Straight Connector 107"/>
        <xdr:cNvCxnSpPr/>
      </xdr:nvCxnSpPr>
      <xdr:spPr>
        <a:xfrm flipV="1">
          <a:off x="8533039" y="6477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27215</xdr:rowOff>
    </xdr:from>
    <xdr:to>
      <xdr:col>10</xdr:col>
      <xdr:colOff>911678</xdr:colOff>
      <xdr:row>36</xdr:row>
      <xdr:rowOff>0</xdr:rowOff>
    </xdr:to>
    <xdr:cxnSp macro="">
      <xdr:nvCxnSpPr>
        <xdr:cNvPr id="109" name="Straight Connector 108"/>
        <xdr:cNvCxnSpPr/>
      </xdr:nvCxnSpPr>
      <xdr:spPr>
        <a:xfrm flipV="1">
          <a:off x="6096000" y="6504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34</xdr:row>
      <xdr:rowOff>13607</xdr:rowOff>
    </xdr:from>
    <xdr:to>
      <xdr:col>16</xdr:col>
      <xdr:colOff>0</xdr:colOff>
      <xdr:row>36</xdr:row>
      <xdr:rowOff>0</xdr:rowOff>
    </xdr:to>
    <xdr:cxnSp macro="">
      <xdr:nvCxnSpPr>
        <xdr:cNvPr id="110" name="Straight Connector 109"/>
        <xdr:cNvCxnSpPr/>
      </xdr:nvCxnSpPr>
      <xdr:spPr>
        <a:xfrm flipV="1">
          <a:off x="9171214" y="6490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54</xdr:row>
      <xdr:rowOff>40821</xdr:rowOff>
    </xdr:from>
    <xdr:to>
      <xdr:col>15</xdr:col>
      <xdr:colOff>952500</xdr:colOff>
      <xdr:row>55</xdr:row>
      <xdr:rowOff>163285</xdr:rowOff>
    </xdr:to>
    <xdr:cxnSp macro="">
      <xdr:nvCxnSpPr>
        <xdr:cNvPr id="111" name="Straight Connector 110"/>
        <xdr:cNvCxnSpPr/>
      </xdr:nvCxnSpPr>
      <xdr:spPr>
        <a:xfrm flipV="1">
          <a:off x="9225642" y="10327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12" name="Straight Connector 111"/>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13" name="Straight Connector 112"/>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14" name="Straight Connector 113"/>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15" name="Straight Connector 114"/>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116" name="Straight Connector 115"/>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17" name="Straight Connector 116"/>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18" name="Straight Connector 117"/>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19" name="Straight Connector 118"/>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20" name="Straight Connector 119"/>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21" name="Straight Connector 120"/>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22" name="Straight Connector 121"/>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23" name="Straight Connector 122"/>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24" name="Straight Connector 123"/>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25" name="Straight Connector 124"/>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126" name="Straight Connector 125"/>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127" name="Straight Connector 126"/>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128" name="Straight Connector 127"/>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129" name="Straight Connector 128"/>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130" name="Straight Connector 129"/>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45</xdr:row>
      <xdr:rowOff>27216</xdr:rowOff>
    </xdr:from>
    <xdr:to>
      <xdr:col>16</xdr:col>
      <xdr:colOff>27215</xdr:colOff>
      <xdr:row>46</xdr:row>
      <xdr:rowOff>176893</xdr:rowOff>
    </xdr:to>
    <xdr:cxnSp macro="">
      <xdr:nvCxnSpPr>
        <xdr:cNvPr id="131" name="Straight Connector 130"/>
        <xdr:cNvCxnSpPr/>
      </xdr:nvCxnSpPr>
      <xdr:spPr>
        <a:xfrm flipV="1">
          <a:off x="9198428" y="8599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32" name="Straight Connector 131"/>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33" name="Straight Connector 132"/>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34" name="Straight Connector 133"/>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30</xdr:row>
      <xdr:rowOff>13609</xdr:rowOff>
    </xdr:from>
    <xdr:to>
      <xdr:col>10</xdr:col>
      <xdr:colOff>911678</xdr:colOff>
      <xdr:row>31</xdr:row>
      <xdr:rowOff>190501</xdr:rowOff>
    </xdr:to>
    <xdr:cxnSp macro="">
      <xdr:nvCxnSpPr>
        <xdr:cNvPr id="135" name="Straight Connector 134"/>
        <xdr:cNvCxnSpPr/>
      </xdr:nvCxnSpPr>
      <xdr:spPr>
        <a:xfrm flipV="1">
          <a:off x="6109607" y="5728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36" name="Straight Connector 135"/>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36</xdr:row>
      <xdr:rowOff>13608</xdr:rowOff>
    </xdr:from>
    <xdr:to>
      <xdr:col>12</xdr:col>
      <xdr:colOff>27214</xdr:colOff>
      <xdr:row>37</xdr:row>
      <xdr:rowOff>190500</xdr:rowOff>
    </xdr:to>
    <xdr:cxnSp macro="">
      <xdr:nvCxnSpPr>
        <xdr:cNvPr id="137" name="Straight Connector 136"/>
        <xdr:cNvCxnSpPr/>
      </xdr:nvCxnSpPr>
      <xdr:spPr>
        <a:xfrm flipV="1">
          <a:off x="6732814" y="6871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38" name="Straight Connector 137"/>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35</xdr:row>
      <xdr:rowOff>190500</xdr:rowOff>
    </xdr:from>
    <xdr:to>
      <xdr:col>15</xdr:col>
      <xdr:colOff>27214</xdr:colOff>
      <xdr:row>37</xdr:row>
      <xdr:rowOff>176894</xdr:rowOff>
    </xdr:to>
    <xdr:cxnSp macro="">
      <xdr:nvCxnSpPr>
        <xdr:cNvPr id="139" name="Straight Connector 138"/>
        <xdr:cNvCxnSpPr/>
      </xdr:nvCxnSpPr>
      <xdr:spPr>
        <a:xfrm flipV="1">
          <a:off x="8561614" y="6858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36</xdr:row>
      <xdr:rowOff>0</xdr:rowOff>
    </xdr:from>
    <xdr:to>
      <xdr:col>11</xdr:col>
      <xdr:colOff>13607</xdr:colOff>
      <xdr:row>37</xdr:row>
      <xdr:rowOff>176892</xdr:rowOff>
    </xdr:to>
    <xdr:cxnSp macro="">
      <xdr:nvCxnSpPr>
        <xdr:cNvPr id="140" name="Straight Connector 139"/>
        <xdr:cNvCxnSpPr/>
      </xdr:nvCxnSpPr>
      <xdr:spPr>
        <a:xfrm flipV="1">
          <a:off x="6123215" y="6858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36</xdr:row>
      <xdr:rowOff>0</xdr:rowOff>
    </xdr:from>
    <xdr:to>
      <xdr:col>15</xdr:col>
      <xdr:colOff>952500</xdr:colOff>
      <xdr:row>37</xdr:row>
      <xdr:rowOff>190501</xdr:rowOff>
    </xdr:to>
    <xdr:cxnSp macro="">
      <xdr:nvCxnSpPr>
        <xdr:cNvPr id="141" name="Straight Connector 140"/>
        <xdr:cNvCxnSpPr/>
      </xdr:nvCxnSpPr>
      <xdr:spPr>
        <a:xfrm flipV="1">
          <a:off x="9141279" y="6858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142" name="Straight Connector 141"/>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43" name="Straight Connector 142"/>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44" name="Straight Connector 143"/>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145" name="Straight Connector 144"/>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46" name="Straight Connector 145"/>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47" name="Straight Connector 146"/>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48" name="Straight Connector 147"/>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49" name="Straight Connector 148"/>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50" name="Straight Connector 149"/>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51" name="Straight Connector 150"/>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152" name="Straight Connector 151"/>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153" name="Straight Connector 152"/>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154" name="Straight Connector 153"/>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155" name="Straight Connector 154"/>
        <xdr:cNvCxnSpPr/>
      </xdr:nvCxnSpPr>
      <xdr:spPr>
        <a:xfrm flipV="1">
          <a:off x="6109607" y="3429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156" name="Straight Connector 155"/>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28</xdr:row>
      <xdr:rowOff>13609</xdr:rowOff>
    </xdr:from>
    <xdr:to>
      <xdr:col>12</xdr:col>
      <xdr:colOff>27214</xdr:colOff>
      <xdr:row>30</xdr:row>
      <xdr:rowOff>0</xdr:rowOff>
    </xdr:to>
    <xdr:cxnSp macro="">
      <xdr:nvCxnSpPr>
        <xdr:cNvPr id="157" name="Straight Connector 156"/>
        <xdr:cNvCxnSpPr/>
      </xdr:nvCxnSpPr>
      <xdr:spPr>
        <a:xfrm flipV="1">
          <a:off x="6719207" y="5347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58" name="Straight Connector 157"/>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59" name="Straight Connector 158"/>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2</xdr:rowOff>
    </xdr:from>
    <xdr:to>
      <xdr:col>11</xdr:col>
      <xdr:colOff>40820</xdr:colOff>
      <xdr:row>30</xdr:row>
      <xdr:rowOff>0</xdr:rowOff>
    </xdr:to>
    <xdr:cxnSp macro="">
      <xdr:nvCxnSpPr>
        <xdr:cNvPr id="160" name="Straight Connector 159"/>
        <xdr:cNvCxnSpPr/>
      </xdr:nvCxnSpPr>
      <xdr:spPr>
        <a:xfrm flipV="1">
          <a:off x="6109607" y="5334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61" name="Straight Connector 160"/>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12</xdr:row>
      <xdr:rowOff>13609</xdr:rowOff>
    </xdr:from>
    <xdr:to>
      <xdr:col>12</xdr:col>
      <xdr:colOff>27214</xdr:colOff>
      <xdr:row>14</xdr:row>
      <xdr:rowOff>0</xdr:rowOff>
    </xdr:to>
    <xdr:cxnSp macro="">
      <xdr:nvCxnSpPr>
        <xdr:cNvPr id="162" name="Straight Connector 161"/>
        <xdr:cNvCxnSpPr/>
      </xdr:nvCxnSpPr>
      <xdr:spPr>
        <a:xfrm flipV="1">
          <a:off x="6719207" y="2299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163" name="Straight Connector 162"/>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164" name="Straight Connector 163"/>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12</xdr:row>
      <xdr:rowOff>2</xdr:rowOff>
    </xdr:from>
    <xdr:to>
      <xdr:col>11</xdr:col>
      <xdr:colOff>40820</xdr:colOff>
      <xdr:row>14</xdr:row>
      <xdr:rowOff>0</xdr:rowOff>
    </xdr:to>
    <xdr:cxnSp macro="">
      <xdr:nvCxnSpPr>
        <xdr:cNvPr id="165" name="Straight Connector 164"/>
        <xdr:cNvCxnSpPr/>
      </xdr:nvCxnSpPr>
      <xdr:spPr>
        <a:xfrm flipV="1">
          <a:off x="6109607" y="2286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166" name="Straight Connector 165"/>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14</xdr:row>
      <xdr:rowOff>13609</xdr:rowOff>
    </xdr:from>
    <xdr:to>
      <xdr:col>12</xdr:col>
      <xdr:colOff>27214</xdr:colOff>
      <xdr:row>16</xdr:row>
      <xdr:rowOff>0</xdr:rowOff>
    </xdr:to>
    <xdr:cxnSp macro="">
      <xdr:nvCxnSpPr>
        <xdr:cNvPr id="167" name="Straight Connector 166"/>
        <xdr:cNvCxnSpPr/>
      </xdr:nvCxnSpPr>
      <xdr:spPr>
        <a:xfrm flipV="1">
          <a:off x="6719207" y="2680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68" name="Straight Connector 167"/>
        <xdr:cNvCxnSpPr/>
      </xdr:nvCxnSpPr>
      <xdr:spPr>
        <a:xfrm flipV="1">
          <a:off x="7349218" y="2684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69" name="Straight Connector 168"/>
        <xdr:cNvCxnSpPr/>
      </xdr:nvCxnSpPr>
      <xdr:spPr>
        <a:xfrm flipV="1">
          <a:off x="8561613" y="2707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14</xdr:row>
      <xdr:rowOff>2</xdr:rowOff>
    </xdr:from>
    <xdr:to>
      <xdr:col>11</xdr:col>
      <xdr:colOff>40820</xdr:colOff>
      <xdr:row>16</xdr:row>
      <xdr:rowOff>0</xdr:rowOff>
    </xdr:to>
    <xdr:cxnSp macro="">
      <xdr:nvCxnSpPr>
        <xdr:cNvPr id="170" name="Straight Connector 169"/>
        <xdr:cNvCxnSpPr/>
      </xdr:nvCxnSpPr>
      <xdr:spPr>
        <a:xfrm flipV="1">
          <a:off x="6109607" y="2667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71" name="Straight Connector 170"/>
        <xdr:cNvCxnSpPr/>
      </xdr:nvCxnSpPr>
      <xdr:spPr>
        <a:xfrm flipV="1">
          <a:off x="9198428" y="2694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42</xdr:row>
      <xdr:rowOff>13608</xdr:rowOff>
    </xdr:from>
    <xdr:to>
      <xdr:col>12</xdr:col>
      <xdr:colOff>27214</xdr:colOff>
      <xdr:row>43</xdr:row>
      <xdr:rowOff>190502</xdr:rowOff>
    </xdr:to>
    <xdr:cxnSp macro="">
      <xdr:nvCxnSpPr>
        <xdr:cNvPr id="172" name="Straight Connector 171"/>
        <xdr:cNvCxnSpPr/>
      </xdr:nvCxnSpPr>
      <xdr:spPr>
        <a:xfrm flipV="1">
          <a:off x="6787242" y="801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42</xdr:row>
      <xdr:rowOff>17011</xdr:rowOff>
    </xdr:from>
    <xdr:to>
      <xdr:col>12</xdr:col>
      <xdr:colOff>916780</xdr:colOff>
      <xdr:row>43</xdr:row>
      <xdr:rowOff>192201</xdr:rowOff>
    </xdr:to>
    <xdr:cxnSp macro="">
      <xdr:nvCxnSpPr>
        <xdr:cNvPr id="173" name="Straight Connector 172"/>
        <xdr:cNvCxnSpPr/>
      </xdr:nvCxnSpPr>
      <xdr:spPr>
        <a:xfrm flipV="1">
          <a:off x="7349218" y="801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42</xdr:row>
      <xdr:rowOff>40821</xdr:rowOff>
    </xdr:from>
    <xdr:to>
      <xdr:col>14</xdr:col>
      <xdr:colOff>911678</xdr:colOff>
      <xdr:row>43</xdr:row>
      <xdr:rowOff>149677</xdr:rowOff>
    </xdr:to>
    <xdr:cxnSp macro="">
      <xdr:nvCxnSpPr>
        <xdr:cNvPr id="174" name="Straight Connector 173"/>
        <xdr:cNvCxnSpPr/>
      </xdr:nvCxnSpPr>
      <xdr:spPr>
        <a:xfrm flipV="1">
          <a:off x="8561613" y="804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42</xdr:row>
      <xdr:rowOff>27215</xdr:rowOff>
    </xdr:from>
    <xdr:to>
      <xdr:col>10</xdr:col>
      <xdr:colOff>911678</xdr:colOff>
      <xdr:row>44</xdr:row>
      <xdr:rowOff>0</xdr:rowOff>
    </xdr:to>
    <xdr:cxnSp macro="">
      <xdr:nvCxnSpPr>
        <xdr:cNvPr id="175" name="Straight Connector 174"/>
        <xdr:cNvCxnSpPr/>
      </xdr:nvCxnSpPr>
      <xdr:spPr>
        <a:xfrm flipV="1">
          <a:off x="6096000" y="8028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42</xdr:row>
      <xdr:rowOff>27216</xdr:rowOff>
    </xdr:from>
    <xdr:to>
      <xdr:col>16</xdr:col>
      <xdr:colOff>27215</xdr:colOff>
      <xdr:row>43</xdr:row>
      <xdr:rowOff>176893</xdr:rowOff>
    </xdr:to>
    <xdr:cxnSp macro="">
      <xdr:nvCxnSpPr>
        <xdr:cNvPr id="176" name="Straight Connector 175"/>
        <xdr:cNvCxnSpPr/>
      </xdr:nvCxnSpPr>
      <xdr:spPr>
        <a:xfrm flipV="1">
          <a:off x="9198428" y="802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77" name="Straight Connector 176"/>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78" name="Straight Connector 177"/>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79" name="Straight Connector 178"/>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80" name="Straight Connector 179"/>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81" name="Straight Connector 180"/>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182" name="Straight Connector 181"/>
        <xdr:cNvCxnSpPr/>
      </xdr:nvCxnSpPr>
      <xdr:spPr>
        <a:xfrm flipV="1">
          <a:off x="6109607" y="3048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83" name="Straight Connector 182"/>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38</xdr:row>
      <xdr:rowOff>13608</xdr:rowOff>
    </xdr:from>
    <xdr:to>
      <xdr:col>12</xdr:col>
      <xdr:colOff>27214</xdr:colOff>
      <xdr:row>39</xdr:row>
      <xdr:rowOff>190502</xdr:rowOff>
    </xdr:to>
    <xdr:cxnSp macro="">
      <xdr:nvCxnSpPr>
        <xdr:cNvPr id="184" name="Straight Connector 183"/>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185" name="Straight Connector 184"/>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38</xdr:row>
      <xdr:rowOff>40821</xdr:rowOff>
    </xdr:from>
    <xdr:to>
      <xdr:col>14</xdr:col>
      <xdr:colOff>911678</xdr:colOff>
      <xdr:row>39</xdr:row>
      <xdr:rowOff>149677</xdr:rowOff>
    </xdr:to>
    <xdr:cxnSp macro="">
      <xdr:nvCxnSpPr>
        <xdr:cNvPr id="186" name="Straight Connector 185"/>
        <xdr:cNvCxnSpPr/>
      </xdr:nvCxnSpPr>
      <xdr:spPr>
        <a:xfrm flipV="1">
          <a:off x="8561613" y="727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187" name="Straight Connector 186"/>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188" name="Straight Connector 187"/>
        <xdr:cNvCxnSpPr/>
      </xdr:nvCxnSpPr>
      <xdr:spPr>
        <a:xfrm flipV="1">
          <a:off x="9198428" y="726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189" name="Straight Connector 188"/>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90" name="Straight Connector 189"/>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191" name="Straight Connector 190"/>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27216</xdr:rowOff>
    </xdr:from>
    <xdr:to>
      <xdr:col>10</xdr:col>
      <xdr:colOff>898071</xdr:colOff>
      <xdr:row>34</xdr:row>
      <xdr:rowOff>0</xdr:rowOff>
    </xdr:to>
    <xdr:cxnSp macro="">
      <xdr:nvCxnSpPr>
        <xdr:cNvPr id="192" name="Straight Connector 191"/>
        <xdr:cNvCxnSpPr/>
      </xdr:nvCxnSpPr>
      <xdr:spPr>
        <a:xfrm flipV="1">
          <a:off x="6096000" y="6123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193" name="Straight Connector 192"/>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194" name="Straight Connector 193"/>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195" name="Straight Connector 194"/>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196" name="Straight Connector 195"/>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197" name="Straight Connector 196"/>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198" name="Straight Connector 197"/>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99" name="Straight Connector 198"/>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200" name="Straight Connector 199"/>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201" name="Straight Connector 200"/>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202" name="Straight Connector 201"/>
        <xdr:cNvCxnSpPr/>
      </xdr:nvCxnSpPr>
      <xdr:spPr>
        <a:xfrm flipV="1">
          <a:off x="6164035" y="1143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203" name="Straight Connector 202"/>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204" name="Straight Connector 203"/>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205" name="Straight Connector 204"/>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206" name="Straight Connector 205"/>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207" name="Straight Connector 206"/>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208" name="Straight Connector 207"/>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209" name="Straight Connector 208"/>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210" name="Straight Connector 209"/>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211" name="Straight Connector 210"/>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212" name="Straight Connector 211"/>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213" name="Straight Connector 212"/>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214" name="Straight Connector 213"/>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215" name="Straight Connector 214"/>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216" name="Straight Connector 215"/>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217" name="Straight Connector 216"/>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18" name="Straight Connector 217"/>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74</xdr:row>
      <xdr:rowOff>13608</xdr:rowOff>
    </xdr:from>
    <xdr:to>
      <xdr:col>11</xdr:col>
      <xdr:colOff>898071</xdr:colOff>
      <xdr:row>75</xdr:row>
      <xdr:rowOff>190502</xdr:rowOff>
    </xdr:to>
    <xdr:cxnSp macro="">
      <xdr:nvCxnSpPr>
        <xdr:cNvPr id="219" name="Straight Connector 218"/>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220" name="Straight Connector 219"/>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221" name="Straight Connector 220"/>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74</xdr:row>
      <xdr:rowOff>13608</xdr:rowOff>
    </xdr:from>
    <xdr:to>
      <xdr:col>10</xdr:col>
      <xdr:colOff>884464</xdr:colOff>
      <xdr:row>76</xdr:row>
      <xdr:rowOff>0</xdr:rowOff>
    </xdr:to>
    <xdr:cxnSp macro="">
      <xdr:nvCxnSpPr>
        <xdr:cNvPr id="222" name="Straight Connector 221"/>
        <xdr:cNvCxnSpPr/>
      </xdr:nvCxnSpPr>
      <xdr:spPr>
        <a:xfrm flipV="1">
          <a:off x="6097361" y="14110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74</xdr:row>
      <xdr:rowOff>27217</xdr:rowOff>
    </xdr:from>
    <xdr:to>
      <xdr:col>15</xdr:col>
      <xdr:colOff>938894</xdr:colOff>
      <xdr:row>75</xdr:row>
      <xdr:rowOff>201084</xdr:rowOff>
    </xdr:to>
    <xdr:cxnSp macro="">
      <xdr:nvCxnSpPr>
        <xdr:cNvPr id="223" name="Straight Connector 222"/>
        <xdr:cNvCxnSpPr/>
      </xdr:nvCxnSpPr>
      <xdr:spPr>
        <a:xfrm flipV="1">
          <a:off x="9154584" y="14124217"/>
          <a:ext cx="594935" cy="354842"/>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224" name="Straight Connector 223"/>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225" name="Straight Connector 224"/>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226" name="Straight Connector 225"/>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227" name="Straight Connector 226"/>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28" name="Straight Connector 227"/>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76</xdr:row>
      <xdr:rowOff>27219</xdr:rowOff>
    </xdr:from>
    <xdr:to>
      <xdr:col>15</xdr:col>
      <xdr:colOff>938894</xdr:colOff>
      <xdr:row>78</xdr:row>
      <xdr:rowOff>10583</xdr:rowOff>
    </xdr:to>
    <xdr:cxnSp macro="">
      <xdr:nvCxnSpPr>
        <xdr:cNvPr id="229" name="Straight Connector 228"/>
        <xdr:cNvCxnSpPr/>
      </xdr:nvCxnSpPr>
      <xdr:spPr>
        <a:xfrm flipV="1">
          <a:off x="9154584" y="14505219"/>
          <a:ext cx="594935" cy="364364"/>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230" name="Straight Connector 229"/>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231" name="Straight Connector 230"/>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232" name="Straight Connector 231"/>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233" name="Straight Connector 232"/>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234" name="Straight Connector 233"/>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11</xdr:col>
      <xdr:colOff>13607</xdr:colOff>
      <xdr:row>68</xdr:row>
      <xdr:rowOff>13608</xdr:rowOff>
    </xdr:from>
    <xdr:to>
      <xdr:col>11</xdr:col>
      <xdr:colOff>898071</xdr:colOff>
      <xdr:row>69</xdr:row>
      <xdr:rowOff>190502</xdr:rowOff>
    </xdr:to>
    <xdr:cxnSp macro="">
      <xdr:nvCxnSpPr>
        <xdr:cNvPr id="2" name="Straight Connector 1"/>
        <xdr:cNvCxnSpPr/>
      </xdr:nvCxnSpPr>
      <xdr:spPr>
        <a:xfrm flipV="1">
          <a:off x="6719207" y="12967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68</xdr:row>
      <xdr:rowOff>40824</xdr:rowOff>
    </xdr:from>
    <xdr:to>
      <xdr:col>12</xdr:col>
      <xdr:colOff>898072</xdr:colOff>
      <xdr:row>69</xdr:row>
      <xdr:rowOff>190500</xdr:rowOff>
    </xdr:to>
    <xdr:cxnSp macro="">
      <xdr:nvCxnSpPr>
        <xdr:cNvPr id="3" name="Straight Connector 2"/>
        <xdr:cNvCxnSpPr/>
      </xdr:nvCxnSpPr>
      <xdr:spPr>
        <a:xfrm flipV="1">
          <a:off x="7315200" y="12994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68</xdr:row>
      <xdr:rowOff>40824</xdr:rowOff>
    </xdr:from>
    <xdr:to>
      <xdr:col>14</xdr:col>
      <xdr:colOff>884465</xdr:colOff>
      <xdr:row>69</xdr:row>
      <xdr:rowOff>176893</xdr:rowOff>
    </xdr:to>
    <xdr:cxnSp macro="">
      <xdr:nvCxnSpPr>
        <xdr:cNvPr id="4" name="Straight Connector 3"/>
        <xdr:cNvCxnSpPr/>
      </xdr:nvCxnSpPr>
      <xdr:spPr>
        <a:xfrm flipV="1">
          <a:off x="8561614" y="12994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68</xdr:row>
      <xdr:rowOff>27214</xdr:rowOff>
    </xdr:from>
    <xdr:to>
      <xdr:col>16</xdr:col>
      <xdr:colOff>0</xdr:colOff>
      <xdr:row>70</xdr:row>
      <xdr:rowOff>0</xdr:rowOff>
    </xdr:to>
    <xdr:cxnSp macro="">
      <xdr:nvCxnSpPr>
        <xdr:cNvPr id="5" name="Straight Connector 4"/>
        <xdr:cNvCxnSpPr/>
      </xdr:nvCxnSpPr>
      <xdr:spPr>
        <a:xfrm flipV="1">
          <a:off x="9144001" y="12981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68</xdr:row>
      <xdr:rowOff>1</xdr:rowOff>
    </xdr:from>
    <xdr:to>
      <xdr:col>11</xdr:col>
      <xdr:colOff>13607</xdr:colOff>
      <xdr:row>69</xdr:row>
      <xdr:rowOff>176895</xdr:rowOff>
    </xdr:to>
    <xdr:cxnSp macro="">
      <xdr:nvCxnSpPr>
        <xdr:cNvPr id="6" name="Straight Connector 5"/>
        <xdr:cNvCxnSpPr/>
      </xdr:nvCxnSpPr>
      <xdr:spPr>
        <a:xfrm flipV="1">
          <a:off x="6150429" y="12954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74</xdr:row>
      <xdr:rowOff>13608</xdr:rowOff>
    </xdr:from>
    <xdr:to>
      <xdr:col>11</xdr:col>
      <xdr:colOff>898071</xdr:colOff>
      <xdr:row>75</xdr:row>
      <xdr:rowOff>190502</xdr:rowOff>
    </xdr:to>
    <xdr:cxnSp macro="">
      <xdr:nvCxnSpPr>
        <xdr:cNvPr id="7" name="Straight Connector 6"/>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8" name="Straight Connector 7"/>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9" name="Straight Connector 8"/>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74</xdr:row>
      <xdr:rowOff>13608</xdr:rowOff>
    </xdr:from>
    <xdr:to>
      <xdr:col>10</xdr:col>
      <xdr:colOff>884464</xdr:colOff>
      <xdr:row>76</xdr:row>
      <xdr:rowOff>0</xdr:rowOff>
    </xdr:to>
    <xdr:cxnSp macro="">
      <xdr:nvCxnSpPr>
        <xdr:cNvPr id="10" name="Straight Connector 9"/>
        <xdr:cNvCxnSpPr/>
      </xdr:nvCxnSpPr>
      <xdr:spPr>
        <a:xfrm flipV="1">
          <a:off x="6097361" y="14110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70</xdr:row>
      <xdr:rowOff>13608</xdr:rowOff>
    </xdr:from>
    <xdr:to>
      <xdr:col>11</xdr:col>
      <xdr:colOff>898071</xdr:colOff>
      <xdr:row>71</xdr:row>
      <xdr:rowOff>190502</xdr:rowOff>
    </xdr:to>
    <xdr:cxnSp macro="">
      <xdr:nvCxnSpPr>
        <xdr:cNvPr id="11" name="Straight Connector 10"/>
        <xdr:cNvCxnSpPr/>
      </xdr:nvCxnSpPr>
      <xdr:spPr>
        <a:xfrm flipV="1">
          <a:off x="6719207" y="13348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12" name="Straight Connector 11"/>
        <xdr:cNvCxnSpPr/>
      </xdr:nvCxnSpPr>
      <xdr:spPr>
        <a:xfrm flipV="1">
          <a:off x="7315200" y="13375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13" name="Straight Connector 12"/>
        <xdr:cNvCxnSpPr/>
      </xdr:nvCxnSpPr>
      <xdr:spPr>
        <a:xfrm flipV="1">
          <a:off x="8561614" y="13375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70</xdr:row>
      <xdr:rowOff>13608</xdr:rowOff>
    </xdr:from>
    <xdr:to>
      <xdr:col>10</xdr:col>
      <xdr:colOff>884464</xdr:colOff>
      <xdr:row>72</xdr:row>
      <xdr:rowOff>0</xdr:rowOff>
    </xdr:to>
    <xdr:cxnSp macro="">
      <xdr:nvCxnSpPr>
        <xdr:cNvPr id="14" name="Straight Connector 13"/>
        <xdr:cNvCxnSpPr/>
      </xdr:nvCxnSpPr>
      <xdr:spPr>
        <a:xfrm flipV="1">
          <a:off x="6097361" y="13348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70</xdr:row>
      <xdr:rowOff>27217</xdr:rowOff>
    </xdr:from>
    <xdr:to>
      <xdr:col>15</xdr:col>
      <xdr:colOff>938894</xdr:colOff>
      <xdr:row>71</xdr:row>
      <xdr:rowOff>201083</xdr:rowOff>
    </xdr:to>
    <xdr:cxnSp macro="">
      <xdr:nvCxnSpPr>
        <xdr:cNvPr id="15" name="Straight Connector 14"/>
        <xdr:cNvCxnSpPr/>
      </xdr:nvCxnSpPr>
      <xdr:spPr>
        <a:xfrm flipV="1">
          <a:off x="9154584" y="13362217"/>
          <a:ext cx="594935" cy="35484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16" name="Straight Connector 15"/>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17" name="Straight Connector 16"/>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18" name="Straight Connector 17"/>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19" name="Straight Connector 18"/>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20" name="Straight Connector 19"/>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21" name="Straight Connector 20"/>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22" name="Straight Connector 21"/>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23" name="Straight Connector 22"/>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24" name="Straight Connector 23"/>
        <xdr:cNvCxnSpPr/>
      </xdr:nvCxnSpPr>
      <xdr:spPr>
        <a:xfrm flipV="1">
          <a:off x="6787242" y="1677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25" name="Straight Connector 24"/>
        <xdr:cNvCxnSpPr/>
      </xdr:nvCxnSpPr>
      <xdr:spPr>
        <a:xfrm flipV="1">
          <a:off x="6109607" y="1677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26" name="Straight Connector 25"/>
        <xdr:cNvCxnSpPr/>
      </xdr:nvCxnSpPr>
      <xdr:spPr>
        <a:xfrm flipV="1">
          <a:off x="73492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27" name="Straight Connector 26"/>
        <xdr:cNvCxnSpPr/>
      </xdr:nvCxnSpPr>
      <xdr:spPr>
        <a:xfrm flipV="1">
          <a:off x="9171214" y="1678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28" name="Straight Connector 27"/>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29" name="Straight Connector 28"/>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30" name="Straight Connector 29"/>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31" name="Straight Connector 30"/>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32" name="Straight Connector 31"/>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3" name="Straight Connector 32"/>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4" name="Straight Connector 33"/>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35" name="Straight Connector 34"/>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36" name="Straight Connector 35"/>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37" name="Straight Connector 36"/>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8" name="Straight Connector 37"/>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94</xdr:row>
      <xdr:rowOff>3</xdr:rowOff>
    </xdr:from>
    <xdr:to>
      <xdr:col>15</xdr:col>
      <xdr:colOff>40822</xdr:colOff>
      <xdr:row>95</xdr:row>
      <xdr:rowOff>149679</xdr:rowOff>
    </xdr:to>
    <xdr:cxnSp macro="">
      <xdr:nvCxnSpPr>
        <xdr:cNvPr id="39" name="Straight Connector 38"/>
        <xdr:cNvCxnSpPr/>
      </xdr:nvCxnSpPr>
      <xdr:spPr>
        <a:xfrm flipV="1">
          <a:off x="8571820" y="17907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40" name="Straight Connector 39"/>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41" name="Straight Connector 40"/>
        <xdr:cNvCxnSpPr/>
      </xdr:nvCxnSpPr>
      <xdr:spPr>
        <a:xfrm flipV="1">
          <a:off x="6787242" y="1849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42" name="Straight Connector 41"/>
        <xdr:cNvCxnSpPr/>
      </xdr:nvCxnSpPr>
      <xdr:spPr>
        <a:xfrm flipV="1">
          <a:off x="6109607" y="1849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43" name="Straight Connector 42"/>
        <xdr:cNvCxnSpPr/>
      </xdr:nvCxnSpPr>
      <xdr:spPr>
        <a:xfrm flipV="1">
          <a:off x="7349218" y="1849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44" name="Straight Connector 43"/>
        <xdr:cNvCxnSpPr/>
      </xdr:nvCxnSpPr>
      <xdr:spPr>
        <a:xfrm flipV="1">
          <a:off x="9171214" y="1849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45" name="Straight Connector 44"/>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46" name="Straight Connector 45"/>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47" name="Straight Connector 46"/>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48" name="Straight Connector 47"/>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49" name="Straight Connector 48"/>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50" name="Straight Connector 49"/>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51" name="Straight Connector 50"/>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101</xdr:row>
      <xdr:rowOff>3</xdr:rowOff>
    </xdr:from>
    <xdr:to>
      <xdr:col>15</xdr:col>
      <xdr:colOff>40822</xdr:colOff>
      <xdr:row>102</xdr:row>
      <xdr:rowOff>149679</xdr:rowOff>
    </xdr:to>
    <xdr:cxnSp macro="">
      <xdr:nvCxnSpPr>
        <xdr:cNvPr id="52" name="Straight Connector 51"/>
        <xdr:cNvCxnSpPr/>
      </xdr:nvCxnSpPr>
      <xdr:spPr>
        <a:xfrm flipV="1">
          <a:off x="8571820" y="19240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53" name="Straight Connector 52"/>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54" name="Straight Connector 53"/>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55" name="Straight Connector 54"/>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56" name="Straight Connector 55"/>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103</xdr:row>
      <xdr:rowOff>3</xdr:rowOff>
    </xdr:from>
    <xdr:to>
      <xdr:col>15</xdr:col>
      <xdr:colOff>40822</xdr:colOff>
      <xdr:row>104</xdr:row>
      <xdr:rowOff>149679</xdr:rowOff>
    </xdr:to>
    <xdr:cxnSp macro="">
      <xdr:nvCxnSpPr>
        <xdr:cNvPr id="57" name="Straight Connector 56"/>
        <xdr:cNvCxnSpPr/>
      </xdr:nvCxnSpPr>
      <xdr:spPr>
        <a:xfrm flipV="1">
          <a:off x="8571820" y="19621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58" name="Straight Connector 57"/>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59" name="Straight Connector 58"/>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60" name="Straight Connector 59"/>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61" name="Straight Connector 60"/>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79</xdr:row>
      <xdr:rowOff>40825</xdr:rowOff>
    </xdr:from>
    <xdr:to>
      <xdr:col>15</xdr:col>
      <xdr:colOff>54429</xdr:colOff>
      <xdr:row>80</xdr:row>
      <xdr:rowOff>190501</xdr:rowOff>
    </xdr:to>
    <xdr:cxnSp macro="">
      <xdr:nvCxnSpPr>
        <xdr:cNvPr id="62" name="Straight Connector 61"/>
        <xdr:cNvCxnSpPr/>
      </xdr:nvCxnSpPr>
      <xdr:spPr>
        <a:xfrm flipV="1">
          <a:off x="8585427" y="15090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63" name="Straight Connector 62"/>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64" name="Straight Connector 63"/>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65" name="Straight Connector 64"/>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66" name="Straight Connector 65"/>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67" name="Straight Connector 66"/>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8" name="Straight Connector 67"/>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69" name="Straight Connector 68"/>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70" name="Straight Connector 69"/>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71" name="Straight Connector 70"/>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99</xdr:row>
      <xdr:rowOff>17010</xdr:rowOff>
    </xdr:from>
    <xdr:to>
      <xdr:col>14</xdr:col>
      <xdr:colOff>903173</xdr:colOff>
      <xdr:row>100</xdr:row>
      <xdr:rowOff>192200</xdr:rowOff>
    </xdr:to>
    <xdr:cxnSp macro="">
      <xdr:nvCxnSpPr>
        <xdr:cNvPr id="72" name="Straight Connector 71"/>
        <xdr:cNvCxnSpPr/>
      </xdr:nvCxnSpPr>
      <xdr:spPr>
        <a:xfrm flipV="1">
          <a:off x="8554811" y="18876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92</xdr:row>
      <xdr:rowOff>3404</xdr:rowOff>
    </xdr:from>
    <xdr:to>
      <xdr:col>15</xdr:col>
      <xdr:colOff>5101</xdr:colOff>
      <xdr:row>93</xdr:row>
      <xdr:rowOff>178593</xdr:rowOff>
    </xdr:to>
    <xdr:cxnSp macro="">
      <xdr:nvCxnSpPr>
        <xdr:cNvPr id="73" name="Straight Connector 72"/>
        <xdr:cNvCxnSpPr/>
      </xdr:nvCxnSpPr>
      <xdr:spPr>
        <a:xfrm flipV="1">
          <a:off x="8582025" y="17529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90</xdr:row>
      <xdr:rowOff>17011</xdr:rowOff>
    </xdr:from>
    <xdr:to>
      <xdr:col>15</xdr:col>
      <xdr:colOff>5101</xdr:colOff>
      <xdr:row>91</xdr:row>
      <xdr:rowOff>192201</xdr:rowOff>
    </xdr:to>
    <xdr:cxnSp macro="">
      <xdr:nvCxnSpPr>
        <xdr:cNvPr id="74" name="Straight Connector 73"/>
        <xdr:cNvCxnSpPr/>
      </xdr:nvCxnSpPr>
      <xdr:spPr>
        <a:xfrm flipV="1">
          <a:off x="8582025" y="17162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88</xdr:row>
      <xdr:rowOff>17011</xdr:rowOff>
    </xdr:from>
    <xdr:to>
      <xdr:col>14</xdr:col>
      <xdr:colOff>916780</xdr:colOff>
      <xdr:row>89</xdr:row>
      <xdr:rowOff>192201</xdr:rowOff>
    </xdr:to>
    <xdr:cxnSp macro="">
      <xdr:nvCxnSpPr>
        <xdr:cNvPr id="75" name="Straight Connector 74"/>
        <xdr:cNvCxnSpPr/>
      </xdr:nvCxnSpPr>
      <xdr:spPr>
        <a:xfrm flipV="1">
          <a:off x="85684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85</xdr:row>
      <xdr:rowOff>17011</xdr:rowOff>
    </xdr:from>
    <xdr:to>
      <xdr:col>15</xdr:col>
      <xdr:colOff>32315</xdr:colOff>
      <xdr:row>86</xdr:row>
      <xdr:rowOff>192201</xdr:rowOff>
    </xdr:to>
    <xdr:cxnSp macro="">
      <xdr:nvCxnSpPr>
        <xdr:cNvPr id="76" name="Straight Connector 75"/>
        <xdr:cNvCxnSpPr/>
      </xdr:nvCxnSpPr>
      <xdr:spPr>
        <a:xfrm flipV="1">
          <a:off x="8609239" y="16209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83</xdr:row>
      <xdr:rowOff>17011</xdr:rowOff>
    </xdr:from>
    <xdr:to>
      <xdr:col>15</xdr:col>
      <xdr:colOff>32315</xdr:colOff>
      <xdr:row>84</xdr:row>
      <xdr:rowOff>192201</xdr:rowOff>
    </xdr:to>
    <xdr:cxnSp macro="">
      <xdr:nvCxnSpPr>
        <xdr:cNvPr id="77" name="Straight Connector 76"/>
        <xdr:cNvCxnSpPr/>
      </xdr:nvCxnSpPr>
      <xdr:spPr>
        <a:xfrm flipV="1">
          <a:off x="8609239" y="15828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81</xdr:row>
      <xdr:rowOff>3403</xdr:rowOff>
    </xdr:from>
    <xdr:to>
      <xdr:col>15</xdr:col>
      <xdr:colOff>18708</xdr:colOff>
      <xdr:row>82</xdr:row>
      <xdr:rowOff>178593</xdr:rowOff>
    </xdr:to>
    <xdr:cxnSp macro="">
      <xdr:nvCxnSpPr>
        <xdr:cNvPr id="78" name="Straight Connector 77"/>
        <xdr:cNvCxnSpPr/>
      </xdr:nvCxnSpPr>
      <xdr:spPr>
        <a:xfrm flipV="1">
          <a:off x="8595632" y="15433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50</xdr:row>
      <xdr:rowOff>27214</xdr:rowOff>
    </xdr:from>
    <xdr:to>
      <xdr:col>15</xdr:col>
      <xdr:colOff>898072</xdr:colOff>
      <xdr:row>51</xdr:row>
      <xdr:rowOff>149678</xdr:rowOff>
    </xdr:to>
    <xdr:cxnSp macro="">
      <xdr:nvCxnSpPr>
        <xdr:cNvPr id="79" name="Straight Connector 78"/>
        <xdr:cNvCxnSpPr/>
      </xdr:nvCxnSpPr>
      <xdr:spPr>
        <a:xfrm flipV="1">
          <a:off x="9171214" y="9552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50</xdr:row>
      <xdr:rowOff>13607</xdr:rowOff>
    </xdr:from>
    <xdr:to>
      <xdr:col>10</xdr:col>
      <xdr:colOff>911677</xdr:colOff>
      <xdr:row>52</xdr:row>
      <xdr:rowOff>0</xdr:rowOff>
    </xdr:to>
    <xdr:cxnSp macro="">
      <xdr:nvCxnSpPr>
        <xdr:cNvPr id="80" name="Straight Connector 79"/>
        <xdr:cNvCxnSpPr/>
      </xdr:nvCxnSpPr>
      <xdr:spPr>
        <a:xfrm flipV="1">
          <a:off x="6109607" y="9538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81" name="Straight Connector 80"/>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82" name="Straight Connector 81"/>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50</xdr:row>
      <xdr:rowOff>54428</xdr:rowOff>
    </xdr:from>
    <xdr:to>
      <xdr:col>14</xdr:col>
      <xdr:colOff>884463</xdr:colOff>
      <xdr:row>51</xdr:row>
      <xdr:rowOff>163285</xdr:rowOff>
    </xdr:to>
    <xdr:cxnSp macro="">
      <xdr:nvCxnSpPr>
        <xdr:cNvPr id="83" name="Straight Connector 82"/>
        <xdr:cNvCxnSpPr/>
      </xdr:nvCxnSpPr>
      <xdr:spPr>
        <a:xfrm flipV="1">
          <a:off x="8537119" y="9579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84" name="Straight Connector 83"/>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85" name="Straight Connector 84"/>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86" name="Straight Connector 85"/>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87" name="Straight Connector 86"/>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88" name="Straight Connector 87"/>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77</xdr:row>
      <xdr:rowOff>13610</xdr:rowOff>
    </xdr:from>
    <xdr:to>
      <xdr:col>15</xdr:col>
      <xdr:colOff>54429</xdr:colOff>
      <xdr:row>78</xdr:row>
      <xdr:rowOff>163286</xdr:rowOff>
    </xdr:to>
    <xdr:cxnSp macro="">
      <xdr:nvCxnSpPr>
        <xdr:cNvPr id="89" name="Straight Connector 88"/>
        <xdr:cNvCxnSpPr/>
      </xdr:nvCxnSpPr>
      <xdr:spPr>
        <a:xfrm flipV="1">
          <a:off x="8585427" y="14682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43</xdr:row>
      <xdr:rowOff>13607</xdr:rowOff>
    </xdr:from>
    <xdr:to>
      <xdr:col>10</xdr:col>
      <xdr:colOff>911677</xdr:colOff>
      <xdr:row>45</xdr:row>
      <xdr:rowOff>0</xdr:rowOff>
    </xdr:to>
    <xdr:cxnSp macro="">
      <xdr:nvCxnSpPr>
        <xdr:cNvPr id="90" name="Straight Connector 89"/>
        <xdr:cNvCxnSpPr/>
      </xdr:nvCxnSpPr>
      <xdr:spPr>
        <a:xfrm flipV="1">
          <a:off x="6109607" y="8205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91" name="Straight Connector 90"/>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92" name="Straight Connector 91"/>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43</xdr:row>
      <xdr:rowOff>54428</xdr:rowOff>
    </xdr:from>
    <xdr:to>
      <xdr:col>14</xdr:col>
      <xdr:colOff>884463</xdr:colOff>
      <xdr:row>44</xdr:row>
      <xdr:rowOff>163285</xdr:rowOff>
    </xdr:to>
    <xdr:cxnSp macro="">
      <xdr:nvCxnSpPr>
        <xdr:cNvPr id="93" name="Straight Connector 92"/>
        <xdr:cNvCxnSpPr/>
      </xdr:nvCxnSpPr>
      <xdr:spPr>
        <a:xfrm flipV="1">
          <a:off x="8537119" y="8245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47</xdr:row>
      <xdr:rowOff>27214</xdr:rowOff>
    </xdr:from>
    <xdr:to>
      <xdr:col>15</xdr:col>
      <xdr:colOff>898072</xdr:colOff>
      <xdr:row>48</xdr:row>
      <xdr:rowOff>149678</xdr:rowOff>
    </xdr:to>
    <xdr:cxnSp macro="">
      <xdr:nvCxnSpPr>
        <xdr:cNvPr id="94" name="Straight Connector 93"/>
        <xdr:cNvCxnSpPr/>
      </xdr:nvCxnSpPr>
      <xdr:spPr>
        <a:xfrm flipV="1">
          <a:off x="9171214" y="8980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95" name="Straight Connector 94"/>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96" name="Straight Connector 95"/>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97" name="Straight Connector 96"/>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98" name="Straight Connector 97"/>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45</xdr:row>
      <xdr:rowOff>27214</xdr:rowOff>
    </xdr:from>
    <xdr:to>
      <xdr:col>15</xdr:col>
      <xdr:colOff>898072</xdr:colOff>
      <xdr:row>46</xdr:row>
      <xdr:rowOff>149678</xdr:rowOff>
    </xdr:to>
    <xdr:cxnSp macro="">
      <xdr:nvCxnSpPr>
        <xdr:cNvPr id="99" name="Straight Connector 98"/>
        <xdr:cNvCxnSpPr/>
      </xdr:nvCxnSpPr>
      <xdr:spPr>
        <a:xfrm flipV="1">
          <a:off x="9171214" y="8599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45</xdr:row>
      <xdr:rowOff>13607</xdr:rowOff>
    </xdr:from>
    <xdr:to>
      <xdr:col>10</xdr:col>
      <xdr:colOff>911677</xdr:colOff>
      <xdr:row>47</xdr:row>
      <xdr:rowOff>0</xdr:rowOff>
    </xdr:to>
    <xdr:cxnSp macro="">
      <xdr:nvCxnSpPr>
        <xdr:cNvPr id="100" name="Straight Connector 99"/>
        <xdr:cNvCxnSpPr/>
      </xdr:nvCxnSpPr>
      <xdr:spPr>
        <a:xfrm flipV="1">
          <a:off x="6109607" y="8586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101" name="Straight Connector 100"/>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102" name="Straight Connector 101"/>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45</xdr:row>
      <xdr:rowOff>54428</xdr:rowOff>
    </xdr:from>
    <xdr:to>
      <xdr:col>14</xdr:col>
      <xdr:colOff>884463</xdr:colOff>
      <xdr:row>46</xdr:row>
      <xdr:rowOff>163285</xdr:rowOff>
    </xdr:to>
    <xdr:cxnSp macro="">
      <xdr:nvCxnSpPr>
        <xdr:cNvPr id="103" name="Straight Connector 102"/>
        <xdr:cNvCxnSpPr/>
      </xdr:nvCxnSpPr>
      <xdr:spPr>
        <a:xfrm flipV="1">
          <a:off x="8537119" y="8626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108</xdr:row>
      <xdr:rowOff>0</xdr:rowOff>
    </xdr:from>
    <xdr:ext cx="17150072" cy="3743326"/>
    <xdr:pic>
      <xdr:nvPicPr>
        <xdr:cNvPr id="104" name="Picture 103"/>
        <xdr:cNvPicPr>
          <a:picLocks noChangeAspect="1" noChangeArrowheads="1"/>
          <a:extLst/>
        </xdr:cNvPicPr>
      </xdr:nvPicPr>
      <xdr:blipFill>
        <a:blip xmlns:r="http://schemas.openxmlformats.org/officeDocument/2006/relationships" r:embed="rId1"/>
        <a:srcRect/>
        <a:stretch>
          <a:fillRect/>
        </a:stretch>
      </xdr:blipFill>
      <xdr:spPr bwMode="auto">
        <a:xfrm>
          <a:off x="609600" y="20574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124</xdr:row>
      <xdr:rowOff>176894</xdr:rowOff>
    </xdr:from>
    <xdr:ext cx="18008063" cy="3743325"/>
    <xdr:pic>
      <xdr:nvPicPr>
        <xdr:cNvPr id="105" name="Picture 104"/>
        <xdr:cNvPicPr>
          <a:picLocks noChangeAspect="1" noChangeArrowheads="1"/>
          <a:extLst/>
        </xdr:cNvPicPr>
      </xdr:nvPicPr>
      <xdr:blipFill>
        <a:blip xmlns:r="http://schemas.openxmlformats.org/officeDocument/2006/relationships" r:embed="rId2"/>
        <a:srcRect/>
        <a:stretch>
          <a:fillRect/>
        </a:stretch>
      </xdr:blipFill>
      <xdr:spPr bwMode="auto">
        <a:xfrm>
          <a:off x="621846" y="23798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32</xdr:row>
      <xdr:rowOff>13608</xdr:rowOff>
    </xdr:from>
    <xdr:to>
      <xdr:col>12</xdr:col>
      <xdr:colOff>27214</xdr:colOff>
      <xdr:row>33</xdr:row>
      <xdr:rowOff>190502</xdr:rowOff>
    </xdr:to>
    <xdr:cxnSp macro="">
      <xdr:nvCxnSpPr>
        <xdr:cNvPr id="106" name="Straight Connector 105"/>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07" name="Straight Connector 106"/>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32</xdr:row>
      <xdr:rowOff>0</xdr:rowOff>
    </xdr:from>
    <xdr:to>
      <xdr:col>15</xdr:col>
      <xdr:colOff>0</xdr:colOff>
      <xdr:row>33</xdr:row>
      <xdr:rowOff>190501</xdr:rowOff>
    </xdr:to>
    <xdr:cxnSp macro="">
      <xdr:nvCxnSpPr>
        <xdr:cNvPr id="108" name="Straight Connector 107"/>
        <xdr:cNvCxnSpPr/>
      </xdr:nvCxnSpPr>
      <xdr:spPr>
        <a:xfrm flipV="1">
          <a:off x="8533039" y="6096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27215</xdr:rowOff>
    </xdr:from>
    <xdr:to>
      <xdr:col>10</xdr:col>
      <xdr:colOff>911678</xdr:colOff>
      <xdr:row>34</xdr:row>
      <xdr:rowOff>0</xdr:rowOff>
    </xdr:to>
    <xdr:cxnSp macro="">
      <xdr:nvCxnSpPr>
        <xdr:cNvPr id="109" name="Straight Connector 108"/>
        <xdr:cNvCxnSpPr/>
      </xdr:nvCxnSpPr>
      <xdr:spPr>
        <a:xfrm flipV="1">
          <a:off x="6096000" y="6123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32</xdr:row>
      <xdr:rowOff>13607</xdr:rowOff>
    </xdr:from>
    <xdr:to>
      <xdr:col>16</xdr:col>
      <xdr:colOff>0</xdr:colOff>
      <xdr:row>34</xdr:row>
      <xdr:rowOff>0</xdr:rowOff>
    </xdr:to>
    <xdr:cxnSp macro="">
      <xdr:nvCxnSpPr>
        <xdr:cNvPr id="110" name="Straight Connector 109"/>
        <xdr:cNvCxnSpPr/>
      </xdr:nvCxnSpPr>
      <xdr:spPr>
        <a:xfrm flipV="1">
          <a:off x="9171214" y="6109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52</xdr:row>
      <xdr:rowOff>40821</xdr:rowOff>
    </xdr:from>
    <xdr:to>
      <xdr:col>15</xdr:col>
      <xdr:colOff>952500</xdr:colOff>
      <xdr:row>53</xdr:row>
      <xdr:rowOff>163285</xdr:rowOff>
    </xdr:to>
    <xdr:cxnSp macro="">
      <xdr:nvCxnSpPr>
        <xdr:cNvPr id="111" name="Straight Connector 110"/>
        <xdr:cNvCxnSpPr/>
      </xdr:nvCxnSpPr>
      <xdr:spPr>
        <a:xfrm flipV="1">
          <a:off x="9225642" y="9946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112" name="Straight Connector 111"/>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13" name="Straight Connector 112"/>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14" name="Straight Connector 113"/>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115" name="Straight Connector 114"/>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116" name="Straight Connector 115"/>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17" name="Straight Connector 116"/>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18" name="Straight Connector 117"/>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19" name="Straight Connector 118"/>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20" name="Straight Connector 119"/>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121" name="Straight Connector 120"/>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22" name="Straight Connector 121"/>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23" name="Straight Connector 122"/>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24" name="Straight Connector 123"/>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25" name="Straight Connector 124"/>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26" name="Straight Connector 125"/>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27" name="Straight Connector 126"/>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28" name="Straight Connector 127"/>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29" name="Straight Connector 128"/>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30" name="Straight Connector 129"/>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43</xdr:row>
      <xdr:rowOff>27216</xdr:rowOff>
    </xdr:from>
    <xdr:to>
      <xdr:col>16</xdr:col>
      <xdr:colOff>27215</xdr:colOff>
      <xdr:row>44</xdr:row>
      <xdr:rowOff>176893</xdr:rowOff>
    </xdr:to>
    <xdr:cxnSp macro="">
      <xdr:nvCxnSpPr>
        <xdr:cNvPr id="131" name="Straight Connector 130"/>
        <xdr:cNvCxnSpPr/>
      </xdr:nvCxnSpPr>
      <xdr:spPr>
        <a:xfrm flipV="1">
          <a:off x="9198428" y="8218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28</xdr:row>
      <xdr:rowOff>13608</xdr:rowOff>
    </xdr:from>
    <xdr:to>
      <xdr:col>12</xdr:col>
      <xdr:colOff>27214</xdr:colOff>
      <xdr:row>29</xdr:row>
      <xdr:rowOff>190502</xdr:rowOff>
    </xdr:to>
    <xdr:cxnSp macro="">
      <xdr:nvCxnSpPr>
        <xdr:cNvPr id="132" name="Straight Connector 131"/>
        <xdr:cNvCxnSpPr/>
      </xdr:nvCxnSpPr>
      <xdr:spPr>
        <a:xfrm flipV="1">
          <a:off x="6787242" y="534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33" name="Straight Connector 132"/>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34" name="Straight Connector 133"/>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13609</xdr:rowOff>
    </xdr:from>
    <xdr:to>
      <xdr:col>10</xdr:col>
      <xdr:colOff>911678</xdr:colOff>
      <xdr:row>29</xdr:row>
      <xdr:rowOff>190501</xdr:rowOff>
    </xdr:to>
    <xdr:cxnSp macro="">
      <xdr:nvCxnSpPr>
        <xdr:cNvPr id="135" name="Straight Connector 134"/>
        <xdr:cNvCxnSpPr/>
      </xdr:nvCxnSpPr>
      <xdr:spPr>
        <a:xfrm flipV="1">
          <a:off x="6109607" y="5347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36" name="Straight Connector 135"/>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34</xdr:row>
      <xdr:rowOff>13608</xdr:rowOff>
    </xdr:from>
    <xdr:to>
      <xdr:col>12</xdr:col>
      <xdr:colOff>27214</xdr:colOff>
      <xdr:row>35</xdr:row>
      <xdr:rowOff>190500</xdr:rowOff>
    </xdr:to>
    <xdr:cxnSp macro="">
      <xdr:nvCxnSpPr>
        <xdr:cNvPr id="137" name="Straight Connector 136"/>
        <xdr:cNvCxnSpPr/>
      </xdr:nvCxnSpPr>
      <xdr:spPr>
        <a:xfrm flipV="1">
          <a:off x="6732814" y="6490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38" name="Straight Connector 137"/>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33</xdr:row>
      <xdr:rowOff>190500</xdr:rowOff>
    </xdr:from>
    <xdr:to>
      <xdr:col>15</xdr:col>
      <xdr:colOff>27214</xdr:colOff>
      <xdr:row>35</xdr:row>
      <xdr:rowOff>176894</xdr:rowOff>
    </xdr:to>
    <xdr:cxnSp macro="">
      <xdr:nvCxnSpPr>
        <xdr:cNvPr id="139" name="Straight Connector 138"/>
        <xdr:cNvCxnSpPr/>
      </xdr:nvCxnSpPr>
      <xdr:spPr>
        <a:xfrm flipV="1">
          <a:off x="8561614" y="6477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34</xdr:row>
      <xdr:rowOff>0</xdr:rowOff>
    </xdr:from>
    <xdr:to>
      <xdr:col>11</xdr:col>
      <xdr:colOff>13607</xdr:colOff>
      <xdr:row>35</xdr:row>
      <xdr:rowOff>176892</xdr:rowOff>
    </xdr:to>
    <xdr:cxnSp macro="">
      <xdr:nvCxnSpPr>
        <xdr:cNvPr id="140" name="Straight Connector 139"/>
        <xdr:cNvCxnSpPr/>
      </xdr:nvCxnSpPr>
      <xdr:spPr>
        <a:xfrm flipV="1">
          <a:off x="6123215" y="6477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34</xdr:row>
      <xdr:rowOff>0</xdr:rowOff>
    </xdr:from>
    <xdr:to>
      <xdr:col>15</xdr:col>
      <xdr:colOff>952500</xdr:colOff>
      <xdr:row>35</xdr:row>
      <xdr:rowOff>190501</xdr:rowOff>
    </xdr:to>
    <xdr:cxnSp macro="">
      <xdr:nvCxnSpPr>
        <xdr:cNvPr id="141" name="Straight Connector 140"/>
        <xdr:cNvCxnSpPr/>
      </xdr:nvCxnSpPr>
      <xdr:spPr>
        <a:xfrm flipV="1">
          <a:off x="9141279" y="6477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142" name="Straight Connector 141"/>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43" name="Straight Connector 142"/>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44" name="Straight Connector 143"/>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145" name="Straight Connector 144"/>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46" name="Straight Connector 145"/>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47" name="Straight Connector 146"/>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48" name="Straight Connector 147"/>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49" name="Straight Connector 148"/>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50" name="Straight Connector 149"/>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51" name="Straight Connector 150"/>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52" name="Straight Connector 151"/>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53" name="Straight Connector 152"/>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54" name="Straight Connector 153"/>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155" name="Straight Connector 154"/>
        <xdr:cNvCxnSpPr/>
      </xdr:nvCxnSpPr>
      <xdr:spPr>
        <a:xfrm flipV="1">
          <a:off x="6109607" y="3048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56" name="Straight Connector 155"/>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157" name="Straight Connector 156"/>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58" name="Straight Connector 157"/>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59" name="Straight Connector 158"/>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160" name="Straight Connector 159"/>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61" name="Straight Connector 160"/>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12</xdr:row>
      <xdr:rowOff>13609</xdr:rowOff>
    </xdr:from>
    <xdr:to>
      <xdr:col>12</xdr:col>
      <xdr:colOff>27214</xdr:colOff>
      <xdr:row>14</xdr:row>
      <xdr:rowOff>0</xdr:rowOff>
    </xdr:to>
    <xdr:cxnSp macro="">
      <xdr:nvCxnSpPr>
        <xdr:cNvPr id="162" name="Straight Connector 161"/>
        <xdr:cNvCxnSpPr/>
      </xdr:nvCxnSpPr>
      <xdr:spPr>
        <a:xfrm flipV="1">
          <a:off x="6719207" y="2299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163" name="Straight Connector 162"/>
        <xdr:cNvCxnSpPr/>
      </xdr:nvCxnSpPr>
      <xdr:spPr>
        <a:xfrm flipV="1">
          <a:off x="7349218" y="2303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164" name="Straight Connector 163"/>
        <xdr:cNvCxnSpPr/>
      </xdr:nvCxnSpPr>
      <xdr:spPr>
        <a:xfrm flipV="1">
          <a:off x="8561613" y="2326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12</xdr:row>
      <xdr:rowOff>2</xdr:rowOff>
    </xdr:from>
    <xdr:to>
      <xdr:col>11</xdr:col>
      <xdr:colOff>40820</xdr:colOff>
      <xdr:row>14</xdr:row>
      <xdr:rowOff>0</xdr:rowOff>
    </xdr:to>
    <xdr:cxnSp macro="">
      <xdr:nvCxnSpPr>
        <xdr:cNvPr id="165" name="Straight Connector 164"/>
        <xdr:cNvCxnSpPr/>
      </xdr:nvCxnSpPr>
      <xdr:spPr>
        <a:xfrm flipV="1">
          <a:off x="6109607" y="2286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166" name="Straight Connector 165"/>
        <xdr:cNvCxnSpPr/>
      </xdr:nvCxnSpPr>
      <xdr:spPr>
        <a:xfrm flipV="1">
          <a:off x="9198428" y="2313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167" name="Straight Connector 166"/>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168" name="Straight Connector 167"/>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169" name="Straight Connector 168"/>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170" name="Straight Connector 169"/>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171" name="Straight Connector 170"/>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172" name="Straight Connector 171"/>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173" name="Straight Connector 172"/>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14</xdr:row>
      <xdr:rowOff>13609</xdr:rowOff>
    </xdr:from>
    <xdr:to>
      <xdr:col>12</xdr:col>
      <xdr:colOff>27214</xdr:colOff>
      <xdr:row>16</xdr:row>
      <xdr:rowOff>0</xdr:rowOff>
    </xdr:to>
    <xdr:cxnSp macro="">
      <xdr:nvCxnSpPr>
        <xdr:cNvPr id="174" name="Straight Connector 173"/>
        <xdr:cNvCxnSpPr/>
      </xdr:nvCxnSpPr>
      <xdr:spPr>
        <a:xfrm flipV="1">
          <a:off x="6719207" y="2680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75" name="Straight Connector 174"/>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76" name="Straight Connector 175"/>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14</xdr:row>
      <xdr:rowOff>2</xdr:rowOff>
    </xdr:from>
    <xdr:to>
      <xdr:col>11</xdr:col>
      <xdr:colOff>40820</xdr:colOff>
      <xdr:row>16</xdr:row>
      <xdr:rowOff>0</xdr:rowOff>
    </xdr:to>
    <xdr:cxnSp macro="">
      <xdr:nvCxnSpPr>
        <xdr:cNvPr id="177" name="Straight Connector 176"/>
        <xdr:cNvCxnSpPr/>
      </xdr:nvCxnSpPr>
      <xdr:spPr>
        <a:xfrm flipV="1">
          <a:off x="6109607" y="2667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78" name="Straight Connector 177"/>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179" name="Straight Connector 178"/>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80" name="Straight Connector 179"/>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36</xdr:row>
      <xdr:rowOff>40821</xdr:rowOff>
    </xdr:from>
    <xdr:to>
      <xdr:col>14</xdr:col>
      <xdr:colOff>911678</xdr:colOff>
      <xdr:row>37</xdr:row>
      <xdr:rowOff>149677</xdr:rowOff>
    </xdr:to>
    <xdr:cxnSp macro="">
      <xdr:nvCxnSpPr>
        <xdr:cNvPr id="181" name="Straight Connector 180"/>
        <xdr:cNvCxnSpPr/>
      </xdr:nvCxnSpPr>
      <xdr:spPr>
        <a:xfrm flipV="1">
          <a:off x="8561613" y="689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182" name="Straight Connector 181"/>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183" name="Straight Connector 182"/>
        <xdr:cNvCxnSpPr/>
      </xdr:nvCxnSpPr>
      <xdr:spPr>
        <a:xfrm flipV="1">
          <a:off x="9198428" y="688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84" name="Straight Connector 183"/>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85" name="Straight Connector 184"/>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86" name="Straight Connector 185"/>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27216</xdr:rowOff>
    </xdr:from>
    <xdr:to>
      <xdr:col>10</xdr:col>
      <xdr:colOff>898071</xdr:colOff>
      <xdr:row>32</xdr:row>
      <xdr:rowOff>0</xdr:rowOff>
    </xdr:to>
    <xdr:cxnSp macro="">
      <xdr:nvCxnSpPr>
        <xdr:cNvPr id="187" name="Straight Connector 186"/>
        <xdr:cNvCxnSpPr/>
      </xdr:nvCxnSpPr>
      <xdr:spPr>
        <a:xfrm flipV="1">
          <a:off x="6096000" y="5742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88" name="Straight Connector 187"/>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38</xdr:row>
      <xdr:rowOff>13608</xdr:rowOff>
    </xdr:from>
    <xdr:to>
      <xdr:col>12</xdr:col>
      <xdr:colOff>27214</xdr:colOff>
      <xdr:row>39</xdr:row>
      <xdr:rowOff>190502</xdr:rowOff>
    </xdr:to>
    <xdr:cxnSp macro="">
      <xdr:nvCxnSpPr>
        <xdr:cNvPr id="189" name="Straight Connector 188"/>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190" name="Straight Connector 189"/>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38</xdr:row>
      <xdr:rowOff>40821</xdr:rowOff>
    </xdr:from>
    <xdr:to>
      <xdr:col>14</xdr:col>
      <xdr:colOff>911678</xdr:colOff>
      <xdr:row>39</xdr:row>
      <xdr:rowOff>149677</xdr:rowOff>
    </xdr:to>
    <xdr:cxnSp macro="">
      <xdr:nvCxnSpPr>
        <xdr:cNvPr id="191" name="Straight Connector 190"/>
        <xdr:cNvCxnSpPr/>
      </xdr:nvCxnSpPr>
      <xdr:spPr>
        <a:xfrm flipV="1">
          <a:off x="8561613" y="727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192" name="Straight Connector 191"/>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193" name="Straight Connector 192"/>
        <xdr:cNvCxnSpPr/>
      </xdr:nvCxnSpPr>
      <xdr:spPr>
        <a:xfrm flipV="1">
          <a:off x="9198428" y="726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94" name="Straight Connector 193"/>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95" name="Straight Connector 194"/>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96" name="Straight Connector 195"/>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97" name="Straight Connector 196"/>
        <xdr:cNvCxnSpPr/>
      </xdr:nvCxnSpPr>
      <xdr:spPr>
        <a:xfrm flipV="1">
          <a:off x="6164035" y="1143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98" name="Straight Connector 197"/>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199" name="Straight Connector 198"/>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200" name="Straight Connector 199"/>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201" name="Straight Connector 200"/>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202" name="Straight Connector 201"/>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03" name="Straight Connector 202"/>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204" name="Straight Connector 20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205" name="Straight Connector 20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206" name="Straight Connector 20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207" name="Straight Connector 206"/>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208" name="Straight Connector 20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209" name="Straight Connector 208"/>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210" name="Straight Connector 209"/>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211" name="Straight Connector 210"/>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212" name="Straight Connector 211"/>
        <xdr:cNvCxnSpPr/>
      </xdr:nvCxnSpPr>
      <xdr:spPr>
        <a:xfrm flipV="1">
          <a:off x="6109607" y="3429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213" name="Straight Connector 212"/>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72</xdr:row>
      <xdr:rowOff>13608</xdr:rowOff>
    </xdr:from>
    <xdr:to>
      <xdr:col>11</xdr:col>
      <xdr:colOff>898071</xdr:colOff>
      <xdr:row>73</xdr:row>
      <xdr:rowOff>190502</xdr:rowOff>
    </xdr:to>
    <xdr:cxnSp macro="">
      <xdr:nvCxnSpPr>
        <xdr:cNvPr id="214" name="Straight Connector 213"/>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215" name="Straight Connector 214"/>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216" name="Straight Connector 215"/>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72</xdr:row>
      <xdr:rowOff>13608</xdr:rowOff>
    </xdr:from>
    <xdr:to>
      <xdr:col>10</xdr:col>
      <xdr:colOff>884464</xdr:colOff>
      <xdr:row>74</xdr:row>
      <xdr:rowOff>0</xdr:rowOff>
    </xdr:to>
    <xdr:cxnSp macro="">
      <xdr:nvCxnSpPr>
        <xdr:cNvPr id="217" name="Straight Connector 216"/>
        <xdr:cNvCxnSpPr/>
      </xdr:nvCxnSpPr>
      <xdr:spPr>
        <a:xfrm flipV="1">
          <a:off x="6097361" y="13729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72</xdr:row>
      <xdr:rowOff>27217</xdr:rowOff>
    </xdr:from>
    <xdr:to>
      <xdr:col>15</xdr:col>
      <xdr:colOff>938894</xdr:colOff>
      <xdr:row>73</xdr:row>
      <xdr:rowOff>201084</xdr:rowOff>
    </xdr:to>
    <xdr:cxnSp macro="">
      <xdr:nvCxnSpPr>
        <xdr:cNvPr id="218" name="Straight Connector 217"/>
        <xdr:cNvCxnSpPr/>
      </xdr:nvCxnSpPr>
      <xdr:spPr>
        <a:xfrm flipV="1">
          <a:off x="9154584" y="13743217"/>
          <a:ext cx="594935" cy="354842"/>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219" name="Straight Connector 218"/>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220" name="Straight Connector 219"/>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221" name="Straight Connector 220"/>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222" name="Straight Connector 221"/>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23" name="Straight Connector 222"/>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74</xdr:row>
      <xdr:rowOff>27219</xdr:rowOff>
    </xdr:from>
    <xdr:to>
      <xdr:col>15</xdr:col>
      <xdr:colOff>938894</xdr:colOff>
      <xdr:row>76</xdr:row>
      <xdr:rowOff>10583</xdr:rowOff>
    </xdr:to>
    <xdr:cxnSp macro="">
      <xdr:nvCxnSpPr>
        <xdr:cNvPr id="224" name="Straight Connector 223"/>
        <xdr:cNvCxnSpPr/>
      </xdr:nvCxnSpPr>
      <xdr:spPr>
        <a:xfrm flipV="1">
          <a:off x="9154584" y="14124219"/>
          <a:ext cx="594935" cy="364364"/>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225" name="Straight Connector 224"/>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226" name="Straight Connector 225"/>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227" name="Straight Connector 226"/>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228" name="Straight Connector 227"/>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229" name="Straight Connector 228"/>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11</xdr:col>
      <xdr:colOff>13607</xdr:colOff>
      <xdr:row>68</xdr:row>
      <xdr:rowOff>13608</xdr:rowOff>
    </xdr:from>
    <xdr:to>
      <xdr:col>11</xdr:col>
      <xdr:colOff>898071</xdr:colOff>
      <xdr:row>69</xdr:row>
      <xdr:rowOff>190502</xdr:rowOff>
    </xdr:to>
    <xdr:cxnSp macro="">
      <xdr:nvCxnSpPr>
        <xdr:cNvPr id="2" name="Straight Connector 1"/>
        <xdr:cNvCxnSpPr/>
      </xdr:nvCxnSpPr>
      <xdr:spPr>
        <a:xfrm flipV="1">
          <a:off x="6719207" y="12967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68</xdr:row>
      <xdr:rowOff>40824</xdr:rowOff>
    </xdr:from>
    <xdr:to>
      <xdr:col>12</xdr:col>
      <xdr:colOff>898072</xdr:colOff>
      <xdr:row>69</xdr:row>
      <xdr:rowOff>190500</xdr:rowOff>
    </xdr:to>
    <xdr:cxnSp macro="">
      <xdr:nvCxnSpPr>
        <xdr:cNvPr id="3" name="Straight Connector 2"/>
        <xdr:cNvCxnSpPr/>
      </xdr:nvCxnSpPr>
      <xdr:spPr>
        <a:xfrm flipV="1">
          <a:off x="7315200" y="12994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68</xdr:row>
      <xdr:rowOff>40824</xdr:rowOff>
    </xdr:from>
    <xdr:to>
      <xdr:col>14</xdr:col>
      <xdr:colOff>884465</xdr:colOff>
      <xdr:row>69</xdr:row>
      <xdr:rowOff>176893</xdr:rowOff>
    </xdr:to>
    <xdr:cxnSp macro="">
      <xdr:nvCxnSpPr>
        <xdr:cNvPr id="4" name="Straight Connector 3"/>
        <xdr:cNvCxnSpPr/>
      </xdr:nvCxnSpPr>
      <xdr:spPr>
        <a:xfrm flipV="1">
          <a:off x="8561614" y="12994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68</xdr:row>
      <xdr:rowOff>27214</xdr:rowOff>
    </xdr:from>
    <xdr:to>
      <xdr:col>16</xdr:col>
      <xdr:colOff>0</xdr:colOff>
      <xdr:row>70</xdr:row>
      <xdr:rowOff>0</xdr:rowOff>
    </xdr:to>
    <xdr:cxnSp macro="">
      <xdr:nvCxnSpPr>
        <xdr:cNvPr id="5" name="Straight Connector 4"/>
        <xdr:cNvCxnSpPr/>
      </xdr:nvCxnSpPr>
      <xdr:spPr>
        <a:xfrm flipV="1">
          <a:off x="9144001" y="12981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68</xdr:row>
      <xdr:rowOff>1</xdr:rowOff>
    </xdr:from>
    <xdr:to>
      <xdr:col>11</xdr:col>
      <xdr:colOff>13607</xdr:colOff>
      <xdr:row>69</xdr:row>
      <xdr:rowOff>176895</xdr:rowOff>
    </xdr:to>
    <xdr:cxnSp macro="">
      <xdr:nvCxnSpPr>
        <xdr:cNvPr id="6" name="Straight Connector 5"/>
        <xdr:cNvCxnSpPr/>
      </xdr:nvCxnSpPr>
      <xdr:spPr>
        <a:xfrm flipV="1">
          <a:off x="6150429" y="12954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74</xdr:row>
      <xdr:rowOff>13608</xdr:rowOff>
    </xdr:from>
    <xdr:to>
      <xdr:col>11</xdr:col>
      <xdr:colOff>898071</xdr:colOff>
      <xdr:row>75</xdr:row>
      <xdr:rowOff>190502</xdr:rowOff>
    </xdr:to>
    <xdr:cxnSp macro="">
      <xdr:nvCxnSpPr>
        <xdr:cNvPr id="7" name="Straight Connector 6"/>
        <xdr:cNvCxnSpPr/>
      </xdr:nvCxnSpPr>
      <xdr:spPr>
        <a:xfrm flipV="1">
          <a:off x="6719207" y="14110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74</xdr:row>
      <xdr:rowOff>40824</xdr:rowOff>
    </xdr:from>
    <xdr:to>
      <xdr:col>12</xdr:col>
      <xdr:colOff>898072</xdr:colOff>
      <xdr:row>75</xdr:row>
      <xdr:rowOff>190500</xdr:rowOff>
    </xdr:to>
    <xdr:cxnSp macro="">
      <xdr:nvCxnSpPr>
        <xdr:cNvPr id="8" name="Straight Connector 7"/>
        <xdr:cNvCxnSpPr/>
      </xdr:nvCxnSpPr>
      <xdr:spPr>
        <a:xfrm flipV="1">
          <a:off x="7315200" y="14137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74</xdr:row>
      <xdr:rowOff>40824</xdr:rowOff>
    </xdr:from>
    <xdr:to>
      <xdr:col>14</xdr:col>
      <xdr:colOff>884465</xdr:colOff>
      <xdr:row>75</xdr:row>
      <xdr:rowOff>176893</xdr:rowOff>
    </xdr:to>
    <xdr:cxnSp macro="">
      <xdr:nvCxnSpPr>
        <xdr:cNvPr id="9" name="Straight Connector 8"/>
        <xdr:cNvCxnSpPr/>
      </xdr:nvCxnSpPr>
      <xdr:spPr>
        <a:xfrm flipV="1">
          <a:off x="8561614" y="14137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74</xdr:row>
      <xdr:rowOff>13608</xdr:rowOff>
    </xdr:from>
    <xdr:to>
      <xdr:col>10</xdr:col>
      <xdr:colOff>884464</xdr:colOff>
      <xdr:row>76</xdr:row>
      <xdr:rowOff>0</xdr:rowOff>
    </xdr:to>
    <xdr:cxnSp macro="">
      <xdr:nvCxnSpPr>
        <xdr:cNvPr id="10" name="Straight Connector 9"/>
        <xdr:cNvCxnSpPr/>
      </xdr:nvCxnSpPr>
      <xdr:spPr>
        <a:xfrm flipV="1">
          <a:off x="6097361" y="14110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70</xdr:row>
      <xdr:rowOff>13608</xdr:rowOff>
    </xdr:from>
    <xdr:to>
      <xdr:col>11</xdr:col>
      <xdr:colOff>898071</xdr:colOff>
      <xdr:row>71</xdr:row>
      <xdr:rowOff>190502</xdr:rowOff>
    </xdr:to>
    <xdr:cxnSp macro="">
      <xdr:nvCxnSpPr>
        <xdr:cNvPr id="11" name="Straight Connector 10"/>
        <xdr:cNvCxnSpPr/>
      </xdr:nvCxnSpPr>
      <xdr:spPr>
        <a:xfrm flipV="1">
          <a:off x="6719207" y="13348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12" name="Straight Connector 11"/>
        <xdr:cNvCxnSpPr/>
      </xdr:nvCxnSpPr>
      <xdr:spPr>
        <a:xfrm flipV="1">
          <a:off x="7315200" y="13375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13" name="Straight Connector 12"/>
        <xdr:cNvCxnSpPr/>
      </xdr:nvCxnSpPr>
      <xdr:spPr>
        <a:xfrm flipV="1">
          <a:off x="8561614" y="13375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70</xdr:row>
      <xdr:rowOff>13608</xdr:rowOff>
    </xdr:from>
    <xdr:to>
      <xdr:col>10</xdr:col>
      <xdr:colOff>884464</xdr:colOff>
      <xdr:row>72</xdr:row>
      <xdr:rowOff>0</xdr:rowOff>
    </xdr:to>
    <xdr:cxnSp macro="">
      <xdr:nvCxnSpPr>
        <xdr:cNvPr id="14" name="Straight Connector 13"/>
        <xdr:cNvCxnSpPr/>
      </xdr:nvCxnSpPr>
      <xdr:spPr>
        <a:xfrm flipV="1">
          <a:off x="6097361" y="13348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70</xdr:row>
      <xdr:rowOff>27217</xdr:rowOff>
    </xdr:from>
    <xdr:to>
      <xdr:col>15</xdr:col>
      <xdr:colOff>938894</xdr:colOff>
      <xdr:row>71</xdr:row>
      <xdr:rowOff>201083</xdr:rowOff>
    </xdr:to>
    <xdr:cxnSp macro="">
      <xdr:nvCxnSpPr>
        <xdr:cNvPr id="15" name="Straight Connector 14"/>
        <xdr:cNvCxnSpPr/>
      </xdr:nvCxnSpPr>
      <xdr:spPr>
        <a:xfrm flipV="1">
          <a:off x="9154584" y="13362217"/>
          <a:ext cx="594935" cy="35484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83</xdr:row>
      <xdr:rowOff>13608</xdr:rowOff>
    </xdr:from>
    <xdr:to>
      <xdr:col>12</xdr:col>
      <xdr:colOff>27214</xdr:colOff>
      <xdr:row>84</xdr:row>
      <xdr:rowOff>190502</xdr:rowOff>
    </xdr:to>
    <xdr:cxnSp macro="">
      <xdr:nvCxnSpPr>
        <xdr:cNvPr id="16" name="Straight Connector 15"/>
        <xdr:cNvCxnSpPr/>
      </xdr:nvCxnSpPr>
      <xdr:spPr>
        <a:xfrm flipV="1">
          <a:off x="6787242" y="1582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83</xdr:row>
      <xdr:rowOff>13608</xdr:rowOff>
    </xdr:from>
    <xdr:to>
      <xdr:col>11</xdr:col>
      <xdr:colOff>51026</xdr:colOff>
      <xdr:row>85</xdr:row>
      <xdr:rowOff>0</xdr:rowOff>
    </xdr:to>
    <xdr:cxnSp macro="">
      <xdr:nvCxnSpPr>
        <xdr:cNvPr id="17" name="Straight Connector 16"/>
        <xdr:cNvCxnSpPr/>
      </xdr:nvCxnSpPr>
      <xdr:spPr>
        <a:xfrm flipV="1">
          <a:off x="6109607" y="1582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83</xdr:row>
      <xdr:rowOff>17011</xdr:rowOff>
    </xdr:from>
    <xdr:to>
      <xdr:col>12</xdr:col>
      <xdr:colOff>916780</xdr:colOff>
      <xdr:row>84</xdr:row>
      <xdr:rowOff>192201</xdr:rowOff>
    </xdr:to>
    <xdr:cxnSp macro="">
      <xdr:nvCxnSpPr>
        <xdr:cNvPr id="18" name="Straight Connector 17"/>
        <xdr:cNvCxnSpPr/>
      </xdr:nvCxnSpPr>
      <xdr:spPr>
        <a:xfrm flipV="1">
          <a:off x="7349218" y="1582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83</xdr:row>
      <xdr:rowOff>18714</xdr:rowOff>
    </xdr:from>
    <xdr:to>
      <xdr:col>15</xdr:col>
      <xdr:colOff>887864</xdr:colOff>
      <xdr:row>84</xdr:row>
      <xdr:rowOff>190500</xdr:rowOff>
    </xdr:to>
    <xdr:cxnSp macro="">
      <xdr:nvCxnSpPr>
        <xdr:cNvPr id="19" name="Straight Connector 18"/>
        <xdr:cNvCxnSpPr/>
      </xdr:nvCxnSpPr>
      <xdr:spPr>
        <a:xfrm flipV="1">
          <a:off x="9171214" y="1583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85</xdr:row>
      <xdr:rowOff>13608</xdr:rowOff>
    </xdr:from>
    <xdr:to>
      <xdr:col>12</xdr:col>
      <xdr:colOff>27214</xdr:colOff>
      <xdr:row>86</xdr:row>
      <xdr:rowOff>190502</xdr:rowOff>
    </xdr:to>
    <xdr:cxnSp macro="">
      <xdr:nvCxnSpPr>
        <xdr:cNvPr id="20" name="Straight Connector 19"/>
        <xdr:cNvCxnSpPr/>
      </xdr:nvCxnSpPr>
      <xdr:spPr>
        <a:xfrm flipV="1">
          <a:off x="6787242" y="1620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85</xdr:row>
      <xdr:rowOff>13608</xdr:rowOff>
    </xdr:from>
    <xdr:to>
      <xdr:col>11</xdr:col>
      <xdr:colOff>51026</xdr:colOff>
      <xdr:row>87</xdr:row>
      <xdr:rowOff>0</xdr:rowOff>
    </xdr:to>
    <xdr:cxnSp macro="">
      <xdr:nvCxnSpPr>
        <xdr:cNvPr id="21" name="Straight Connector 20"/>
        <xdr:cNvCxnSpPr/>
      </xdr:nvCxnSpPr>
      <xdr:spPr>
        <a:xfrm flipV="1">
          <a:off x="6109607" y="16206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85</xdr:row>
      <xdr:rowOff>17011</xdr:rowOff>
    </xdr:from>
    <xdr:to>
      <xdr:col>12</xdr:col>
      <xdr:colOff>916780</xdr:colOff>
      <xdr:row>86</xdr:row>
      <xdr:rowOff>192201</xdr:rowOff>
    </xdr:to>
    <xdr:cxnSp macro="">
      <xdr:nvCxnSpPr>
        <xdr:cNvPr id="22" name="Straight Connector 21"/>
        <xdr:cNvCxnSpPr/>
      </xdr:nvCxnSpPr>
      <xdr:spPr>
        <a:xfrm flipV="1">
          <a:off x="7349218" y="1620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85</xdr:row>
      <xdr:rowOff>18714</xdr:rowOff>
    </xdr:from>
    <xdr:to>
      <xdr:col>15</xdr:col>
      <xdr:colOff>887864</xdr:colOff>
      <xdr:row>86</xdr:row>
      <xdr:rowOff>190500</xdr:rowOff>
    </xdr:to>
    <xdr:cxnSp macro="">
      <xdr:nvCxnSpPr>
        <xdr:cNvPr id="23" name="Straight Connector 22"/>
        <xdr:cNvCxnSpPr/>
      </xdr:nvCxnSpPr>
      <xdr:spPr>
        <a:xfrm flipV="1">
          <a:off x="9171214" y="16211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24" name="Straight Connector 23"/>
        <xdr:cNvCxnSpPr/>
      </xdr:nvCxnSpPr>
      <xdr:spPr>
        <a:xfrm flipV="1">
          <a:off x="6787242" y="1677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25" name="Straight Connector 24"/>
        <xdr:cNvCxnSpPr/>
      </xdr:nvCxnSpPr>
      <xdr:spPr>
        <a:xfrm flipV="1">
          <a:off x="6109607" y="1677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26" name="Straight Connector 25"/>
        <xdr:cNvCxnSpPr/>
      </xdr:nvCxnSpPr>
      <xdr:spPr>
        <a:xfrm flipV="1">
          <a:off x="73492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27" name="Straight Connector 26"/>
        <xdr:cNvCxnSpPr/>
      </xdr:nvCxnSpPr>
      <xdr:spPr>
        <a:xfrm flipV="1">
          <a:off x="9171214" y="1678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28" name="Straight Connector 27"/>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29" name="Straight Connector 28"/>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30" name="Straight Connector 29"/>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31" name="Straight Connector 30"/>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92</xdr:row>
      <xdr:rowOff>13608</xdr:rowOff>
    </xdr:from>
    <xdr:to>
      <xdr:col>12</xdr:col>
      <xdr:colOff>27214</xdr:colOff>
      <xdr:row>93</xdr:row>
      <xdr:rowOff>190502</xdr:rowOff>
    </xdr:to>
    <xdr:cxnSp macro="">
      <xdr:nvCxnSpPr>
        <xdr:cNvPr id="32" name="Straight Connector 31"/>
        <xdr:cNvCxnSpPr/>
      </xdr:nvCxnSpPr>
      <xdr:spPr>
        <a:xfrm flipV="1">
          <a:off x="6787242" y="1753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92</xdr:row>
      <xdr:rowOff>13608</xdr:rowOff>
    </xdr:from>
    <xdr:to>
      <xdr:col>11</xdr:col>
      <xdr:colOff>51026</xdr:colOff>
      <xdr:row>94</xdr:row>
      <xdr:rowOff>0</xdr:rowOff>
    </xdr:to>
    <xdr:cxnSp macro="">
      <xdr:nvCxnSpPr>
        <xdr:cNvPr id="33" name="Straight Connector 32"/>
        <xdr:cNvCxnSpPr/>
      </xdr:nvCxnSpPr>
      <xdr:spPr>
        <a:xfrm flipV="1">
          <a:off x="6109607" y="17539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92</xdr:row>
      <xdr:rowOff>17011</xdr:rowOff>
    </xdr:from>
    <xdr:to>
      <xdr:col>12</xdr:col>
      <xdr:colOff>916780</xdr:colOff>
      <xdr:row>93</xdr:row>
      <xdr:rowOff>192201</xdr:rowOff>
    </xdr:to>
    <xdr:cxnSp macro="">
      <xdr:nvCxnSpPr>
        <xdr:cNvPr id="34" name="Straight Connector 33"/>
        <xdr:cNvCxnSpPr/>
      </xdr:nvCxnSpPr>
      <xdr:spPr>
        <a:xfrm flipV="1">
          <a:off x="7349218" y="1754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92</xdr:row>
      <xdr:rowOff>18714</xdr:rowOff>
    </xdr:from>
    <xdr:to>
      <xdr:col>15</xdr:col>
      <xdr:colOff>887864</xdr:colOff>
      <xdr:row>93</xdr:row>
      <xdr:rowOff>190500</xdr:rowOff>
    </xdr:to>
    <xdr:cxnSp macro="">
      <xdr:nvCxnSpPr>
        <xdr:cNvPr id="35" name="Straight Connector 34"/>
        <xdr:cNvCxnSpPr/>
      </xdr:nvCxnSpPr>
      <xdr:spPr>
        <a:xfrm flipV="1">
          <a:off x="9171214" y="17544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94</xdr:row>
      <xdr:rowOff>13608</xdr:rowOff>
    </xdr:from>
    <xdr:to>
      <xdr:col>12</xdr:col>
      <xdr:colOff>27214</xdr:colOff>
      <xdr:row>95</xdr:row>
      <xdr:rowOff>190502</xdr:rowOff>
    </xdr:to>
    <xdr:cxnSp macro="">
      <xdr:nvCxnSpPr>
        <xdr:cNvPr id="36" name="Straight Connector 35"/>
        <xdr:cNvCxnSpPr/>
      </xdr:nvCxnSpPr>
      <xdr:spPr>
        <a:xfrm flipV="1">
          <a:off x="6787242" y="1792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94</xdr:row>
      <xdr:rowOff>13608</xdr:rowOff>
    </xdr:from>
    <xdr:to>
      <xdr:col>11</xdr:col>
      <xdr:colOff>51026</xdr:colOff>
      <xdr:row>96</xdr:row>
      <xdr:rowOff>0</xdr:rowOff>
    </xdr:to>
    <xdr:cxnSp macro="">
      <xdr:nvCxnSpPr>
        <xdr:cNvPr id="37" name="Straight Connector 36"/>
        <xdr:cNvCxnSpPr/>
      </xdr:nvCxnSpPr>
      <xdr:spPr>
        <a:xfrm flipV="1">
          <a:off x="6109607" y="17920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94</xdr:row>
      <xdr:rowOff>17011</xdr:rowOff>
    </xdr:from>
    <xdr:to>
      <xdr:col>12</xdr:col>
      <xdr:colOff>916780</xdr:colOff>
      <xdr:row>95</xdr:row>
      <xdr:rowOff>192201</xdr:rowOff>
    </xdr:to>
    <xdr:cxnSp macro="">
      <xdr:nvCxnSpPr>
        <xdr:cNvPr id="38" name="Straight Connector 37"/>
        <xdr:cNvCxnSpPr/>
      </xdr:nvCxnSpPr>
      <xdr:spPr>
        <a:xfrm flipV="1">
          <a:off x="7349218" y="1792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94</xdr:row>
      <xdr:rowOff>3</xdr:rowOff>
    </xdr:from>
    <xdr:to>
      <xdr:col>15</xdr:col>
      <xdr:colOff>40822</xdr:colOff>
      <xdr:row>95</xdr:row>
      <xdr:rowOff>149679</xdr:rowOff>
    </xdr:to>
    <xdr:cxnSp macro="">
      <xdr:nvCxnSpPr>
        <xdr:cNvPr id="39" name="Straight Connector 38"/>
        <xdr:cNvCxnSpPr/>
      </xdr:nvCxnSpPr>
      <xdr:spPr>
        <a:xfrm flipV="1">
          <a:off x="8571820" y="17907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94</xdr:row>
      <xdr:rowOff>18714</xdr:rowOff>
    </xdr:from>
    <xdr:to>
      <xdr:col>15</xdr:col>
      <xdr:colOff>887864</xdr:colOff>
      <xdr:row>95</xdr:row>
      <xdr:rowOff>190500</xdr:rowOff>
    </xdr:to>
    <xdr:cxnSp macro="">
      <xdr:nvCxnSpPr>
        <xdr:cNvPr id="40" name="Straight Connector 39"/>
        <xdr:cNvCxnSpPr/>
      </xdr:nvCxnSpPr>
      <xdr:spPr>
        <a:xfrm flipV="1">
          <a:off x="9171214" y="17925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41" name="Straight Connector 40"/>
        <xdr:cNvCxnSpPr/>
      </xdr:nvCxnSpPr>
      <xdr:spPr>
        <a:xfrm flipV="1">
          <a:off x="6787242" y="1849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42" name="Straight Connector 41"/>
        <xdr:cNvCxnSpPr/>
      </xdr:nvCxnSpPr>
      <xdr:spPr>
        <a:xfrm flipV="1">
          <a:off x="6109607" y="1849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43" name="Straight Connector 42"/>
        <xdr:cNvCxnSpPr/>
      </xdr:nvCxnSpPr>
      <xdr:spPr>
        <a:xfrm flipV="1">
          <a:off x="7349218" y="1849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44" name="Straight Connector 43"/>
        <xdr:cNvCxnSpPr/>
      </xdr:nvCxnSpPr>
      <xdr:spPr>
        <a:xfrm flipV="1">
          <a:off x="9171214" y="1849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45" name="Straight Connector 44"/>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46" name="Straight Connector 45"/>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47" name="Straight Connector 46"/>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48" name="Straight Connector 47"/>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101</xdr:row>
      <xdr:rowOff>13608</xdr:rowOff>
    </xdr:from>
    <xdr:to>
      <xdr:col>12</xdr:col>
      <xdr:colOff>27214</xdr:colOff>
      <xdr:row>102</xdr:row>
      <xdr:rowOff>190502</xdr:rowOff>
    </xdr:to>
    <xdr:cxnSp macro="">
      <xdr:nvCxnSpPr>
        <xdr:cNvPr id="49" name="Straight Connector 48"/>
        <xdr:cNvCxnSpPr/>
      </xdr:nvCxnSpPr>
      <xdr:spPr>
        <a:xfrm flipV="1">
          <a:off x="6787242" y="1925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101</xdr:row>
      <xdr:rowOff>13608</xdr:rowOff>
    </xdr:from>
    <xdr:to>
      <xdr:col>11</xdr:col>
      <xdr:colOff>51026</xdr:colOff>
      <xdr:row>103</xdr:row>
      <xdr:rowOff>0</xdr:rowOff>
    </xdr:to>
    <xdr:cxnSp macro="">
      <xdr:nvCxnSpPr>
        <xdr:cNvPr id="50" name="Straight Connector 49"/>
        <xdr:cNvCxnSpPr/>
      </xdr:nvCxnSpPr>
      <xdr:spPr>
        <a:xfrm flipV="1">
          <a:off x="6109607" y="1925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101</xdr:row>
      <xdr:rowOff>17011</xdr:rowOff>
    </xdr:from>
    <xdr:to>
      <xdr:col>12</xdr:col>
      <xdr:colOff>916780</xdr:colOff>
      <xdr:row>102</xdr:row>
      <xdr:rowOff>192201</xdr:rowOff>
    </xdr:to>
    <xdr:cxnSp macro="">
      <xdr:nvCxnSpPr>
        <xdr:cNvPr id="51" name="Straight Connector 50"/>
        <xdr:cNvCxnSpPr/>
      </xdr:nvCxnSpPr>
      <xdr:spPr>
        <a:xfrm flipV="1">
          <a:off x="7349218" y="1925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101</xdr:row>
      <xdr:rowOff>3</xdr:rowOff>
    </xdr:from>
    <xdr:to>
      <xdr:col>15</xdr:col>
      <xdr:colOff>40822</xdr:colOff>
      <xdr:row>102</xdr:row>
      <xdr:rowOff>149679</xdr:rowOff>
    </xdr:to>
    <xdr:cxnSp macro="">
      <xdr:nvCxnSpPr>
        <xdr:cNvPr id="52" name="Straight Connector 51"/>
        <xdr:cNvCxnSpPr/>
      </xdr:nvCxnSpPr>
      <xdr:spPr>
        <a:xfrm flipV="1">
          <a:off x="8571820" y="19240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101</xdr:row>
      <xdr:rowOff>18714</xdr:rowOff>
    </xdr:from>
    <xdr:to>
      <xdr:col>15</xdr:col>
      <xdr:colOff>887864</xdr:colOff>
      <xdr:row>102</xdr:row>
      <xdr:rowOff>190500</xdr:rowOff>
    </xdr:to>
    <xdr:cxnSp macro="">
      <xdr:nvCxnSpPr>
        <xdr:cNvPr id="53" name="Straight Connector 52"/>
        <xdr:cNvCxnSpPr/>
      </xdr:nvCxnSpPr>
      <xdr:spPr>
        <a:xfrm flipV="1">
          <a:off x="9171214" y="1925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103</xdr:row>
      <xdr:rowOff>13608</xdr:rowOff>
    </xdr:from>
    <xdr:to>
      <xdr:col>12</xdr:col>
      <xdr:colOff>27214</xdr:colOff>
      <xdr:row>104</xdr:row>
      <xdr:rowOff>190502</xdr:rowOff>
    </xdr:to>
    <xdr:cxnSp macro="">
      <xdr:nvCxnSpPr>
        <xdr:cNvPr id="54" name="Straight Connector 53"/>
        <xdr:cNvCxnSpPr/>
      </xdr:nvCxnSpPr>
      <xdr:spPr>
        <a:xfrm flipV="1">
          <a:off x="6787242" y="1963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103</xdr:row>
      <xdr:rowOff>13608</xdr:rowOff>
    </xdr:from>
    <xdr:to>
      <xdr:col>11</xdr:col>
      <xdr:colOff>51026</xdr:colOff>
      <xdr:row>105</xdr:row>
      <xdr:rowOff>0</xdr:rowOff>
    </xdr:to>
    <xdr:cxnSp macro="">
      <xdr:nvCxnSpPr>
        <xdr:cNvPr id="55" name="Straight Connector 54"/>
        <xdr:cNvCxnSpPr/>
      </xdr:nvCxnSpPr>
      <xdr:spPr>
        <a:xfrm flipV="1">
          <a:off x="6109607" y="19635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103</xdr:row>
      <xdr:rowOff>17011</xdr:rowOff>
    </xdr:from>
    <xdr:to>
      <xdr:col>12</xdr:col>
      <xdr:colOff>916780</xdr:colOff>
      <xdr:row>104</xdr:row>
      <xdr:rowOff>192201</xdr:rowOff>
    </xdr:to>
    <xdr:cxnSp macro="">
      <xdr:nvCxnSpPr>
        <xdr:cNvPr id="56" name="Straight Connector 55"/>
        <xdr:cNvCxnSpPr/>
      </xdr:nvCxnSpPr>
      <xdr:spPr>
        <a:xfrm flipV="1">
          <a:off x="7349218" y="1963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103</xdr:row>
      <xdr:rowOff>3</xdr:rowOff>
    </xdr:from>
    <xdr:to>
      <xdr:col>15</xdr:col>
      <xdr:colOff>40822</xdr:colOff>
      <xdr:row>104</xdr:row>
      <xdr:rowOff>149679</xdr:rowOff>
    </xdr:to>
    <xdr:cxnSp macro="">
      <xdr:nvCxnSpPr>
        <xdr:cNvPr id="57" name="Straight Connector 56"/>
        <xdr:cNvCxnSpPr/>
      </xdr:nvCxnSpPr>
      <xdr:spPr>
        <a:xfrm flipV="1">
          <a:off x="8571820" y="19621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103</xdr:row>
      <xdr:rowOff>18714</xdr:rowOff>
    </xdr:from>
    <xdr:to>
      <xdr:col>15</xdr:col>
      <xdr:colOff>887864</xdr:colOff>
      <xdr:row>104</xdr:row>
      <xdr:rowOff>190500</xdr:rowOff>
    </xdr:to>
    <xdr:cxnSp macro="">
      <xdr:nvCxnSpPr>
        <xdr:cNvPr id="58" name="Straight Connector 57"/>
        <xdr:cNvCxnSpPr/>
      </xdr:nvCxnSpPr>
      <xdr:spPr>
        <a:xfrm flipV="1">
          <a:off x="9171214" y="19640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59" name="Straight Connector 58"/>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60" name="Straight Connector 59"/>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61" name="Straight Connector 60"/>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79</xdr:row>
      <xdr:rowOff>40825</xdr:rowOff>
    </xdr:from>
    <xdr:to>
      <xdr:col>15</xdr:col>
      <xdr:colOff>54429</xdr:colOff>
      <xdr:row>80</xdr:row>
      <xdr:rowOff>190501</xdr:rowOff>
    </xdr:to>
    <xdr:cxnSp macro="">
      <xdr:nvCxnSpPr>
        <xdr:cNvPr id="62" name="Straight Connector 61"/>
        <xdr:cNvCxnSpPr/>
      </xdr:nvCxnSpPr>
      <xdr:spPr>
        <a:xfrm flipV="1">
          <a:off x="8585427" y="15090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63" name="Straight Connector 62"/>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64" name="Straight Connector 63"/>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65" name="Straight Connector 64"/>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66" name="Straight Connector 65"/>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67" name="Straight Connector 66"/>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68" name="Straight Connector 67"/>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69" name="Straight Connector 68"/>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70" name="Straight Connector 69"/>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71" name="Straight Connector 70"/>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99</xdr:row>
      <xdr:rowOff>17010</xdr:rowOff>
    </xdr:from>
    <xdr:to>
      <xdr:col>14</xdr:col>
      <xdr:colOff>903173</xdr:colOff>
      <xdr:row>100</xdr:row>
      <xdr:rowOff>192200</xdr:rowOff>
    </xdr:to>
    <xdr:cxnSp macro="">
      <xdr:nvCxnSpPr>
        <xdr:cNvPr id="72" name="Straight Connector 71"/>
        <xdr:cNvCxnSpPr/>
      </xdr:nvCxnSpPr>
      <xdr:spPr>
        <a:xfrm flipV="1">
          <a:off x="8554811" y="18876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92</xdr:row>
      <xdr:rowOff>3404</xdr:rowOff>
    </xdr:from>
    <xdr:to>
      <xdr:col>15</xdr:col>
      <xdr:colOff>5101</xdr:colOff>
      <xdr:row>93</xdr:row>
      <xdr:rowOff>178593</xdr:rowOff>
    </xdr:to>
    <xdr:cxnSp macro="">
      <xdr:nvCxnSpPr>
        <xdr:cNvPr id="73" name="Straight Connector 72"/>
        <xdr:cNvCxnSpPr/>
      </xdr:nvCxnSpPr>
      <xdr:spPr>
        <a:xfrm flipV="1">
          <a:off x="8582025" y="17529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90</xdr:row>
      <xdr:rowOff>17011</xdr:rowOff>
    </xdr:from>
    <xdr:to>
      <xdr:col>15</xdr:col>
      <xdr:colOff>5101</xdr:colOff>
      <xdr:row>91</xdr:row>
      <xdr:rowOff>192201</xdr:rowOff>
    </xdr:to>
    <xdr:cxnSp macro="">
      <xdr:nvCxnSpPr>
        <xdr:cNvPr id="74" name="Straight Connector 73"/>
        <xdr:cNvCxnSpPr/>
      </xdr:nvCxnSpPr>
      <xdr:spPr>
        <a:xfrm flipV="1">
          <a:off x="8582025" y="17162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88</xdr:row>
      <xdr:rowOff>17011</xdr:rowOff>
    </xdr:from>
    <xdr:to>
      <xdr:col>14</xdr:col>
      <xdr:colOff>916780</xdr:colOff>
      <xdr:row>89</xdr:row>
      <xdr:rowOff>192201</xdr:rowOff>
    </xdr:to>
    <xdr:cxnSp macro="">
      <xdr:nvCxnSpPr>
        <xdr:cNvPr id="75" name="Straight Connector 74"/>
        <xdr:cNvCxnSpPr/>
      </xdr:nvCxnSpPr>
      <xdr:spPr>
        <a:xfrm flipV="1">
          <a:off x="85684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85</xdr:row>
      <xdr:rowOff>17011</xdr:rowOff>
    </xdr:from>
    <xdr:to>
      <xdr:col>15</xdr:col>
      <xdr:colOff>32315</xdr:colOff>
      <xdr:row>86</xdr:row>
      <xdr:rowOff>192201</xdr:rowOff>
    </xdr:to>
    <xdr:cxnSp macro="">
      <xdr:nvCxnSpPr>
        <xdr:cNvPr id="76" name="Straight Connector 75"/>
        <xdr:cNvCxnSpPr/>
      </xdr:nvCxnSpPr>
      <xdr:spPr>
        <a:xfrm flipV="1">
          <a:off x="8609239" y="16209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83</xdr:row>
      <xdr:rowOff>17011</xdr:rowOff>
    </xdr:from>
    <xdr:to>
      <xdr:col>15</xdr:col>
      <xdr:colOff>32315</xdr:colOff>
      <xdr:row>84</xdr:row>
      <xdr:rowOff>192201</xdr:rowOff>
    </xdr:to>
    <xdr:cxnSp macro="">
      <xdr:nvCxnSpPr>
        <xdr:cNvPr id="77" name="Straight Connector 76"/>
        <xdr:cNvCxnSpPr/>
      </xdr:nvCxnSpPr>
      <xdr:spPr>
        <a:xfrm flipV="1">
          <a:off x="8609239" y="15828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81</xdr:row>
      <xdr:rowOff>3403</xdr:rowOff>
    </xdr:from>
    <xdr:to>
      <xdr:col>15</xdr:col>
      <xdr:colOff>18708</xdr:colOff>
      <xdr:row>82</xdr:row>
      <xdr:rowOff>178593</xdr:rowOff>
    </xdr:to>
    <xdr:cxnSp macro="">
      <xdr:nvCxnSpPr>
        <xdr:cNvPr id="78" name="Straight Connector 77"/>
        <xdr:cNvCxnSpPr/>
      </xdr:nvCxnSpPr>
      <xdr:spPr>
        <a:xfrm flipV="1">
          <a:off x="8595632" y="15433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50</xdr:row>
      <xdr:rowOff>27214</xdr:rowOff>
    </xdr:from>
    <xdr:to>
      <xdr:col>15</xdr:col>
      <xdr:colOff>898072</xdr:colOff>
      <xdr:row>51</xdr:row>
      <xdr:rowOff>149678</xdr:rowOff>
    </xdr:to>
    <xdr:cxnSp macro="">
      <xdr:nvCxnSpPr>
        <xdr:cNvPr id="79" name="Straight Connector 78"/>
        <xdr:cNvCxnSpPr/>
      </xdr:nvCxnSpPr>
      <xdr:spPr>
        <a:xfrm flipV="1">
          <a:off x="9171214" y="9552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50</xdr:row>
      <xdr:rowOff>13607</xdr:rowOff>
    </xdr:from>
    <xdr:to>
      <xdr:col>10</xdr:col>
      <xdr:colOff>911677</xdr:colOff>
      <xdr:row>52</xdr:row>
      <xdr:rowOff>0</xdr:rowOff>
    </xdr:to>
    <xdr:cxnSp macro="">
      <xdr:nvCxnSpPr>
        <xdr:cNvPr id="80" name="Straight Connector 79"/>
        <xdr:cNvCxnSpPr/>
      </xdr:nvCxnSpPr>
      <xdr:spPr>
        <a:xfrm flipV="1">
          <a:off x="6109607" y="9538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81" name="Straight Connector 80"/>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82" name="Straight Connector 81"/>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50</xdr:row>
      <xdr:rowOff>54428</xdr:rowOff>
    </xdr:from>
    <xdr:to>
      <xdr:col>14</xdr:col>
      <xdr:colOff>884463</xdr:colOff>
      <xdr:row>51</xdr:row>
      <xdr:rowOff>163285</xdr:rowOff>
    </xdr:to>
    <xdr:cxnSp macro="">
      <xdr:nvCxnSpPr>
        <xdr:cNvPr id="83" name="Straight Connector 82"/>
        <xdr:cNvCxnSpPr/>
      </xdr:nvCxnSpPr>
      <xdr:spPr>
        <a:xfrm flipV="1">
          <a:off x="8537119" y="9579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60</xdr:row>
      <xdr:rowOff>27214</xdr:rowOff>
    </xdr:from>
    <xdr:to>
      <xdr:col>15</xdr:col>
      <xdr:colOff>898072</xdr:colOff>
      <xdr:row>61</xdr:row>
      <xdr:rowOff>149678</xdr:rowOff>
    </xdr:to>
    <xdr:cxnSp macro="">
      <xdr:nvCxnSpPr>
        <xdr:cNvPr id="84" name="Straight Connector 83"/>
        <xdr:cNvCxnSpPr/>
      </xdr:nvCxnSpPr>
      <xdr:spPr>
        <a:xfrm flipV="1">
          <a:off x="9171214" y="11457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60</xdr:row>
      <xdr:rowOff>13607</xdr:rowOff>
    </xdr:from>
    <xdr:to>
      <xdr:col>10</xdr:col>
      <xdr:colOff>911677</xdr:colOff>
      <xdr:row>62</xdr:row>
      <xdr:rowOff>0</xdr:rowOff>
    </xdr:to>
    <xdr:cxnSp macro="">
      <xdr:nvCxnSpPr>
        <xdr:cNvPr id="85" name="Straight Connector 84"/>
        <xdr:cNvCxnSpPr/>
      </xdr:nvCxnSpPr>
      <xdr:spPr>
        <a:xfrm flipV="1">
          <a:off x="6109607" y="11443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60</xdr:row>
      <xdr:rowOff>13608</xdr:rowOff>
    </xdr:from>
    <xdr:to>
      <xdr:col>12</xdr:col>
      <xdr:colOff>27214</xdr:colOff>
      <xdr:row>61</xdr:row>
      <xdr:rowOff>190502</xdr:rowOff>
    </xdr:to>
    <xdr:cxnSp macro="">
      <xdr:nvCxnSpPr>
        <xdr:cNvPr id="86" name="Straight Connector 85"/>
        <xdr:cNvCxnSpPr/>
      </xdr:nvCxnSpPr>
      <xdr:spPr>
        <a:xfrm flipV="1">
          <a:off x="6787242" y="1144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60</xdr:row>
      <xdr:rowOff>17011</xdr:rowOff>
    </xdr:from>
    <xdr:to>
      <xdr:col>12</xdr:col>
      <xdr:colOff>916780</xdr:colOff>
      <xdr:row>61</xdr:row>
      <xdr:rowOff>192201</xdr:rowOff>
    </xdr:to>
    <xdr:cxnSp macro="">
      <xdr:nvCxnSpPr>
        <xdr:cNvPr id="87" name="Straight Connector 86"/>
        <xdr:cNvCxnSpPr/>
      </xdr:nvCxnSpPr>
      <xdr:spPr>
        <a:xfrm flipV="1">
          <a:off x="7349218" y="1144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60</xdr:row>
      <xdr:rowOff>54428</xdr:rowOff>
    </xdr:from>
    <xdr:to>
      <xdr:col>14</xdr:col>
      <xdr:colOff>884463</xdr:colOff>
      <xdr:row>61</xdr:row>
      <xdr:rowOff>163285</xdr:rowOff>
    </xdr:to>
    <xdr:cxnSp macro="">
      <xdr:nvCxnSpPr>
        <xdr:cNvPr id="88" name="Straight Connector 87"/>
        <xdr:cNvCxnSpPr/>
      </xdr:nvCxnSpPr>
      <xdr:spPr>
        <a:xfrm flipV="1">
          <a:off x="8537119" y="11484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77</xdr:row>
      <xdr:rowOff>13610</xdr:rowOff>
    </xdr:from>
    <xdr:to>
      <xdr:col>15</xdr:col>
      <xdr:colOff>54429</xdr:colOff>
      <xdr:row>78</xdr:row>
      <xdr:rowOff>163286</xdr:rowOff>
    </xdr:to>
    <xdr:cxnSp macro="">
      <xdr:nvCxnSpPr>
        <xdr:cNvPr id="89" name="Straight Connector 88"/>
        <xdr:cNvCxnSpPr/>
      </xdr:nvCxnSpPr>
      <xdr:spPr>
        <a:xfrm flipV="1">
          <a:off x="8585427" y="14682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43</xdr:row>
      <xdr:rowOff>13607</xdr:rowOff>
    </xdr:from>
    <xdr:to>
      <xdr:col>10</xdr:col>
      <xdr:colOff>911677</xdr:colOff>
      <xdr:row>45</xdr:row>
      <xdr:rowOff>0</xdr:rowOff>
    </xdr:to>
    <xdr:cxnSp macro="">
      <xdr:nvCxnSpPr>
        <xdr:cNvPr id="90" name="Straight Connector 89"/>
        <xdr:cNvCxnSpPr/>
      </xdr:nvCxnSpPr>
      <xdr:spPr>
        <a:xfrm flipV="1">
          <a:off x="6109607" y="8205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91" name="Straight Connector 90"/>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92" name="Straight Connector 91"/>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43</xdr:row>
      <xdr:rowOff>54428</xdr:rowOff>
    </xdr:from>
    <xdr:to>
      <xdr:col>14</xdr:col>
      <xdr:colOff>884463</xdr:colOff>
      <xdr:row>44</xdr:row>
      <xdr:rowOff>163285</xdr:rowOff>
    </xdr:to>
    <xdr:cxnSp macro="">
      <xdr:nvCxnSpPr>
        <xdr:cNvPr id="93" name="Straight Connector 92"/>
        <xdr:cNvCxnSpPr/>
      </xdr:nvCxnSpPr>
      <xdr:spPr>
        <a:xfrm flipV="1">
          <a:off x="8537119" y="8245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47</xdr:row>
      <xdr:rowOff>27214</xdr:rowOff>
    </xdr:from>
    <xdr:to>
      <xdr:col>15</xdr:col>
      <xdr:colOff>898072</xdr:colOff>
      <xdr:row>48</xdr:row>
      <xdr:rowOff>149678</xdr:rowOff>
    </xdr:to>
    <xdr:cxnSp macro="">
      <xdr:nvCxnSpPr>
        <xdr:cNvPr id="94" name="Straight Connector 93"/>
        <xdr:cNvCxnSpPr/>
      </xdr:nvCxnSpPr>
      <xdr:spPr>
        <a:xfrm flipV="1">
          <a:off x="9171214" y="8980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47</xdr:row>
      <xdr:rowOff>13607</xdr:rowOff>
    </xdr:from>
    <xdr:to>
      <xdr:col>10</xdr:col>
      <xdr:colOff>911677</xdr:colOff>
      <xdr:row>49</xdr:row>
      <xdr:rowOff>0</xdr:rowOff>
    </xdr:to>
    <xdr:cxnSp macro="">
      <xdr:nvCxnSpPr>
        <xdr:cNvPr id="95" name="Straight Connector 94"/>
        <xdr:cNvCxnSpPr/>
      </xdr:nvCxnSpPr>
      <xdr:spPr>
        <a:xfrm flipV="1">
          <a:off x="6109607" y="8967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47</xdr:row>
      <xdr:rowOff>13608</xdr:rowOff>
    </xdr:from>
    <xdr:to>
      <xdr:col>12</xdr:col>
      <xdr:colOff>27214</xdr:colOff>
      <xdr:row>48</xdr:row>
      <xdr:rowOff>190502</xdr:rowOff>
    </xdr:to>
    <xdr:cxnSp macro="">
      <xdr:nvCxnSpPr>
        <xdr:cNvPr id="96" name="Straight Connector 95"/>
        <xdr:cNvCxnSpPr/>
      </xdr:nvCxnSpPr>
      <xdr:spPr>
        <a:xfrm flipV="1">
          <a:off x="6787242" y="8967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47</xdr:row>
      <xdr:rowOff>17011</xdr:rowOff>
    </xdr:from>
    <xdr:to>
      <xdr:col>12</xdr:col>
      <xdr:colOff>916780</xdr:colOff>
      <xdr:row>48</xdr:row>
      <xdr:rowOff>192201</xdr:rowOff>
    </xdr:to>
    <xdr:cxnSp macro="">
      <xdr:nvCxnSpPr>
        <xdr:cNvPr id="97" name="Straight Connector 96"/>
        <xdr:cNvCxnSpPr/>
      </xdr:nvCxnSpPr>
      <xdr:spPr>
        <a:xfrm flipV="1">
          <a:off x="7349218" y="8970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47</xdr:row>
      <xdr:rowOff>54428</xdr:rowOff>
    </xdr:from>
    <xdr:to>
      <xdr:col>14</xdr:col>
      <xdr:colOff>884463</xdr:colOff>
      <xdr:row>48</xdr:row>
      <xdr:rowOff>163285</xdr:rowOff>
    </xdr:to>
    <xdr:cxnSp macro="">
      <xdr:nvCxnSpPr>
        <xdr:cNvPr id="98" name="Straight Connector 97"/>
        <xdr:cNvCxnSpPr/>
      </xdr:nvCxnSpPr>
      <xdr:spPr>
        <a:xfrm flipV="1">
          <a:off x="8537119" y="9007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45</xdr:row>
      <xdr:rowOff>27214</xdr:rowOff>
    </xdr:from>
    <xdr:to>
      <xdr:col>15</xdr:col>
      <xdr:colOff>898072</xdr:colOff>
      <xdr:row>46</xdr:row>
      <xdr:rowOff>149678</xdr:rowOff>
    </xdr:to>
    <xdr:cxnSp macro="">
      <xdr:nvCxnSpPr>
        <xdr:cNvPr id="99" name="Straight Connector 98"/>
        <xdr:cNvCxnSpPr/>
      </xdr:nvCxnSpPr>
      <xdr:spPr>
        <a:xfrm flipV="1">
          <a:off x="9171214" y="8599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45</xdr:row>
      <xdr:rowOff>13607</xdr:rowOff>
    </xdr:from>
    <xdr:to>
      <xdr:col>10</xdr:col>
      <xdr:colOff>911677</xdr:colOff>
      <xdr:row>47</xdr:row>
      <xdr:rowOff>0</xdr:rowOff>
    </xdr:to>
    <xdr:cxnSp macro="">
      <xdr:nvCxnSpPr>
        <xdr:cNvPr id="100" name="Straight Connector 99"/>
        <xdr:cNvCxnSpPr/>
      </xdr:nvCxnSpPr>
      <xdr:spPr>
        <a:xfrm flipV="1">
          <a:off x="6109607" y="8586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45</xdr:row>
      <xdr:rowOff>13608</xdr:rowOff>
    </xdr:from>
    <xdr:to>
      <xdr:col>12</xdr:col>
      <xdr:colOff>27214</xdr:colOff>
      <xdr:row>46</xdr:row>
      <xdr:rowOff>190502</xdr:rowOff>
    </xdr:to>
    <xdr:cxnSp macro="">
      <xdr:nvCxnSpPr>
        <xdr:cNvPr id="101" name="Straight Connector 100"/>
        <xdr:cNvCxnSpPr/>
      </xdr:nvCxnSpPr>
      <xdr:spPr>
        <a:xfrm flipV="1">
          <a:off x="6787242" y="8586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45</xdr:row>
      <xdr:rowOff>17011</xdr:rowOff>
    </xdr:from>
    <xdr:to>
      <xdr:col>12</xdr:col>
      <xdr:colOff>916780</xdr:colOff>
      <xdr:row>46</xdr:row>
      <xdr:rowOff>192201</xdr:rowOff>
    </xdr:to>
    <xdr:cxnSp macro="">
      <xdr:nvCxnSpPr>
        <xdr:cNvPr id="102" name="Straight Connector 101"/>
        <xdr:cNvCxnSpPr/>
      </xdr:nvCxnSpPr>
      <xdr:spPr>
        <a:xfrm flipV="1">
          <a:off x="7349218" y="8589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45</xdr:row>
      <xdr:rowOff>54428</xdr:rowOff>
    </xdr:from>
    <xdr:to>
      <xdr:col>14</xdr:col>
      <xdr:colOff>884463</xdr:colOff>
      <xdr:row>46</xdr:row>
      <xdr:rowOff>163285</xdr:rowOff>
    </xdr:to>
    <xdr:cxnSp macro="">
      <xdr:nvCxnSpPr>
        <xdr:cNvPr id="103" name="Straight Connector 102"/>
        <xdr:cNvCxnSpPr/>
      </xdr:nvCxnSpPr>
      <xdr:spPr>
        <a:xfrm flipV="1">
          <a:off x="8537119" y="8626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108</xdr:row>
      <xdr:rowOff>0</xdr:rowOff>
    </xdr:from>
    <xdr:ext cx="17150072" cy="3743326"/>
    <xdr:pic>
      <xdr:nvPicPr>
        <xdr:cNvPr id="104" name="Picture 103"/>
        <xdr:cNvPicPr>
          <a:picLocks noChangeAspect="1" noChangeArrowheads="1"/>
          <a:extLst/>
        </xdr:cNvPicPr>
      </xdr:nvPicPr>
      <xdr:blipFill>
        <a:blip xmlns:r="http://schemas.openxmlformats.org/officeDocument/2006/relationships" r:embed="rId1"/>
        <a:srcRect/>
        <a:stretch>
          <a:fillRect/>
        </a:stretch>
      </xdr:blipFill>
      <xdr:spPr bwMode="auto">
        <a:xfrm>
          <a:off x="609600" y="20574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124</xdr:row>
      <xdr:rowOff>176894</xdr:rowOff>
    </xdr:from>
    <xdr:ext cx="18008063" cy="3743325"/>
    <xdr:pic>
      <xdr:nvPicPr>
        <xdr:cNvPr id="105" name="Picture 104"/>
        <xdr:cNvPicPr>
          <a:picLocks noChangeAspect="1" noChangeArrowheads="1"/>
          <a:extLst/>
        </xdr:cNvPicPr>
      </xdr:nvPicPr>
      <xdr:blipFill>
        <a:blip xmlns:r="http://schemas.openxmlformats.org/officeDocument/2006/relationships" r:embed="rId2"/>
        <a:srcRect/>
        <a:stretch>
          <a:fillRect/>
        </a:stretch>
      </xdr:blipFill>
      <xdr:spPr bwMode="auto">
        <a:xfrm>
          <a:off x="621846" y="23798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32</xdr:row>
      <xdr:rowOff>13608</xdr:rowOff>
    </xdr:from>
    <xdr:to>
      <xdr:col>12</xdr:col>
      <xdr:colOff>27214</xdr:colOff>
      <xdr:row>33</xdr:row>
      <xdr:rowOff>190502</xdr:rowOff>
    </xdr:to>
    <xdr:cxnSp macro="">
      <xdr:nvCxnSpPr>
        <xdr:cNvPr id="106" name="Straight Connector 105"/>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07" name="Straight Connector 106"/>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32</xdr:row>
      <xdr:rowOff>0</xdr:rowOff>
    </xdr:from>
    <xdr:to>
      <xdr:col>15</xdr:col>
      <xdr:colOff>0</xdr:colOff>
      <xdr:row>33</xdr:row>
      <xdr:rowOff>190501</xdr:rowOff>
    </xdr:to>
    <xdr:cxnSp macro="">
      <xdr:nvCxnSpPr>
        <xdr:cNvPr id="108" name="Straight Connector 107"/>
        <xdr:cNvCxnSpPr/>
      </xdr:nvCxnSpPr>
      <xdr:spPr>
        <a:xfrm flipV="1">
          <a:off x="8533039" y="6096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27215</xdr:rowOff>
    </xdr:from>
    <xdr:to>
      <xdr:col>10</xdr:col>
      <xdr:colOff>911678</xdr:colOff>
      <xdr:row>34</xdr:row>
      <xdr:rowOff>0</xdr:rowOff>
    </xdr:to>
    <xdr:cxnSp macro="">
      <xdr:nvCxnSpPr>
        <xdr:cNvPr id="109" name="Straight Connector 108"/>
        <xdr:cNvCxnSpPr/>
      </xdr:nvCxnSpPr>
      <xdr:spPr>
        <a:xfrm flipV="1">
          <a:off x="6096000" y="6123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32</xdr:row>
      <xdr:rowOff>13607</xdr:rowOff>
    </xdr:from>
    <xdr:to>
      <xdr:col>16</xdr:col>
      <xdr:colOff>0</xdr:colOff>
      <xdr:row>34</xdr:row>
      <xdr:rowOff>0</xdr:rowOff>
    </xdr:to>
    <xdr:cxnSp macro="">
      <xdr:nvCxnSpPr>
        <xdr:cNvPr id="110" name="Straight Connector 109"/>
        <xdr:cNvCxnSpPr/>
      </xdr:nvCxnSpPr>
      <xdr:spPr>
        <a:xfrm flipV="1">
          <a:off x="9171214" y="6109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52</xdr:row>
      <xdr:rowOff>40821</xdr:rowOff>
    </xdr:from>
    <xdr:to>
      <xdr:col>15</xdr:col>
      <xdr:colOff>952500</xdr:colOff>
      <xdr:row>53</xdr:row>
      <xdr:rowOff>163285</xdr:rowOff>
    </xdr:to>
    <xdr:cxnSp macro="">
      <xdr:nvCxnSpPr>
        <xdr:cNvPr id="111" name="Straight Connector 110"/>
        <xdr:cNvCxnSpPr/>
      </xdr:nvCxnSpPr>
      <xdr:spPr>
        <a:xfrm flipV="1">
          <a:off x="9225642" y="9946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112" name="Straight Connector 111"/>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13" name="Straight Connector 112"/>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14" name="Straight Connector 113"/>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115" name="Straight Connector 114"/>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116" name="Straight Connector 115"/>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17" name="Straight Connector 116"/>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18" name="Straight Connector 117"/>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19" name="Straight Connector 118"/>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20" name="Straight Connector 119"/>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121" name="Straight Connector 120"/>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122" name="Straight Connector 121"/>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123" name="Straight Connector 122"/>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124" name="Straight Connector 123"/>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125" name="Straight Connector 124"/>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58</xdr:row>
      <xdr:rowOff>27214</xdr:rowOff>
    </xdr:from>
    <xdr:to>
      <xdr:col>15</xdr:col>
      <xdr:colOff>898072</xdr:colOff>
      <xdr:row>59</xdr:row>
      <xdr:rowOff>149678</xdr:rowOff>
    </xdr:to>
    <xdr:cxnSp macro="">
      <xdr:nvCxnSpPr>
        <xdr:cNvPr id="126" name="Straight Connector 125"/>
        <xdr:cNvCxnSpPr/>
      </xdr:nvCxnSpPr>
      <xdr:spPr>
        <a:xfrm flipV="1">
          <a:off x="9171214" y="11076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58</xdr:row>
      <xdr:rowOff>13607</xdr:rowOff>
    </xdr:from>
    <xdr:to>
      <xdr:col>10</xdr:col>
      <xdr:colOff>911677</xdr:colOff>
      <xdr:row>60</xdr:row>
      <xdr:rowOff>0</xdr:rowOff>
    </xdr:to>
    <xdr:cxnSp macro="">
      <xdr:nvCxnSpPr>
        <xdr:cNvPr id="127" name="Straight Connector 126"/>
        <xdr:cNvCxnSpPr/>
      </xdr:nvCxnSpPr>
      <xdr:spPr>
        <a:xfrm flipV="1">
          <a:off x="6109607" y="11062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58</xdr:row>
      <xdr:rowOff>13608</xdr:rowOff>
    </xdr:from>
    <xdr:to>
      <xdr:col>12</xdr:col>
      <xdr:colOff>27214</xdr:colOff>
      <xdr:row>59</xdr:row>
      <xdr:rowOff>190502</xdr:rowOff>
    </xdr:to>
    <xdr:cxnSp macro="">
      <xdr:nvCxnSpPr>
        <xdr:cNvPr id="128" name="Straight Connector 127"/>
        <xdr:cNvCxnSpPr/>
      </xdr:nvCxnSpPr>
      <xdr:spPr>
        <a:xfrm flipV="1">
          <a:off x="6787242" y="1106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58</xdr:row>
      <xdr:rowOff>17011</xdr:rowOff>
    </xdr:from>
    <xdr:to>
      <xdr:col>12</xdr:col>
      <xdr:colOff>916780</xdr:colOff>
      <xdr:row>59</xdr:row>
      <xdr:rowOff>192201</xdr:rowOff>
    </xdr:to>
    <xdr:cxnSp macro="">
      <xdr:nvCxnSpPr>
        <xdr:cNvPr id="129" name="Straight Connector 128"/>
        <xdr:cNvCxnSpPr/>
      </xdr:nvCxnSpPr>
      <xdr:spPr>
        <a:xfrm flipV="1">
          <a:off x="7349218" y="1106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58</xdr:row>
      <xdr:rowOff>54428</xdr:rowOff>
    </xdr:from>
    <xdr:to>
      <xdr:col>14</xdr:col>
      <xdr:colOff>884463</xdr:colOff>
      <xdr:row>59</xdr:row>
      <xdr:rowOff>163285</xdr:rowOff>
    </xdr:to>
    <xdr:cxnSp macro="">
      <xdr:nvCxnSpPr>
        <xdr:cNvPr id="130" name="Straight Connector 129"/>
        <xdr:cNvCxnSpPr/>
      </xdr:nvCxnSpPr>
      <xdr:spPr>
        <a:xfrm flipV="1">
          <a:off x="8537119" y="11103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43</xdr:row>
      <xdr:rowOff>27216</xdr:rowOff>
    </xdr:from>
    <xdr:to>
      <xdr:col>16</xdr:col>
      <xdr:colOff>27215</xdr:colOff>
      <xdr:row>44</xdr:row>
      <xdr:rowOff>176893</xdr:rowOff>
    </xdr:to>
    <xdr:cxnSp macro="">
      <xdr:nvCxnSpPr>
        <xdr:cNvPr id="131" name="Straight Connector 130"/>
        <xdr:cNvCxnSpPr/>
      </xdr:nvCxnSpPr>
      <xdr:spPr>
        <a:xfrm flipV="1">
          <a:off x="9198428" y="8218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28</xdr:row>
      <xdr:rowOff>13608</xdr:rowOff>
    </xdr:from>
    <xdr:to>
      <xdr:col>12</xdr:col>
      <xdr:colOff>27214</xdr:colOff>
      <xdr:row>29</xdr:row>
      <xdr:rowOff>190502</xdr:rowOff>
    </xdr:to>
    <xdr:cxnSp macro="">
      <xdr:nvCxnSpPr>
        <xdr:cNvPr id="132" name="Straight Connector 131"/>
        <xdr:cNvCxnSpPr/>
      </xdr:nvCxnSpPr>
      <xdr:spPr>
        <a:xfrm flipV="1">
          <a:off x="6787242" y="534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33" name="Straight Connector 132"/>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28</xdr:row>
      <xdr:rowOff>40821</xdr:rowOff>
    </xdr:from>
    <xdr:to>
      <xdr:col>14</xdr:col>
      <xdr:colOff>911678</xdr:colOff>
      <xdr:row>29</xdr:row>
      <xdr:rowOff>149677</xdr:rowOff>
    </xdr:to>
    <xdr:cxnSp macro="">
      <xdr:nvCxnSpPr>
        <xdr:cNvPr id="134" name="Straight Connector 133"/>
        <xdr:cNvCxnSpPr/>
      </xdr:nvCxnSpPr>
      <xdr:spPr>
        <a:xfrm flipV="1">
          <a:off x="8561613" y="537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28</xdr:row>
      <xdr:rowOff>13609</xdr:rowOff>
    </xdr:from>
    <xdr:to>
      <xdr:col>10</xdr:col>
      <xdr:colOff>911678</xdr:colOff>
      <xdr:row>29</xdr:row>
      <xdr:rowOff>190501</xdr:rowOff>
    </xdr:to>
    <xdr:cxnSp macro="">
      <xdr:nvCxnSpPr>
        <xdr:cNvPr id="135" name="Straight Connector 134"/>
        <xdr:cNvCxnSpPr/>
      </xdr:nvCxnSpPr>
      <xdr:spPr>
        <a:xfrm flipV="1">
          <a:off x="6109607" y="5347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136" name="Straight Connector 135"/>
        <xdr:cNvCxnSpPr/>
      </xdr:nvCxnSpPr>
      <xdr:spPr>
        <a:xfrm flipV="1">
          <a:off x="9198428" y="536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34</xdr:row>
      <xdr:rowOff>13608</xdr:rowOff>
    </xdr:from>
    <xdr:to>
      <xdr:col>12</xdr:col>
      <xdr:colOff>27214</xdr:colOff>
      <xdr:row>35</xdr:row>
      <xdr:rowOff>190500</xdr:rowOff>
    </xdr:to>
    <xdr:cxnSp macro="">
      <xdr:nvCxnSpPr>
        <xdr:cNvPr id="137" name="Straight Connector 136"/>
        <xdr:cNvCxnSpPr/>
      </xdr:nvCxnSpPr>
      <xdr:spPr>
        <a:xfrm flipV="1">
          <a:off x="6732814" y="6490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38" name="Straight Connector 137"/>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33</xdr:row>
      <xdr:rowOff>190500</xdr:rowOff>
    </xdr:from>
    <xdr:to>
      <xdr:col>15</xdr:col>
      <xdr:colOff>27214</xdr:colOff>
      <xdr:row>35</xdr:row>
      <xdr:rowOff>176894</xdr:rowOff>
    </xdr:to>
    <xdr:cxnSp macro="">
      <xdr:nvCxnSpPr>
        <xdr:cNvPr id="139" name="Straight Connector 138"/>
        <xdr:cNvCxnSpPr/>
      </xdr:nvCxnSpPr>
      <xdr:spPr>
        <a:xfrm flipV="1">
          <a:off x="8561614" y="6477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34</xdr:row>
      <xdr:rowOff>0</xdr:rowOff>
    </xdr:from>
    <xdr:to>
      <xdr:col>11</xdr:col>
      <xdr:colOff>13607</xdr:colOff>
      <xdr:row>35</xdr:row>
      <xdr:rowOff>176892</xdr:rowOff>
    </xdr:to>
    <xdr:cxnSp macro="">
      <xdr:nvCxnSpPr>
        <xdr:cNvPr id="140" name="Straight Connector 139"/>
        <xdr:cNvCxnSpPr/>
      </xdr:nvCxnSpPr>
      <xdr:spPr>
        <a:xfrm flipV="1">
          <a:off x="6123215" y="6477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34</xdr:row>
      <xdr:rowOff>0</xdr:rowOff>
    </xdr:from>
    <xdr:to>
      <xdr:col>15</xdr:col>
      <xdr:colOff>952500</xdr:colOff>
      <xdr:row>35</xdr:row>
      <xdr:rowOff>190501</xdr:rowOff>
    </xdr:to>
    <xdr:cxnSp macro="">
      <xdr:nvCxnSpPr>
        <xdr:cNvPr id="141" name="Straight Connector 140"/>
        <xdr:cNvCxnSpPr/>
      </xdr:nvCxnSpPr>
      <xdr:spPr>
        <a:xfrm flipV="1">
          <a:off x="9141279" y="6477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142" name="Straight Connector 141"/>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43" name="Straight Connector 142"/>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44" name="Straight Connector 143"/>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145" name="Straight Connector 144"/>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46" name="Straight Connector 145"/>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47" name="Straight Connector 146"/>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48" name="Straight Connector 147"/>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49" name="Straight Connector 148"/>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50" name="Straight Connector 149"/>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51" name="Straight Connector 150"/>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52" name="Straight Connector 151"/>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53" name="Straight Connector 152"/>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54" name="Straight Connector 153"/>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155" name="Straight Connector 154"/>
        <xdr:cNvCxnSpPr/>
      </xdr:nvCxnSpPr>
      <xdr:spPr>
        <a:xfrm flipV="1">
          <a:off x="6109607" y="3048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56" name="Straight Connector 155"/>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26</xdr:row>
      <xdr:rowOff>13609</xdr:rowOff>
    </xdr:from>
    <xdr:to>
      <xdr:col>12</xdr:col>
      <xdr:colOff>27214</xdr:colOff>
      <xdr:row>28</xdr:row>
      <xdr:rowOff>0</xdr:rowOff>
    </xdr:to>
    <xdr:cxnSp macro="">
      <xdr:nvCxnSpPr>
        <xdr:cNvPr id="157" name="Straight Connector 156"/>
        <xdr:cNvCxnSpPr/>
      </xdr:nvCxnSpPr>
      <xdr:spPr>
        <a:xfrm flipV="1">
          <a:off x="6719207" y="4966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58" name="Straight Connector 157"/>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59" name="Straight Connector 158"/>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26</xdr:row>
      <xdr:rowOff>2</xdr:rowOff>
    </xdr:from>
    <xdr:to>
      <xdr:col>11</xdr:col>
      <xdr:colOff>40820</xdr:colOff>
      <xdr:row>28</xdr:row>
      <xdr:rowOff>0</xdr:rowOff>
    </xdr:to>
    <xdr:cxnSp macro="">
      <xdr:nvCxnSpPr>
        <xdr:cNvPr id="160" name="Straight Connector 159"/>
        <xdr:cNvCxnSpPr/>
      </xdr:nvCxnSpPr>
      <xdr:spPr>
        <a:xfrm flipV="1">
          <a:off x="6109607" y="4953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61" name="Straight Connector 160"/>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12</xdr:row>
      <xdr:rowOff>13609</xdr:rowOff>
    </xdr:from>
    <xdr:to>
      <xdr:col>12</xdr:col>
      <xdr:colOff>27214</xdr:colOff>
      <xdr:row>14</xdr:row>
      <xdr:rowOff>0</xdr:rowOff>
    </xdr:to>
    <xdr:cxnSp macro="">
      <xdr:nvCxnSpPr>
        <xdr:cNvPr id="162" name="Straight Connector 161"/>
        <xdr:cNvCxnSpPr/>
      </xdr:nvCxnSpPr>
      <xdr:spPr>
        <a:xfrm flipV="1">
          <a:off x="6719207" y="2299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163" name="Straight Connector 162"/>
        <xdr:cNvCxnSpPr/>
      </xdr:nvCxnSpPr>
      <xdr:spPr>
        <a:xfrm flipV="1">
          <a:off x="7349218" y="2303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164" name="Straight Connector 163"/>
        <xdr:cNvCxnSpPr/>
      </xdr:nvCxnSpPr>
      <xdr:spPr>
        <a:xfrm flipV="1">
          <a:off x="8561613" y="2326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12</xdr:row>
      <xdr:rowOff>2</xdr:rowOff>
    </xdr:from>
    <xdr:to>
      <xdr:col>11</xdr:col>
      <xdr:colOff>40820</xdr:colOff>
      <xdr:row>14</xdr:row>
      <xdr:rowOff>0</xdr:rowOff>
    </xdr:to>
    <xdr:cxnSp macro="">
      <xdr:nvCxnSpPr>
        <xdr:cNvPr id="165" name="Straight Connector 164"/>
        <xdr:cNvCxnSpPr/>
      </xdr:nvCxnSpPr>
      <xdr:spPr>
        <a:xfrm flipV="1">
          <a:off x="6109607" y="2286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166" name="Straight Connector 165"/>
        <xdr:cNvCxnSpPr/>
      </xdr:nvCxnSpPr>
      <xdr:spPr>
        <a:xfrm flipV="1">
          <a:off x="9198428" y="2313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40</xdr:row>
      <xdr:rowOff>13608</xdr:rowOff>
    </xdr:from>
    <xdr:to>
      <xdr:col>12</xdr:col>
      <xdr:colOff>27214</xdr:colOff>
      <xdr:row>41</xdr:row>
      <xdr:rowOff>190502</xdr:rowOff>
    </xdr:to>
    <xdr:cxnSp macro="">
      <xdr:nvCxnSpPr>
        <xdr:cNvPr id="167" name="Straight Connector 166"/>
        <xdr:cNvCxnSpPr/>
      </xdr:nvCxnSpPr>
      <xdr:spPr>
        <a:xfrm flipV="1">
          <a:off x="6787242" y="7633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40</xdr:row>
      <xdr:rowOff>17011</xdr:rowOff>
    </xdr:from>
    <xdr:to>
      <xdr:col>12</xdr:col>
      <xdr:colOff>916780</xdr:colOff>
      <xdr:row>41</xdr:row>
      <xdr:rowOff>192201</xdr:rowOff>
    </xdr:to>
    <xdr:cxnSp macro="">
      <xdr:nvCxnSpPr>
        <xdr:cNvPr id="168" name="Straight Connector 167"/>
        <xdr:cNvCxnSpPr/>
      </xdr:nvCxnSpPr>
      <xdr:spPr>
        <a:xfrm flipV="1">
          <a:off x="7349218" y="763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40</xdr:row>
      <xdr:rowOff>40821</xdr:rowOff>
    </xdr:from>
    <xdr:to>
      <xdr:col>14</xdr:col>
      <xdr:colOff>911678</xdr:colOff>
      <xdr:row>41</xdr:row>
      <xdr:rowOff>149677</xdr:rowOff>
    </xdr:to>
    <xdr:cxnSp macro="">
      <xdr:nvCxnSpPr>
        <xdr:cNvPr id="169" name="Straight Connector 168"/>
        <xdr:cNvCxnSpPr/>
      </xdr:nvCxnSpPr>
      <xdr:spPr>
        <a:xfrm flipV="1">
          <a:off x="8561613" y="766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40</xdr:row>
      <xdr:rowOff>27215</xdr:rowOff>
    </xdr:from>
    <xdr:to>
      <xdr:col>10</xdr:col>
      <xdr:colOff>911678</xdr:colOff>
      <xdr:row>42</xdr:row>
      <xdr:rowOff>0</xdr:rowOff>
    </xdr:to>
    <xdr:cxnSp macro="">
      <xdr:nvCxnSpPr>
        <xdr:cNvPr id="170" name="Straight Connector 169"/>
        <xdr:cNvCxnSpPr/>
      </xdr:nvCxnSpPr>
      <xdr:spPr>
        <a:xfrm flipV="1">
          <a:off x="6096000" y="7647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40</xdr:row>
      <xdr:rowOff>27216</xdr:rowOff>
    </xdr:from>
    <xdr:to>
      <xdr:col>16</xdr:col>
      <xdr:colOff>27215</xdr:colOff>
      <xdr:row>41</xdr:row>
      <xdr:rowOff>176893</xdr:rowOff>
    </xdr:to>
    <xdr:cxnSp macro="">
      <xdr:nvCxnSpPr>
        <xdr:cNvPr id="171" name="Straight Connector 170"/>
        <xdr:cNvCxnSpPr/>
      </xdr:nvCxnSpPr>
      <xdr:spPr>
        <a:xfrm flipV="1">
          <a:off x="9198428" y="764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172" name="Straight Connector 171"/>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173" name="Straight Connector 172"/>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14</xdr:row>
      <xdr:rowOff>13609</xdr:rowOff>
    </xdr:from>
    <xdr:to>
      <xdr:col>12</xdr:col>
      <xdr:colOff>27214</xdr:colOff>
      <xdr:row>16</xdr:row>
      <xdr:rowOff>0</xdr:rowOff>
    </xdr:to>
    <xdr:cxnSp macro="">
      <xdr:nvCxnSpPr>
        <xdr:cNvPr id="174" name="Straight Connector 173"/>
        <xdr:cNvCxnSpPr/>
      </xdr:nvCxnSpPr>
      <xdr:spPr>
        <a:xfrm flipV="1">
          <a:off x="6719207" y="2680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75" name="Straight Connector 174"/>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76" name="Straight Connector 175"/>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14</xdr:row>
      <xdr:rowOff>2</xdr:rowOff>
    </xdr:from>
    <xdr:to>
      <xdr:col>11</xdr:col>
      <xdr:colOff>40820</xdr:colOff>
      <xdr:row>16</xdr:row>
      <xdr:rowOff>0</xdr:rowOff>
    </xdr:to>
    <xdr:cxnSp macro="">
      <xdr:nvCxnSpPr>
        <xdr:cNvPr id="177" name="Straight Connector 176"/>
        <xdr:cNvCxnSpPr/>
      </xdr:nvCxnSpPr>
      <xdr:spPr>
        <a:xfrm flipV="1">
          <a:off x="6109607" y="2667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78" name="Straight Connector 177"/>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179" name="Straight Connector 178"/>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80" name="Straight Connector 179"/>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36</xdr:row>
      <xdr:rowOff>40821</xdr:rowOff>
    </xdr:from>
    <xdr:to>
      <xdr:col>14</xdr:col>
      <xdr:colOff>911678</xdr:colOff>
      <xdr:row>37</xdr:row>
      <xdr:rowOff>149677</xdr:rowOff>
    </xdr:to>
    <xdr:cxnSp macro="">
      <xdr:nvCxnSpPr>
        <xdr:cNvPr id="181" name="Straight Connector 180"/>
        <xdr:cNvCxnSpPr/>
      </xdr:nvCxnSpPr>
      <xdr:spPr>
        <a:xfrm flipV="1">
          <a:off x="8561613" y="689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182" name="Straight Connector 181"/>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183" name="Straight Connector 182"/>
        <xdr:cNvCxnSpPr/>
      </xdr:nvCxnSpPr>
      <xdr:spPr>
        <a:xfrm flipV="1">
          <a:off x="9198428" y="688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84" name="Straight Connector 183"/>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85" name="Straight Connector 184"/>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86" name="Straight Connector 185"/>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27216</xdr:rowOff>
    </xdr:from>
    <xdr:to>
      <xdr:col>10</xdr:col>
      <xdr:colOff>898071</xdr:colOff>
      <xdr:row>32</xdr:row>
      <xdr:rowOff>0</xdr:rowOff>
    </xdr:to>
    <xdr:cxnSp macro="">
      <xdr:nvCxnSpPr>
        <xdr:cNvPr id="187" name="Straight Connector 186"/>
        <xdr:cNvCxnSpPr/>
      </xdr:nvCxnSpPr>
      <xdr:spPr>
        <a:xfrm flipV="1">
          <a:off x="6096000" y="5742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88" name="Straight Connector 187"/>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38</xdr:row>
      <xdr:rowOff>13608</xdr:rowOff>
    </xdr:from>
    <xdr:to>
      <xdr:col>12</xdr:col>
      <xdr:colOff>27214</xdr:colOff>
      <xdr:row>39</xdr:row>
      <xdr:rowOff>190502</xdr:rowOff>
    </xdr:to>
    <xdr:cxnSp macro="">
      <xdr:nvCxnSpPr>
        <xdr:cNvPr id="189" name="Straight Connector 188"/>
        <xdr:cNvCxnSpPr/>
      </xdr:nvCxnSpPr>
      <xdr:spPr>
        <a:xfrm flipV="1">
          <a:off x="6787242" y="7252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38</xdr:row>
      <xdr:rowOff>17011</xdr:rowOff>
    </xdr:from>
    <xdr:to>
      <xdr:col>12</xdr:col>
      <xdr:colOff>916780</xdr:colOff>
      <xdr:row>39</xdr:row>
      <xdr:rowOff>192201</xdr:rowOff>
    </xdr:to>
    <xdr:cxnSp macro="">
      <xdr:nvCxnSpPr>
        <xdr:cNvPr id="190" name="Straight Connector 189"/>
        <xdr:cNvCxnSpPr/>
      </xdr:nvCxnSpPr>
      <xdr:spPr>
        <a:xfrm flipV="1">
          <a:off x="7349218" y="725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38</xdr:row>
      <xdr:rowOff>40821</xdr:rowOff>
    </xdr:from>
    <xdr:to>
      <xdr:col>14</xdr:col>
      <xdr:colOff>911678</xdr:colOff>
      <xdr:row>39</xdr:row>
      <xdr:rowOff>149677</xdr:rowOff>
    </xdr:to>
    <xdr:cxnSp macro="">
      <xdr:nvCxnSpPr>
        <xdr:cNvPr id="191" name="Straight Connector 190"/>
        <xdr:cNvCxnSpPr/>
      </xdr:nvCxnSpPr>
      <xdr:spPr>
        <a:xfrm flipV="1">
          <a:off x="8561613" y="727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xdr:row>
      <xdr:rowOff>27215</xdr:rowOff>
    </xdr:from>
    <xdr:to>
      <xdr:col>10</xdr:col>
      <xdr:colOff>911678</xdr:colOff>
      <xdr:row>40</xdr:row>
      <xdr:rowOff>0</xdr:rowOff>
    </xdr:to>
    <xdr:cxnSp macro="">
      <xdr:nvCxnSpPr>
        <xdr:cNvPr id="192" name="Straight Connector 191"/>
        <xdr:cNvCxnSpPr/>
      </xdr:nvCxnSpPr>
      <xdr:spPr>
        <a:xfrm flipV="1">
          <a:off x="6096000" y="7266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38</xdr:row>
      <xdr:rowOff>27216</xdr:rowOff>
    </xdr:from>
    <xdr:to>
      <xdr:col>16</xdr:col>
      <xdr:colOff>27215</xdr:colOff>
      <xdr:row>39</xdr:row>
      <xdr:rowOff>176893</xdr:rowOff>
    </xdr:to>
    <xdr:cxnSp macro="">
      <xdr:nvCxnSpPr>
        <xdr:cNvPr id="193" name="Straight Connector 192"/>
        <xdr:cNvCxnSpPr/>
      </xdr:nvCxnSpPr>
      <xdr:spPr>
        <a:xfrm flipV="1">
          <a:off x="9198428" y="726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94" name="Straight Connector 193"/>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95" name="Straight Connector 194"/>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96" name="Straight Connector 195"/>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97" name="Straight Connector 196"/>
        <xdr:cNvCxnSpPr/>
      </xdr:nvCxnSpPr>
      <xdr:spPr>
        <a:xfrm flipV="1">
          <a:off x="6164035" y="1143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98" name="Straight Connector 197"/>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99" name="Straight Connector 198"/>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200" name="Straight Connector 199"/>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201" name="Straight Connector 200"/>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202" name="Straight Connector 201"/>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03" name="Straight Connector 202"/>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204" name="Straight Connector 20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205" name="Straight Connector 20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206" name="Straight Connector 20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207" name="Straight Connector 206"/>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208" name="Straight Connector 20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72</xdr:row>
      <xdr:rowOff>13608</xdr:rowOff>
    </xdr:from>
    <xdr:to>
      <xdr:col>11</xdr:col>
      <xdr:colOff>898071</xdr:colOff>
      <xdr:row>73</xdr:row>
      <xdr:rowOff>190502</xdr:rowOff>
    </xdr:to>
    <xdr:cxnSp macro="">
      <xdr:nvCxnSpPr>
        <xdr:cNvPr id="209" name="Straight Connector 208"/>
        <xdr:cNvCxnSpPr/>
      </xdr:nvCxnSpPr>
      <xdr:spPr>
        <a:xfrm flipV="1">
          <a:off x="6719207" y="13729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40824</xdr:rowOff>
    </xdr:from>
    <xdr:to>
      <xdr:col>12</xdr:col>
      <xdr:colOff>898072</xdr:colOff>
      <xdr:row>73</xdr:row>
      <xdr:rowOff>190500</xdr:rowOff>
    </xdr:to>
    <xdr:cxnSp macro="">
      <xdr:nvCxnSpPr>
        <xdr:cNvPr id="210" name="Straight Connector 209"/>
        <xdr:cNvCxnSpPr/>
      </xdr:nvCxnSpPr>
      <xdr:spPr>
        <a:xfrm flipV="1">
          <a:off x="7315200" y="13756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72</xdr:row>
      <xdr:rowOff>40824</xdr:rowOff>
    </xdr:from>
    <xdr:to>
      <xdr:col>14</xdr:col>
      <xdr:colOff>884465</xdr:colOff>
      <xdr:row>73</xdr:row>
      <xdr:rowOff>176893</xdr:rowOff>
    </xdr:to>
    <xdr:cxnSp macro="">
      <xdr:nvCxnSpPr>
        <xdr:cNvPr id="211" name="Straight Connector 210"/>
        <xdr:cNvCxnSpPr/>
      </xdr:nvCxnSpPr>
      <xdr:spPr>
        <a:xfrm flipV="1">
          <a:off x="8561614" y="13756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72</xdr:row>
      <xdr:rowOff>13608</xdr:rowOff>
    </xdr:from>
    <xdr:to>
      <xdr:col>10</xdr:col>
      <xdr:colOff>884464</xdr:colOff>
      <xdr:row>74</xdr:row>
      <xdr:rowOff>0</xdr:rowOff>
    </xdr:to>
    <xdr:cxnSp macro="">
      <xdr:nvCxnSpPr>
        <xdr:cNvPr id="212" name="Straight Connector 211"/>
        <xdr:cNvCxnSpPr/>
      </xdr:nvCxnSpPr>
      <xdr:spPr>
        <a:xfrm flipV="1">
          <a:off x="6097361" y="13729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72</xdr:row>
      <xdr:rowOff>27217</xdr:rowOff>
    </xdr:from>
    <xdr:to>
      <xdr:col>15</xdr:col>
      <xdr:colOff>938894</xdr:colOff>
      <xdr:row>73</xdr:row>
      <xdr:rowOff>201084</xdr:rowOff>
    </xdr:to>
    <xdr:cxnSp macro="">
      <xdr:nvCxnSpPr>
        <xdr:cNvPr id="213" name="Straight Connector 212"/>
        <xdr:cNvCxnSpPr/>
      </xdr:nvCxnSpPr>
      <xdr:spPr>
        <a:xfrm flipV="1">
          <a:off x="9154584" y="13743217"/>
          <a:ext cx="594935" cy="354842"/>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214" name="Straight Connector 213"/>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215" name="Straight Connector 214"/>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216" name="Straight Connector 215"/>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217" name="Straight Connector 216"/>
        <xdr:cNvCxnSpPr/>
      </xdr:nvCxnSpPr>
      <xdr:spPr>
        <a:xfrm flipV="1">
          <a:off x="6109607" y="3429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218" name="Straight Connector 217"/>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74</xdr:row>
      <xdr:rowOff>27219</xdr:rowOff>
    </xdr:from>
    <xdr:to>
      <xdr:col>15</xdr:col>
      <xdr:colOff>938894</xdr:colOff>
      <xdr:row>76</xdr:row>
      <xdr:rowOff>10583</xdr:rowOff>
    </xdr:to>
    <xdr:cxnSp macro="">
      <xdr:nvCxnSpPr>
        <xdr:cNvPr id="219" name="Straight Connector 218"/>
        <xdr:cNvCxnSpPr/>
      </xdr:nvCxnSpPr>
      <xdr:spPr>
        <a:xfrm flipV="1">
          <a:off x="9154584" y="14124219"/>
          <a:ext cx="594935" cy="364364"/>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220" name="Straight Connector 219"/>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221" name="Straight Connector 220"/>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222" name="Straight Connector 221"/>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223" name="Straight Connector 222"/>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24" name="Straight Connector 223"/>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24</xdr:row>
      <xdr:rowOff>13609</xdr:rowOff>
    </xdr:from>
    <xdr:to>
      <xdr:col>12</xdr:col>
      <xdr:colOff>27214</xdr:colOff>
      <xdr:row>26</xdr:row>
      <xdr:rowOff>0</xdr:rowOff>
    </xdr:to>
    <xdr:cxnSp macro="">
      <xdr:nvCxnSpPr>
        <xdr:cNvPr id="225" name="Straight Connector 224"/>
        <xdr:cNvCxnSpPr/>
      </xdr:nvCxnSpPr>
      <xdr:spPr>
        <a:xfrm flipV="1">
          <a:off x="6719207" y="4585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226" name="Straight Connector 225"/>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227" name="Straight Connector 226"/>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2</xdr:rowOff>
    </xdr:from>
    <xdr:to>
      <xdr:col>11</xdr:col>
      <xdr:colOff>40820</xdr:colOff>
      <xdr:row>26</xdr:row>
      <xdr:rowOff>0</xdr:rowOff>
    </xdr:to>
    <xdr:cxnSp macro="">
      <xdr:nvCxnSpPr>
        <xdr:cNvPr id="228" name="Straight Connector 227"/>
        <xdr:cNvCxnSpPr/>
      </xdr:nvCxnSpPr>
      <xdr:spPr>
        <a:xfrm flipV="1">
          <a:off x="6109607" y="4572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229" name="Straight Connector 228"/>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11</xdr:col>
      <xdr:colOff>13607</xdr:colOff>
      <xdr:row>64</xdr:row>
      <xdr:rowOff>13608</xdr:rowOff>
    </xdr:from>
    <xdr:to>
      <xdr:col>11</xdr:col>
      <xdr:colOff>898071</xdr:colOff>
      <xdr:row>65</xdr:row>
      <xdr:rowOff>190502</xdr:rowOff>
    </xdr:to>
    <xdr:cxnSp macro="">
      <xdr:nvCxnSpPr>
        <xdr:cNvPr id="2" name="Straight Connector 1"/>
        <xdr:cNvCxnSpPr/>
      </xdr:nvCxnSpPr>
      <xdr:spPr>
        <a:xfrm flipV="1">
          <a:off x="6719207" y="12205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64</xdr:row>
      <xdr:rowOff>40824</xdr:rowOff>
    </xdr:from>
    <xdr:to>
      <xdr:col>12</xdr:col>
      <xdr:colOff>898072</xdr:colOff>
      <xdr:row>65</xdr:row>
      <xdr:rowOff>190500</xdr:rowOff>
    </xdr:to>
    <xdr:cxnSp macro="">
      <xdr:nvCxnSpPr>
        <xdr:cNvPr id="3" name="Straight Connector 2"/>
        <xdr:cNvCxnSpPr/>
      </xdr:nvCxnSpPr>
      <xdr:spPr>
        <a:xfrm flipV="1">
          <a:off x="7315200" y="12232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64</xdr:row>
      <xdr:rowOff>40824</xdr:rowOff>
    </xdr:from>
    <xdr:to>
      <xdr:col>14</xdr:col>
      <xdr:colOff>884465</xdr:colOff>
      <xdr:row>65</xdr:row>
      <xdr:rowOff>176893</xdr:rowOff>
    </xdr:to>
    <xdr:cxnSp macro="">
      <xdr:nvCxnSpPr>
        <xdr:cNvPr id="4" name="Straight Connector 3"/>
        <xdr:cNvCxnSpPr/>
      </xdr:nvCxnSpPr>
      <xdr:spPr>
        <a:xfrm flipV="1">
          <a:off x="8561614" y="12232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64</xdr:row>
      <xdr:rowOff>27214</xdr:rowOff>
    </xdr:from>
    <xdr:to>
      <xdr:col>16</xdr:col>
      <xdr:colOff>0</xdr:colOff>
      <xdr:row>66</xdr:row>
      <xdr:rowOff>0</xdr:rowOff>
    </xdr:to>
    <xdr:cxnSp macro="">
      <xdr:nvCxnSpPr>
        <xdr:cNvPr id="5" name="Straight Connector 4"/>
        <xdr:cNvCxnSpPr/>
      </xdr:nvCxnSpPr>
      <xdr:spPr>
        <a:xfrm flipV="1">
          <a:off x="9144001" y="12219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64</xdr:row>
      <xdr:rowOff>1</xdr:rowOff>
    </xdr:from>
    <xdr:to>
      <xdr:col>11</xdr:col>
      <xdr:colOff>13607</xdr:colOff>
      <xdr:row>65</xdr:row>
      <xdr:rowOff>176895</xdr:rowOff>
    </xdr:to>
    <xdr:cxnSp macro="">
      <xdr:nvCxnSpPr>
        <xdr:cNvPr id="6" name="Straight Connector 5"/>
        <xdr:cNvCxnSpPr/>
      </xdr:nvCxnSpPr>
      <xdr:spPr>
        <a:xfrm flipV="1">
          <a:off x="6150429" y="12192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70</xdr:row>
      <xdr:rowOff>13608</xdr:rowOff>
    </xdr:from>
    <xdr:to>
      <xdr:col>11</xdr:col>
      <xdr:colOff>898071</xdr:colOff>
      <xdr:row>71</xdr:row>
      <xdr:rowOff>190502</xdr:rowOff>
    </xdr:to>
    <xdr:cxnSp macro="">
      <xdr:nvCxnSpPr>
        <xdr:cNvPr id="7" name="Straight Connector 6"/>
        <xdr:cNvCxnSpPr/>
      </xdr:nvCxnSpPr>
      <xdr:spPr>
        <a:xfrm flipV="1">
          <a:off x="6719207" y="13348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70</xdr:row>
      <xdr:rowOff>40824</xdr:rowOff>
    </xdr:from>
    <xdr:to>
      <xdr:col>12</xdr:col>
      <xdr:colOff>898072</xdr:colOff>
      <xdr:row>71</xdr:row>
      <xdr:rowOff>190500</xdr:rowOff>
    </xdr:to>
    <xdr:cxnSp macro="">
      <xdr:nvCxnSpPr>
        <xdr:cNvPr id="8" name="Straight Connector 7"/>
        <xdr:cNvCxnSpPr/>
      </xdr:nvCxnSpPr>
      <xdr:spPr>
        <a:xfrm flipV="1">
          <a:off x="7315200" y="13375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70</xdr:row>
      <xdr:rowOff>40824</xdr:rowOff>
    </xdr:from>
    <xdr:to>
      <xdr:col>14</xdr:col>
      <xdr:colOff>884465</xdr:colOff>
      <xdr:row>71</xdr:row>
      <xdr:rowOff>176893</xdr:rowOff>
    </xdr:to>
    <xdr:cxnSp macro="">
      <xdr:nvCxnSpPr>
        <xdr:cNvPr id="9" name="Straight Connector 8"/>
        <xdr:cNvCxnSpPr/>
      </xdr:nvCxnSpPr>
      <xdr:spPr>
        <a:xfrm flipV="1">
          <a:off x="8561614" y="13375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70</xdr:row>
      <xdr:rowOff>13608</xdr:rowOff>
    </xdr:from>
    <xdr:to>
      <xdr:col>10</xdr:col>
      <xdr:colOff>884464</xdr:colOff>
      <xdr:row>72</xdr:row>
      <xdr:rowOff>0</xdr:rowOff>
    </xdr:to>
    <xdr:cxnSp macro="">
      <xdr:nvCxnSpPr>
        <xdr:cNvPr id="10" name="Straight Connector 9"/>
        <xdr:cNvCxnSpPr/>
      </xdr:nvCxnSpPr>
      <xdr:spPr>
        <a:xfrm flipV="1">
          <a:off x="6097361" y="13348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66</xdr:row>
      <xdr:rowOff>13608</xdr:rowOff>
    </xdr:from>
    <xdr:to>
      <xdr:col>11</xdr:col>
      <xdr:colOff>898071</xdr:colOff>
      <xdr:row>67</xdr:row>
      <xdr:rowOff>190502</xdr:rowOff>
    </xdr:to>
    <xdr:cxnSp macro="">
      <xdr:nvCxnSpPr>
        <xdr:cNvPr id="11" name="Straight Connector 10"/>
        <xdr:cNvCxnSpPr/>
      </xdr:nvCxnSpPr>
      <xdr:spPr>
        <a:xfrm flipV="1">
          <a:off x="6719207" y="12586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66</xdr:row>
      <xdr:rowOff>40824</xdr:rowOff>
    </xdr:from>
    <xdr:to>
      <xdr:col>12</xdr:col>
      <xdr:colOff>898072</xdr:colOff>
      <xdr:row>67</xdr:row>
      <xdr:rowOff>190500</xdr:rowOff>
    </xdr:to>
    <xdr:cxnSp macro="">
      <xdr:nvCxnSpPr>
        <xdr:cNvPr id="12" name="Straight Connector 11"/>
        <xdr:cNvCxnSpPr/>
      </xdr:nvCxnSpPr>
      <xdr:spPr>
        <a:xfrm flipV="1">
          <a:off x="7315200" y="12613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66</xdr:row>
      <xdr:rowOff>40824</xdr:rowOff>
    </xdr:from>
    <xdr:to>
      <xdr:col>14</xdr:col>
      <xdr:colOff>884465</xdr:colOff>
      <xdr:row>67</xdr:row>
      <xdr:rowOff>176893</xdr:rowOff>
    </xdr:to>
    <xdr:cxnSp macro="">
      <xdr:nvCxnSpPr>
        <xdr:cNvPr id="13" name="Straight Connector 12"/>
        <xdr:cNvCxnSpPr/>
      </xdr:nvCxnSpPr>
      <xdr:spPr>
        <a:xfrm flipV="1">
          <a:off x="8561614" y="12613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66</xdr:row>
      <xdr:rowOff>13608</xdr:rowOff>
    </xdr:from>
    <xdr:to>
      <xdr:col>10</xdr:col>
      <xdr:colOff>884464</xdr:colOff>
      <xdr:row>68</xdr:row>
      <xdr:rowOff>0</xdr:rowOff>
    </xdr:to>
    <xdr:cxnSp macro="">
      <xdr:nvCxnSpPr>
        <xdr:cNvPr id="14" name="Straight Connector 13"/>
        <xdr:cNvCxnSpPr/>
      </xdr:nvCxnSpPr>
      <xdr:spPr>
        <a:xfrm flipV="1">
          <a:off x="6097361" y="12586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66</xdr:row>
      <xdr:rowOff>27217</xdr:rowOff>
    </xdr:from>
    <xdr:to>
      <xdr:col>15</xdr:col>
      <xdr:colOff>938894</xdr:colOff>
      <xdr:row>67</xdr:row>
      <xdr:rowOff>201083</xdr:rowOff>
    </xdr:to>
    <xdr:cxnSp macro="">
      <xdr:nvCxnSpPr>
        <xdr:cNvPr id="15" name="Straight Connector 14"/>
        <xdr:cNvCxnSpPr/>
      </xdr:nvCxnSpPr>
      <xdr:spPr>
        <a:xfrm flipV="1">
          <a:off x="9154584" y="12600217"/>
          <a:ext cx="594935" cy="35484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16" name="Straight Connector 15"/>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17" name="Straight Connector 16"/>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18" name="Straight Connector 17"/>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19" name="Straight Connector 18"/>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81</xdr:row>
      <xdr:rowOff>13608</xdr:rowOff>
    </xdr:from>
    <xdr:to>
      <xdr:col>12</xdr:col>
      <xdr:colOff>27214</xdr:colOff>
      <xdr:row>82</xdr:row>
      <xdr:rowOff>190502</xdr:rowOff>
    </xdr:to>
    <xdr:cxnSp macro="">
      <xdr:nvCxnSpPr>
        <xdr:cNvPr id="20" name="Straight Connector 19"/>
        <xdr:cNvCxnSpPr/>
      </xdr:nvCxnSpPr>
      <xdr:spPr>
        <a:xfrm flipV="1">
          <a:off x="6787242" y="1544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81</xdr:row>
      <xdr:rowOff>13608</xdr:rowOff>
    </xdr:from>
    <xdr:to>
      <xdr:col>11</xdr:col>
      <xdr:colOff>51026</xdr:colOff>
      <xdr:row>83</xdr:row>
      <xdr:rowOff>0</xdr:rowOff>
    </xdr:to>
    <xdr:cxnSp macro="">
      <xdr:nvCxnSpPr>
        <xdr:cNvPr id="21" name="Straight Connector 20"/>
        <xdr:cNvCxnSpPr/>
      </xdr:nvCxnSpPr>
      <xdr:spPr>
        <a:xfrm flipV="1">
          <a:off x="6109607" y="15444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81</xdr:row>
      <xdr:rowOff>17011</xdr:rowOff>
    </xdr:from>
    <xdr:to>
      <xdr:col>12</xdr:col>
      <xdr:colOff>916780</xdr:colOff>
      <xdr:row>82</xdr:row>
      <xdr:rowOff>192201</xdr:rowOff>
    </xdr:to>
    <xdr:cxnSp macro="">
      <xdr:nvCxnSpPr>
        <xdr:cNvPr id="22" name="Straight Connector 21"/>
        <xdr:cNvCxnSpPr/>
      </xdr:nvCxnSpPr>
      <xdr:spPr>
        <a:xfrm flipV="1">
          <a:off x="7349218" y="1544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81</xdr:row>
      <xdr:rowOff>18714</xdr:rowOff>
    </xdr:from>
    <xdr:to>
      <xdr:col>15</xdr:col>
      <xdr:colOff>887864</xdr:colOff>
      <xdr:row>82</xdr:row>
      <xdr:rowOff>190500</xdr:rowOff>
    </xdr:to>
    <xdr:cxnSp macro="">
      <xdr:nvCxnSpPr>
        <xdr:cNvPr id="23" name="Straight Connector 22"/>
        <xdr:cNvCxnSpPr/>
      </xdr:nvCxnSpPr>
      <xdr:spPr>
        <a:xfrm flipV="1">
          <a:off x="9171214" y="15449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84</xdr:row>
      <xdr:rowOff>13608</xdr:rowOff>
    </xdr:from>
    <xdr:to>
      <xdr:col>12</xdr:col>
      <xdr:colOff>27214</xdr:colOff>
      <xdr:row>85</xdr:row>
      <xdr:rowOff>190502</xdr:rowOff>
    </xdr:to>
    <xdr:cxnSp macro="">
      <xdr:nvCxnSpPr>
        <xdr:cNvPr id="24" name="Straight Connector 23"/>
        <xdr:cNvCxnSpPr/>
      </xdr:nvCxnSpPr>
      <xdr:spPr>
        <a:xfrm flipV="1">
          <a:off x="6787242" y="1601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84</xdr:row>
      <xdr:rowOff>13608</xdr:rowOff>
    </xdr:from>
    <xdr:to>
      <xdr:col>11</xdr:col>
      <xdr:colOff>51026</xdr:colOff>
      <xdr:row>86</xdr:row>
      <xdr:rowOff>0</xdr:rowOff>
    </xdr:to>
    <xdr:cxnSp macro="">
      <xdr:nvCxnSpPr>
        <xdr:cNvPr id="25" name="Straight Connector 24"/>
        <xdr:cNvCxnSpPr/>
      </xdr:nvCxnSpPr>
      <xdr:spPr>
        <a:xfrm flipV="1">
          <a:off x="6109607" y="16015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84</xdr:row>
      <xdr:rowOff>17011</xdr:rowOff>
    </xdr:from>
    <xdr:to>
      <xdr:col>12</xdr:col>
      <xdr:colOff>916780</xdr:colOff>
      <xdr:row>85</xdr:row>
      <xdr:rowOff>192201</xdr:rowOff>
    </xdr:to>
    <xdr:cxnSp macro="">
      <xdr:nvCxnSpPr>
        <xdr:cNvPr id="26" name="Straight Connector 25"/>
        <xdr:cNvCxnSpPr/>
      </xdr:nvCxnSpPr>
      <xdr:spPr>
        <a:xfrm flipV="1">
          <a:off x="7349218" y="1601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84</xdr:row>
      <xdr:rowOff>18714</xdr:rowOff>
    </xdr:from>
    <xdr:to>
      <xdr:col>15</xdr:col>
      <xdr:colOff>887864</xdr:colOff>
      <xdr:row>85</xdr:row>
      <xdr:rowOff>190500</xdr:rowOff>
    </xdr:to>
    <xdr:cxnSp macro="">
      <xdr:nvCxnSpPr>
        <xdr:cNvPr id="27" name="Straight Connector 26"/>
        <xdr:cNvCxnSpPr/>
      </xdr:nvCxnSpPr>
      <xdr:spPr>
        <a:xfrm flipV="1">
          <a:off x="9171214" y="16020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86</xdr:row>
      <xdr:rowOff>13608</xdr:rowOff>
    </xdr:from>
    <xdr:to>
      <xdr:col>12</xdr:col>
      <xdr:colOff>27214</xdr:colOff>
      <xdr:row>87</xdr:row>
      <xdr:rowOff>190502</xdr:rowOff>
    </xdr:to>
    <xdr:cxnSp macro="">
      <xdr:nvCxnSpPr>
        <xdr:cNvPr id="28" name="Straight Connector 27"/>
        <xdr:cNvCxnSpPr/>
      </xdr:nvCxnSpPr>
      <xdr:spPr>
        <a:xfrm flipV="1">
          <a:off x="6787242" y="1639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86</xdr:row>
      <xdr:rowOff>13608</xdr:rowOff>
    </xdr:from>
    <xdr:to>
      <xdr:col>11</xdr:col>
      <xdr:colOff>51026</xdr:colOff>
      <xdr:row>88</xdr:row>
      <xdr:rowOff>0</xdr:rowOff>
    </xdr:to>
    <xdr:cxnSp macro="">
      <xdr:nvCxnSpPr>
        <xdr:cNvPr id="29" name="Straight Connector 28"/>
        <xdr:cNvCxnSpPr/>
      </xdr:nvCxnSpPr>
      <xdr:spPr>
        <a:xfrm flipV="1">
          <a:off x="6109607" y="16396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86</xdr:row>
      <xdr:rowOff>17011</xdr:rowOff>
    </xdr:from>
    <xdr:to>
      <xdr:col>12</xdr:col>
      <xdr:colOff>916780</xdr:colOff>
      <xdr:row>87</xdr:row>
      <xdr:rowOff>192201</xdr:rowOff>
    </xdr:to>
    <xdr:cxnSp macro="">
      <xdr:nvCxnSpPr>
        <xdr:cNvPr id="30" name="Straight Connector 29"/>
        <xdr:cNvCxnSpPr/>
      </xdr:nvCxnSpPr>
      <xdr:spPr>
        <a:xfrm flipV="1">
          <a:off x="7349218" y="1640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86</xdr:row>
      <xdr:rowOff>18714</xdr:rowOff>
    </xdr:from>
    <xdr:to>
      <xdr:col>15</xdr:col>
      <xdr:colOff>887864</xdr:colOff>
      <xdr:row>87</xdr:row>
      <xdr:rowOff>190500</xdr:rowOff>
    </xdr:to>
    <xdr:cxnSp macro="">
      <xdr:nvCxnSpPr>
        <xdr:cNvPr id="31" name="Straight Connector 30"/>
        <xdr:cNvCxnSpPr/>
      </xdr:nvCxnSpPr>
      <xdr:spPr>
        <a:xfrm flipV="1">
          <a:off x="9171214" y="16401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32" name="Straight Connector 31"/>
        <xdr:cNvCxnSpPr/>
      </xdr:nvCxnSpPr>
      <xdr:spPr>
        <a:xfrm flipV="1">
          <a:off x="6787242" y="1677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33" name="Straight Connector 32"/>
        <xdr:cNvCxnSpPr/>
      </xdr:nvCxnSpPr>
      <xdr:spPr>
        <a:xfrm flipV="1">
          <a:off x="6109607" y="1677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34" name="Straight Connector 33"/>
        <xdr:cNvCxnSpPr/>
      </xdr:nvCxnSpPr>
      <xdr:spPr>
        <a:xfrm flipV="1">
          <a:off x="73492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35" name="Straight Connector 34"/>
        <xdr:cNvCxnSpPr/>
      </xdr:nvCxnSpPr>
      <xdr:spPr>
        <a:xfrm flipV="1">
          <a:off x="9171214" y="1678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90</xdr:row>
      <xdr:rowOff>13608</xdr:rowOff>
    </xdr:from>
    <xdr:to>
      <xdr:col>12</xdr:col>
      <xdr:colOff>27214</xdr:colOff>
      <xdr:row>91</xdr:row>
      <xdr:rowOff>190502</xdr:rowOff>
    </xdr:to>
    <xdr:cxnSp macro="">
      <xdr:nvCxnSpPr>
        <xdr:cNvPr id="36" name="Straight Connector 35"/>
        <xdr:cNvCxnSpPr/>
      </xdr:nvCxnSpPr>
      <xdr:spPr>
        <a:xfrm flipV="1">
          <a:off x="6787242" y="1715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90</xdr:row>
      <xdr:rowOff>13608</xdr:rowOff>
    </xdr:from>
    <xdr:to>
      <xdr:col>11</xdr:col>
      <xdr:colOff>51026</xdr:colOff>
      <xdr:row>92</xdr:row>
      <xdr:rowOff>0</xdr:rowOff>
    </xdr:to>
    <xdr:cxnSp macro="">
      <xdr:nvCxnSpPr>
        <xdr:cNvPr id="37" name="Straight Connector 36"/>
        <xdr:cNvCxnSpPr/>
      </xdr:nvCxnSpPr>
      <xdr:spPr>
        <a:xfrm flipV="1">
          <a:off x="6109607" y="17158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90</xdr:row>
      <xdr:rowOff>17011</xdr:rowOff>
    </xdr:from>
    <xdr:to>
      <xdr:col>12</xdr:col>
      <xdr:colOff>916780</xdr:colOff>
      <xdr:row>91</xdr:row>
      <xdr:rowOff>192201</xdr:rowOff>
    </xdr:to>
    <xdr:cxnSp macro="">
      <xdr:nvCxnSpPr>
        <xdr:cNvPr id="38" name="Straight Connector 37"/>
        <xdr:cNvCxnSpPr/>
      </xdr:nvCxnSpPr>
      <xdr:spPr>
        <a:xfrm flipV="1">
          <a:off x="7349218" y="1716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90</xdr:row>
      <xdr:rowOff>3</xdr:rowOff>
    </xdr:from>
    <xdr:to>
      <xdr:col>15</xdr:col>
      <xdr:colOff>40822</xdr:colOff>
      <xdr:row>91</xdr:row>
      <xdr:rowOff>149679</xdr:rowOff>
    </xdr:to>
    <xdr:cxnSp macro="">
      <xdr:nvCxnSpPr>
        <xdr:cNvPr id="39" name="Straight Connector 38"/>
        <xdr:cNvCxnSpPr/>
      </xdr:nvCxnSpPr>
      <xdr:spPr>
        <a:xfrm flipV="1">
          <a:off x="8571820" y="17145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90</xdr:row>
      <xdr:rowOff>18714</xdr:rowOff>
    </xdr:from>
    <xdr:to>
      <xdr:col>15</xdr:col>
      <xdr:colOff>887864</xdr:colOff>
      <xdr:row>91</xdr:row>
      <xdr:rowOff>190500</xdr:rowOff>
    </xdr:to>
    <xdr:cxnSp macro="">
      <xdr:nvCxnSpPr>
        <xdr:cNvPr id="40" name="Straight Connector 39"/>
        <xdr:cNvCxnSpPr/>
      </xdr:nvCxnSpPr>
      <xdr:spPr>
        <a:xfrm flipV="1">
          <a:off x="9171214" y="17163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93</xdr:row>
      <xdr:rowOff>13608</xdr:rowOff>
    </xdr:from>
    <xdr:to>
      <xdr:col>12</xdr:col>
      <xdr:colOff>27214</xdr:colOff>
      <xdr:row>94</xdr:row>
      <xdr:rowOff>190502</xdr:rowOff>
    </xdr:to>
    <xdr:cxnSp macro="">
      <xdr:nvCxnSpPr>
        <xdr:cNvPr id="41" name="Straight Connector 40"/>
        <xdr:cNvCxnSpPr/>
      </xdr:nvCxnSpPr>
      <xdr:spPr>
        <a:xfrm flipV="1">
          <a:off x="6787242" y="17730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93</xdr:row>
      <xdr:rowOff>13608</xdr:rowOff>
    </xdr:from>
    <xdr:to>
      <xdr:col>11</xdr:col>
      <xdr:colOff>51026</xdr:colOff>
      <xdr:row>95</xdr:row>
      <xdr:rowOff>0</xdr:rowOff>
    </xdr:to>
    <xdr:cxnSp macro="">
      <xdr:nvCxnSpPr>
        <xdr:cNvPr id="42" name="Straight Connector 41"/>
        <xdr:cNvCxnSpPr/>
      </xdr:nvCxnSpPr>
      <xdr:spPr>
        <a:xfrm flipV="1">
          <a:off x="6109607" y="17730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93</xdr:row>
      <xdr:rowOff>17011</xdr:rowOff>
    </xdr:from>
    <xdr:to>
      <xdr:col>12</xdr:col>
      <xdr:colOff>916780</xdr:colOff>
      <xdr:row>94</xdr:row>
      <xdr:rowOff>192201</xdr:rowOff>
    </xdr:to>
    <xdr:cxnSp macro="">
      <xdr:nvCxnSpPr>
        <xdr:cNvPr id="43" name="Straight Connector 42"/>
        <xdr:cNvCxnSpPr/>
      </xdr:nvCxnSpPr>
      <xdr:spPr>
        <a:xfrm flipV="1">
          <a:off x="7349218" y="17733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93</xdr:row>
      <xdr:rowOff>18714</xdr:rowOff>
    </xdr:from>
    <xdr:to>
      <xdr:col>15</xdr:col>
      <xdr:colOff>887864</xdr:colOff>
      <xdr:row>94</xdr:row>
      <xdr:rowOff>190500</xdr:rowOff>
    </xdr:to>
    <xdr:cxnSp macro="">
      <xdr:nvCxnSpPr>
        <xdr:cNvPr id="44" name="Straight Connector 43"/>
        <xdr:cNvCxnSpPr/>
      </xdr:nvCxnSpPr>
      <xdr:spPr>
        <a:xfrm flipV="1">
          <a:off x="9171214" y="17735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95</xdr:row>
      <xdr:rowOff>13608</xdr:rowOff>
    </xdr:from>
    <xdr:to>
      <xdr:col>12</xdr:col>
      <xdr:colOff>27214</xdr:colOff>
      <xdr:row>96</xdr:row>
      <xdr:rowOff>190502</xdr:rowOff>
    </xdr:to>
    <xdr:cxnSp macro="">
      <xdr:nvCxnSpPr>
        <xdr:cNvPr id="45" name="Straight Connector 44"/>
        <xdr:cNvCxnSpPr/>
      </xdr:nvCxnSpPr>
      <xdr:spPr>
        <a:xfrm flipV="1">
          <a:off x="6787242" y="1811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95</xdr:row>
      <xdr:rowOff>13608</xdr:rowOff>
    </xdr:from>
    <xdr:to>
      <xdr:col>11</xdr:col>
      <xdr:colOff>51026</xdr:colOff>
      <xdr:row>97</xdr:row>
      <xdr:rowOff>0</xdr:rowOff>
    </xdr:to>
    <xdr:cxnSp macro="">
      <xdr:nvCxnSpPr>
        <xdr:cNvPr id="46" name="Straight Connector 45"/>
        <xdr:cNvCxnSpPr/>
      </xdr:nvCxnSpPr>
      <xdr:spPr>
        <a:xfrm flipV="1">
          <a:off x="6109607" y="1811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95</xdr:row>
      <xdr:rowOff>17011</xdr:rowOff>
    </xdr:from>
    <xdr:to>
      <xdr:col>12</xdr:col>
      <xdr:colOff>916780</xdr:colOff>
      <xdr:row>96</xdr:row>
      <xdr:rowOff>192201</xdr:rowOff>
    </xdr:to>
    <xdr:cxnSp macro="">
      <xdr:nvCxnSpPr>
        <xdr:cNvPr id="47" name="Straight Connector 46"/>
        <xdr:cNvCxnSpPr/>
      </xdr:nvCxnSpPr>
      <xdr:spPr>
        <a:xfrm flipV="1">
          <a:off x="7349218" y="1811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95</xdr:row>
      <xdr:rowOff>18714</xdr:rowOff>
    </xdr:from>
    <xdr:to>
      <xdr:col>15</xdr:col>
      <xdr:colOff>887864</xdr:colOff>
      <xdr:row>96</xdr:row>
      <xdr:rowOff>190500</xdr:rowOff>
    </xdr:to>
    <xdr:cxnSp macro="">
      <xdr:nvCxnSpPr>
        <xdr:cNvPr id="48" name="Straight Connector 47"/>
        <xdr:cNvCxnSpPr/>
      </xdr:nvCxnSpPr>
      <xdr:spPr>
        <a:xfrm flipV="1">
          <a:off x="9171214" y="1811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49" name="Straight Connector 48"/>
        <xdr:cNvCxnSpPr/>
      </xdr:nvCxnSpPr>
      <xdr:spPr>
        <a:xfrm flipV="1">
          <a:off x="6787242" y="1849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50" name="Straight Connector 49"/>
        <xdr:cNvCxnSpPr/>
      </xdr:nvCxnSpPr>
      <xdr:spPr>
        <a:xfrm flipV="1">
          <a:off x="6109607" y="1849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51" name="Straight Connector 50"/>
        <xdr:cNvCxnSpPr/>
      </xdr:nvCxnSpPr>
      <xdr:spPr>
        <a:xfrm flipV="1">
          <a:off x="7349218" y="1849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97</xdr:row>
      <xdr:rowOff>3</xdr:rowOff>
    </xdr:from>
    <xdr:to>
      <xdr:col>15</xdr:col>
      <xdr:colOff>40822</xdr:colOff>
      <xdr:row>98</xdr:row>
      <xdr:rowOff>149679</xdr:rowOff>
    </xdr:to>
    <xdr:cxnSp macro="">
      <xdr:nvCxnSpPr>
        <xdr:cNvPr id="52" name="Straight Connector 51"/>
        <xdr:cNvCxnSpPr/>
      </xdr:nvCxnSpPr>
      <xdr:spPr>
        <a:xfrm flipV="1">
          <a:off x="8571820" y="18478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53" name="Straight Connector 52"/>
        <xdr:cNvCxnSpPr/>
      </xdr:nvCxnSpPr>
      <xdr:spPr>
        <a:xfrm flipV="1">
          <a:off x="9171214" y="1849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99</xdr:row>
      <xdr:rowOff>13608</xdr:rowOff>
    </xdr:from>
    <xdr:to>
      <xdr:col>12</xdr:col>
      <xdr:colOff>27214</xdr:colOff>
      <xdr:row>100</xdr:row>
      <xdr:rowOff>190502</xdr:rowOff>
    </xdr:to>
    <xdr:cxnSp macro="">
      <xdr:nvCxnSpPr>
        <xdr:cNvPr id="54" name="Straight Connector 53"/>
        <xdr:cNvCxnSpPr/>
      </xdr:nvCxnSpPr>
      <xdr:spPr>
        <a:xfrm flipV="1">
          <a:off x="6787242" y="1887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99</xdr:row>
      <xdr:rowOff>13608</xdr:rowOff>
    </xdr:from>
    <xdr:to>
      <xdr:col>11</xdr:col>
      <xdr:colOff>51026</xdr:colOff>
      <xdr:row>101</xdr:row>
      <xdr:rowOff>0</xdr:rowOff>
    </xdr:to>
    <xdr:cxnSp macro="">
      <xdr:nvCxnSpPr>
        <xdr:cNvPr id="55" name="Straight Connector 54"/>
        <xdr:cNvCxnSpPr/>
      </xdr:nvCxnSpPr>
      <xdr:spPr>
        <a:xfrm flipV="1">
          <a:off x="6109607" y="1887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99</xdr:row>
      <xdr:rowOff>17011</xdr:rowOff>
    </xdr:from>
    <xdr:to>
      <xdr:col>12</xdr:col>
      <xdr:colOff>916780</xdr:colOff>
      <xdr:row>100</xdr:row>
      <xdr:rowOff>192201</xdr:rowOff>
    </xdr:to>
    <xdr:cxnSp macro="">
      <xdr:nvCxnSpPr>
        <xdr:cNvPr id="56" name="Straight Connector 55"/>
        <xdr:cNvCxnSpPr/>
      </xdr:nvCxnSpPr>
      <xdr:spPr>
        <a:xfrm flipV="1">
          <a:off x="7349218" y="1887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99</xdr:row>
      <xdr:rowOff>3</xdr:rowOff>
    </xdr:from>
    <xdr:to>
      <xdr:col>15</xdr:col>
      <xdr:colOff>40822</xdr:colOff>
      <xdr:row>100</xdr:row>
      <xdr:rowOff>149679</xdr:rowOff>
    </xdr:to>
    <xdr:cxnSp macro="">
      <xdr:nvCxnSpPr>
        <xdr:cNvPr id="57" name="Straight Connector 56"/>
        <xdr:cNvCxnSpPr/>
      </xdr:nvCxnSpPr>
      <xdr:spPr>
        <a:xfrm flipV="1">
          <a:off x="8571820" y="18859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99</xdr:row>
      <xdr:rowOff>18714</xdr:rowOff>
    </xdr:from>
    <xdr:to>
      <xdr:col>15</xdr:col>
      <xdr:colOff>887864</xdr:colOff>
      <xdr:row>100</xdr:row>
      <xdr:rowOff>190500</xdr:rowOff>
    </xdr:to>
    <xdr:cxnSp macro="">
      <xdr:nvCxnSpPr>
        <xdr:cNvPr id="58" name="Straight Connector 57"/>
        <xdr:cNvCxnSpPr/>
      </xdr:nvCxnSpPr>
      <xdr:spPr>
        <a:xfrm flipV="1">
          <a:off x="9171214" y="1887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73</xdr:row>
      <xdr:rowOff>13608</xdr:rowOff>
    </xdr:from>
    <xdr:to>
      <xdr:col>12</xdr:col>
      <xdr:colOff>27214</xdr:colOff>
      <xdr:row>74</xdr:row>
      <xdr:rowOff>190502</xdr:rowOff>
    </xdr:to>
    <xdr:cxnSp macro="">
      <xdr:nvCxnSpPr>
        <xdr:cNvPr id="59" name="Straight Connector 58"/>
        <xdr:cNvCxnSpPr/>
      </xdr:nvCxnSpPr>
      <xdr:spPr>
        <a:xfrm flipV="1">
          <a:off x="6787242" y="13920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73</xdr:row>
      <xdr:rowOff>13608</xdr:rowOff>
    </xdr:from>
    <xdr:to>
      <xdr:col>11</xdr:col>
      <xdr:colOff>51026</xdr:colOff>
      <xdr:row>75</xdr:row>
      <xdr:rowOff>0</xdr:rowOff>
    </xdr:to>
    <xdr:cxnSp macro="">
      <xdr:nvCxnSpPr>
        <xdr:cNvPr id="60" name="Straight Connector 59"/>
        <xdr:cNvCxnSpPr/>
      </xdr:nvCxnSpPr>
      <xdr:spPr>
        <a:xfrm flipV="1">
          <a:off x="6109607" y="13920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73</xdr:row>
      <xdr:rowOff>17011</xdr:rowOff>
    </xdr:from>
    <xdr:to>
      <xdr:col>12</xdr:col>
      <xdr:colOff>916780</xdr:colOff>
      <xdr:row>74</xdr:row>
      <xdr:rowOff>192201</xdr:rowOff>
    </xdr:to>
    <xdr:cxnSp macro="">
      <xdr:nvCxnSpPr>
        <xdr:cNvPr id="61" name="Straight Connector 60"/>
        <xdr:cNvCxnSpPr/>
      </xdr:nvCxnSpPr>
      <xdr:spPr>
        <a:xfrm flipV="1">
          <a:off x="7349218" y="13923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75</xdr:row>
      <xdr:rowOff>40825</xdr:rowOff>
    </xdr:from>
    <xdr:to>
      <xdr:col>15</xdr:col>
      <xdr:colOff>54429</xdr:colOff>
      <xdr:row>76</xdr:row>
      <xdr:rowOff>190501</xdr:rowOff>
    </xdr:to>
    <xdr:cxnSp macro="">
      <xdr:nvCxnSpPr>
        <xdr:cNvPr id="62" name="Straight Connector 61"/>
        <xdr:cNvCxnSpPr/>
      </xdr:nvCxnSpPr>
      <xdr:spPr>
        <a:xfrm flipV="1">
          <a:off x="8585427" y="14328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73</xdr:row>
      <xdr:rowOff>18714</xdr:rowOff>
    </xdr:from>
    <xdr:to>
      <xdr:col>15</xdr:col>
      <xdr:colOff>887864</xdr:colOff>
      <xdr:row>74</xdr:row>
      <xdr:rowOff>190500</xdr:rowOff>
    </xdr:to>
    <xdr:cxnSp macro="">
      <xdr:nvCxnSpPr>
        <xdr:cNvPr id="63" name="Straight Connector 62"/>
        <xdr:cNvCxnSpPr/>
      </xdr:nvCxnSpPr>
      <xdr:spPr>
        <a:xfrm flipV="1">
          <a:off x="9171214" y="13925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64" name="Straight Connector 63"/>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65" name="Straight Connector 64"/>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66" name="Straight Connector 65"/>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67" name="Straight Connector 66"/>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75</xdr:row>
      <xdr:rowOff>13608</xdr:rowOff>
    </xdr:from>
    <xdr:to>
      <xdr:col>12</xdr:col>
      <xdr:colOff>27214</xdr:colOff>
      <xdr:row>76</xdr:row>
      <xdr:rowOff>190502</xdr:rowOff>
    </xdr:to>
    <xdr:cxnSp macro="">
      <xdr:nvCxnSpPr>
        <xdr:cNvPr id="68" name="Straight Connector 67"/>
        <xdr:cNvCxnSpPr/>
      </xdr:nvCxnSpPr>
      <xdr:spPr>
        <a:xfrm flipV="1">
          <a:off x="6787242" y="1430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75</xdr:row>
      <xdr:rowOff>13608</xdr:rowOff>
    </xdr:from>
    <xdr:to>
      <xdr:col>11</xdr:col>
      <xdr:colOff>51026</xdr:colOff>
      <xdr:row>77</xdr:row>
      <xdr:rowOff>0</xdr:rowOff>
    </xdr:to>
    <xdr:cxnSp macro="">
      <xdr:nvCxnSpPr>
        <xdr:cNvPr id="69" name="Straight Connector 68"/>
        <xdr:cNvCxnSpPr/>
      </xdr:nvCxnSpPr>
      <xdr:spPr>
        <a:xfrm flipV="1">
          <a:off x="6109607" y="1430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75</xdr:row>
      <xdr:rowOff>17011</xdr:rowOff>
    </xdr:from>
    <xdr:to>
      <xdr:col>12</xdr:col>
      <xdr:colOff>916780</xdr:colOff>
      <xdr:row>76</xdr:row>
      <xdr:rowOff>192201</xdr:rowOff>
    </xdr:to>
    <xdr:cxnSp macro="">
      <xdr:nvCxnSpPr>
        <xdr:cNvPr id="70" name="Straight Connector 69"/>
        <xdr:cNvCxnSpPr/>
      </xdr:nvCxnSpPr>
      <xdr:spPr>
        <a:xfrm flipV="1">
          <a:off x="7349218" y="1430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75</xdr:row>
      <xdr:rowOff>18714</xdr:rowOff>
    </xdr:from>
    <xdr:to>
      <xdr:col>15</xdr:col>
      <xdr:colOff>887864</xdr:colOff>
      <xdr:row>76</xdr:row>
      <xdr:rowOff>190500</xdr:rowOff>
    </xdr:to>
    <xdr:cxnSp macro="">
      <xdr:nvCxnSpPr>
        <xdr:cNvPr id="71" name="Straight Connector 70"/>
        <xdr:cNvCxnSpPr/>
      </xdr:nvCxnSpPr>
      <xdr:spPr>
        <a:xfrm flipV="1">
          <a:off x="9171214" y="1430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95</xdr:row>
      <xdr:rowOff>17010</xdr:rowOff>
    </xdr:from>
    <xdr:to>
      <xdr:col>14</xdr:col>
      <xdr:colOff>903173</xdr:colOff>
      <xdr:row>96</xdr:row>
      <xdr:rowOff>192200</xdr:rowOff>
    </xdr:to>
    <xdr:cxnSp macro="">
      <xdr:nvCxnSpPr>
        <xdr:cNvPr id="72" name="Straight Connector 71"/>
        <xdr:cNvCxnSpPr/>
      </xdr:nvCxnSpPr>
      <xdr:spPr>
        <a:xfrm flipV="1">
          <a:off x="8554811" y="18114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88</xdr:row>
      <xdr:rowOff>3404</xdr:rowOff>
    </xdr:from>
    <xdr:to>
      <xdr:col>15</xdr:col>
      <xdr:colOff>5101</xdr:colOff>
      <xdr:row>89</xdr:row>
      <xdr:rowOff>178593</xdr:rowOff>
    </xdr:to>
    <xdr:cxnSp macro="">
      <xdr:nvCxnSpPr>
        <xdr:cNvPr id="73" name="Straight Connector 72"/>
        <xdr:cNvCxnSpPr/>
      </xdr:nvCxnSpPr>
      <xdr:spPr>
        <a:xfrm flipV="1">
          <a:off x="8582025" y="16767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86</xdr:row>
      <xdr:rowOff>17011</xdr:rowOff>
    </xdr:from>
    <xdr:to>
      <xdr:col>15</xdr:col>
      <xdr:colOff>5101</xdr:colOff>
      <xdr:row>87</xdr:row>
      <xdr:rowOff>192201</xdr:rowOff>
    </xdr:to>
    <xdr:cxnSp macro="">
      <xdr:nvCxnSpPr>
        <xdr:cNvPr id="74" name="Straight Connector 73"/>
        <xdr:cNvCxnSpPr/>
      </xdr:nvCxnSpPr>
      <xdr:spPr>
        <a:xfrm flipV="1">
          <a:off x="8582025" y="16400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84</xdr:row>
      <xdr:rowOff>17011</xdr:rowOff>
    </xdr:from>
    <xdr:to>
      <xdr:col>14</xdr:col>
      <xdr:colOff>916780</xdr:colOff>
      <xdr:row>85</xdr:row>
      <xdr:rowOff>192201</xdr:rowOff>
    </xdr:to>
    <xdr:cxnSp macro="">
      <xdr:nvCxnSpPr>
        <xdr:cNvPr id="75" name="Straight Connector 74"/>
        <xdr:cNvCxnSpPr/>
      </xdr:nvCxnSpPr>
      <xdr:spPr>
        <a:xfrm flipV="1">
          <a:off x="8568418" y="1601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81</xdr:row>
      <xdr:rowOff>17011</xdr:rowOff>
    </xdr:from>
    <xdr:to>
      <xdr:col>15</xdr:col>
      <xdr:colOff>32315</xdr:colOff>
      <xdr:row>82</xdr:row>
      <xdr:rowOff>192201</xdr:rowOff>
    </xdr:to>
    <xdr:cxnSp macro="">
      <xdr:nvCxnSpPr>
        <xdr:cNvPr id="76" name="Straight Connector 75"/>
        <xdr:cNvCxnSpPr/>
      </xdr:nvCxnSpPr>
      <xdr:spPr>
        <a:xfrm flipV="1">
          <a:off x="8609239" y="15447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79</xdr:row>
      <xdr:rowOff>17011</xdr:rowOff>
    </xdr:from>
    <xdr:to>
      <xdr:col>15</xdr:col>
      <xdr:colOff>32315</xdr:colOff>
      <xdr:row>80</xdr:row>
      <xdr:rowOff>192201</xdr:rowOff>
    </xdr:to>
    <xdr:cxnSp macro="">
      <xdr:nvCxnSpPr>
        <xdr:cNvPr id="77" name="Straight Connector 76"/>
        <xdr:cNvCxnSpPr/>
      </xdr:nvCxnSpPr>
      <xdr:spPr>
        <a:xfrm flipV="1">
          <a:off x="8609239" y="15066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77</xdr:row>
      <xdr:rowOff>3403</xdr:rowOff>
    </xdr:from>
    <xdr:to>
      <xdr:col>15</xdr:col>
      <xdr:colOff>18708</xdr:colOff>
      <xdr:row>78</xdr:row>
      <xdr:rowOff>178593</xdr:rowOff>
    </xdr:to>
    <xdr:cxnSp macro="">
      <xdr:nvCxnSpPr>
        <xdr:cNvPr id="78" name="Straight Connector 77"/>
        <xdr:cNvCxnSpPr/>
      </xdr:nvCxnSpPr>
      <xdr:spPr>
        <a:xfrm flipV="1">
          <a:off x="8595632" y="14671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46</xdr:row>
      <xdr:rowOff>27214</xdr:rowOff>
    </xdr:from>
    <xdr:to>
      <xdr:col>15</xdr:col>
      <xdr:colOff>898072</xdr:colOff>
      <xdr:row>47</xdr:row>
      <xdr:rowOff>149678</xdr:rowOff>
    </xdr:to>
    <xdr:cxnSp macro="">
      <xdr:nvCxnSpPr>
        <xdr:cNvPr id="79" name="Straight Connector 78"/>
        <xdr:cNvCxnSpPr/>
      </xdr:nvCxnSpPr>
      <xdr:spPr>
        <a:xfrm flipV="1">
          <a:off x="9171214" y="8790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46</xdr:row>
      <xdr:rowOff>13607</xdr:rowOff>
    </xdr:from>
    <xdr:to>
      <xdr:col>10</xdr:col>
      <xdr:colOff>911677</xdr:colOff>
      <xdr:row>48</xdr:row>
      <xdr:rowOff>0</xdr:rowOff>
    </xdr:to>
    <xdr:cxnSp macro="">
      <xdr:nvCxnSpPr>
        <xdr:cNvPr id="80" name="Straight Connector 79"/>
        <xdr:cNvCxnSpPr/>
      </xdr:nvCxnSpPr>
      <xdr:spPr>
        <a:xfrm flipV="1">
          <a:off x="6109607" y="8776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46</xdr:row>
      <xdr:rowOff>13608</xdr:rowOff>
    </xdr:from>
    <xdr:to>
      <xdr:col>12</xdr:col>
      <xdr:colOff>27214</xdr:colOff>
      <xdr:row>47</xdr:row>
      <xdr:rowOff>190502</xdr:rowOff>
    </xdr:to>
    <xdr:cxnSp macro="">
      <xdr:nvCxnSpPr>
        <xdr:cNvPr id="81" name="Straight Connector 80"/>
        <xdr:cNvCxnSpPr/>
      </xdr:nvCxnSpPr>
      <xdr:spPr>
        <a:xfrm flipV="1">
          <a:off x="6787242" y="877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46</xdr:row>
      <xdr:rowOff>17011</xdr:rowOff>
    </xdr:from>
    <xdr:to>
      <xdr:col>12</xdr:col>
      <xdr:colOff>916780</xdr:colOff>
      <xdr:row>47</xdr:row>
      <xdr:rowOff>192201</xdr:rowOff>
    </xdr:to>
    <xdr:cxnSp macro="">
      <xdr:nvCxnSpPr>
        <xdr:cNvPr id="82" name="Straight Connector 81"/>
        <xdr:cNvCxnSpPr/>
      </xdr:nvCxnSpPr>
      <xdr:spPr>
        <a:xfrm flipV="1">
          <a:off x="7349218" y="878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46</xdr:row>
      <xdr:rowOff>54428</xdr:rowOff>
    </xdr:from>
    <xdr:to>
      <xdr:col>14</xdr:col>
      <xdr:colOff>884463</xdr:colOff>
      <xdr:row>47</xdr:row>
      <xdr:rowOff>163285</xdr:rowOff>
    </xdr:to>
    <xdr:cxnSp macro="">
      <xdr:nvCxnSpPr>
        <xdr:cNvPr id="83" name="Straight Connector 82"/>
        <xdr:cNvCxnSpPr/>
      </xdr:nvCxnSpPr>
      <xdr:spPr>
        <a:xfrm flipV="1">
          <a:off x="8537119" y="8817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84" name="Straight Connector 83"/>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85" name="Straight Connector 84"/>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86" name="Straight Connector 85"/>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87" name="Straight Connector 86"/>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88" name="Straight Connector 87"/>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73</xdr:row>
      <xdr:rowOff>13610</xdr:rowOff>
    </xdr:from>
    <xdr:to>
      <xdr:col>15</xdr:col>
      <xdr:colOff>54429</xdr:colOff>
      <xdr:row>74</xdr:row>
      <xdr:rowOff>163286</xdr:rowOff>
    </xdr:to>
    <xdr:cxnSp macro="">
      <xdr:nvCxnSpPr>
        <xdr:cNvPr id="89" name="Straight Connector 88"/>
        <xdr:cNvCxnSpPr/>
      </xdr:nvCxnSpPr>
      <xdr:spPr>
        <a:xfrm flipV="1">
          <a:off x="8585427" y="13920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39</xdr:row>
      <xdr:rowOff>13607</xdr:rowOff>
    </xdr:from>
    <xdr:to>
      <xdr:col>10</xdr:col>
      <xdr:colOff>911677</xdr:colOff>
      <xdr:row>41</xdr:row>
      <xdr:rowOff>0</xdr:rowOff>
    </xdr:to>
    <xdr:cxnSp macro="">
      <xdr:nvCxnSpPr>
        <xdr:cNvPr id="90" name="Straight Connector 89"/>
        <xdr:cNvCxnSpPr/>
      </xdr:nvCxnSpPr>
      <xdr:spPr>
        <a:xfrm flipV="1">
          <a:off x="6109607" y="7443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39</xdr:row>
      <xdr:rowOff>13608</xdr:rowOff>
    </xdr:from>
    <xdr:to>
      <xdr:col>12</xdr:col>
      <xdr:colOff>27214</xdr:colOff>
      <xdr:row>40</xdr:row>
      <xdr:rowOff>190502</xdr:rowOff>
    </xdr:to>
    <xdr:cxnSp macro="">
      <xdr:nvCxnSpPr>
        <xdr:cNvPr id="91" name="Straight Connector 90"/>
        <xdr:cNvCxnSpPr/>
      </xdr:nvCxnSpPr>
      <xdr:spPr>
        <a:xfrm flipV="1">
          <a:off x="6787242" y="744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39</xdr:row>
      <xdr:rowOff>17011</xdr:rowOff>
    </xdr:from>
    <xdr:to>
      <xdr:col>12</xdr:col>
      <xdr:colOff>916780</xdr:colOff>
      <xdr:row>40</xdr:row>
      <xdr:rowOff>192201</xdr:rowOff>
    </xdr:to>
    <xdr:cxnSp macro="">
      <xdr:nvCxnSpPr>
        <xdr:cNvPr id="92" name="Straight Connector 91"/>
        <xdr:cNvCxnSpPr/>
      </xdr:nvCxnSpPr>
      <xdr:spPr>
        <a:xfrm flipV="1">
          <a:off x="7349218" y="744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39</xdr:row>
      <xdr:rowOff>54428</xdr:rowOff>
    </xdr:from>
    <xdr:to>
      <xdr:col>14</xdr:col>
      <xdr:colOff>884463</xdr:colOff>
      <xdr:row>40</xdr:row>
      <xdr:rowOff>163285</xdr:rowOff>
    </xdr:to>
    <xdr:cxnSp macro="">
      <xdr:nvCxnSpPr>
        <xdr:cNvPr id="93" name="Straight Connector 92"/>
        <xdr:cNvCxnSpPr/>
      </xdr:nvCxnSpPr>
      <xdr:spPr>
        <a:xfrm flipV="1">
          <a:off x="8537119" y="7483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43</xdr:row>
      <xdr:rowOff>27214</xdr:rowOff>
    </xdr:from>
    <xdr:to>
      <xdr:col>15</xdr:col>
      <xdr:colOff>898072</xdr:colOff>
      <xdr:row>44</xdr:row>
      <xdr:rowOff>149678</xdr:rowOff>
    </xdr:to>
    <xdr:cxnSp macro="">
      <xdr:nvCxnSpPr>
        <xdr:cNvPr id="94" name="Straight Connector 93"/>
        <xdr:cNvCxnSpPr/>
      </xdr:nvCxnSpPr>
      <xdr:spPr>
        <a:xfrm flipV="1">
          <a:off x="9171214" y="8218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43</xdr:row>
      <xdr:rowOff>13607</xdr:rowOff>
    </xdr:from>
    <xdr:to>
      <xdr:col>10</xdr:col>
      <xdr:colOff>911677</xdr:colOff>
      <xdr:row>45</xdr:row>
      <xdr:rowOff>0</xdr:rowOff>
    </xdr:to>
    <xdr:cxnSp macro="">
      <xdr:nvCxnSpPr>
        <xdr:cNvPr id="95" name="Straight Connector 94"/>
        <xdr:cNvCxnSpPr/>
      </xdr:nvCxnSpPr>
      <xdr:spPr>
        <a:xfrm flipV="1">
          <a:off x="6109607" y="8205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96" name="Straight Connector 95"/>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97" name="Straight Connector 96"/>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43</xdr:row>
      <xdr:rowOff>54428</xdr:rowOff>
    </xdr:from>
    <xdr:to>
      <xdr:col>14</xdr:col>
      <xdr:colOff>884463</xdr:colOff>
      <xdr:row>44</xdr:row>
      <xdr:rowOff>163285</xdr:rowOff>
    </xdr:to>
    <xdr:cxnSp macro="">
      <xdr:nvCxnSpPr>
        <xdr:cNvPr id="98" name="Straight Connector 97"/>
        <xdr:cNvCxnSpPr/>
      </xdr:nvCxnSpPr>
      <xdr:spPr>
        <a:xfrm flipV="1">
          <a:off x="8537119" y="8245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41</xdr:row>
      <xdr:rowOff>27214</xdr:rowOff>
    </xdr:from>
    <xdr:to>
      <xdr:col>15</xdr:col>
      <xdr:colOff>898072</xdr:colOff>
      <xdr:row>42</xdr:row>
      <xdr:rowOff>149678</xdr:rowOff>
    </xdr:to>
    <xdr:cxnSp macro="">
      <xdr:nvCxnSpPr>
        <xdr:cNvPr id="99" name="Straight Connector 98"/>
        <xdr:cNvCxnSpPr/>
      </xdr:nvCxnSpPr>
      <xdr:spPr>
        <a:xfrm flipV="1">
          <a:off x="9171214" y="7837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41</xdr:row>
      <xdr:rowOff>13607</xdr:rowOff>
    </xdr:from>
    <xdr:to>
      <xdr:col>10</xdr:col>
      <xdr:colOff>911677</xdr:colOff>
      <xdr:row>43</xdr:row>
      <xdr:rowOff>0</xdr:rowOff>
    </xdr:to>
    <xdr:cxnSp macro="">
      <xdr:nvCxnSpPr>
        <xdr:cNvPr id="100" name="Straight Connector 99"/>
        <xdr:cNvCxnSpPr/>
      </xdr:nvCxnSpPr>
      <xdr:spPr>
        <a:xfrm flipV="1">
          <a:off x="6109607" y="7824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41</xdr:row>
      <xdr:rowOff>13608</xdr:rowOff>
    </xdr:from>
    <xdr:to>
      <xdr:col>12</xdr:col>
      <xdr:colOff>27214</xdr:colOff>
      <xdr:row>42</xdr:row>
      <xdr:rowOff>190502</xdr:rowOff>
    </xdr:to>
    <xdr:cxnSp macro="">
      <xdr:nvCxnSpPr>
        <xdr:cNvPr id="101" name="Straight Connector 100"/>
        <xdr:cNvCxnSpPr/>
      </xdr:nvCxnSpPr>
      <xdr:spPr>
        <a:xfrm flipV="1">
          <a:off x="6787242" y="782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41</xdr:row>
      <xdr:rowOff>17011</xdr:rowOff>
    </xdr:from>
    <xdr:to>
      <xdr:col>12</xdr:col>
      <xdr:colOff>916780</xdr:colOff>
      <xdr:row>42</xdr:row>
      <xdr:rowOff>192201</xdr:rowOff>
    </xdr:to>
    <xdr:cxnSp macro="">
      <xdr:nvCxnSpPr>
        <xdr:cNvPr id="102" name="Straight Connector 101"/>
        <xdr:cNvCxnSpPr/>
      </xdr:nvCxnSpPr>
      <xdr:spPr>
        <a:xfrm flipV="1">
          <a:off x="7349218" y="782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41</xdr:row>
      <xdr:rowOff>54428</xdr:rowOff>
    </xdr:from>
    <xdr:to>
      <xdr:col>14</xdr:col>
      <xdr:colOff>884463</xdr:colOff>
      <xdr:row>42</xdr:row>
      <xdr:rowOff>163285</xdr:rowOff>
    </xdr:to>
    <xdr:cxnSp macro="">
      <xdr:nvCxnSpPr>
        <xdr:cNvPr id="103" name="Straight Connector 102"/>
        <xdr:cNvCxnSpPr/>
      </xdr:nvCxnSpPr>
      <xdr:spPr>
        <a:xfrm flipV="1">
          <a:off x="8537119" y="7864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104</xdr:row>
      <xdr:rowOff>0</xdr:rowOff>
    </xdr:from>
    <xdr:ext cx="17150072" cy="3743326"/>
    <xdr:pic>
      <xdr:nvPicPr>
        <xdr:cNvPr id="104" name="Picture 103"/>
        <xdr:cNvPicPr>
          <a:picLocks noChangeAspect="1" noChangeArrowheads="1"/>
          <a:extLst/>
        </xdr:cNvPicPr>
      </xdr:nvPicPr>
      <xdr:blipFill>
        <a:blip xmlns:r="http://schemas.openxmlformats.org/officeDocument/2006/relationships" r:embed="rId1"/>
        <a:srcRect/>
        <a:stretch>
          <a:fillRect/>
        </a:stretch>
      </xdr:blipFill>
      <xdr:spPr bwMode="auto">
        <a:xfrm>
          <a:off x="609600" y="19812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120</xdr:row>
      <xdr:rowOff>176894</xdr:rowOff>
    </xdr:from>
    <xdr:ext cx="18008063" cy="3743325"/>
    <xdr:pic>
      <xdr:nvPicPr>
        <xdr:cNvPr id="105" name="Picture 104"/>
        <xdr:cNvPicPr>
          <a:picLocks noChangeAspect="1" noChangeArrowheads="1"/>
          <a:extLst/>
        </xdr:cNvPicPr>
      </xdr:nvPicPr>
      <xdr:blipFill>
        <a:blip xmlns:r="http://schemas.openxmlformats.org/officeDocument/2006/relationships" r:embed="rId2"/>
        <a:srcRect/>
        <a:stretch>
          <a:fillRect/>
        </a:stretch>
      </xdr:blipFill>
      <xdr:spPr bwMode="auto">
        <a:xfrm>
          <a:off x="621846" y="23036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28</xdr:row>
      <xdr:rowOff>13608</xdr:rowOff>
    </xdr:from>
    <xdr:to>
      <xdr:col>12</xdr:col>
      <xdr:colOff>27214</xdr:colOff>
      <xdr:row>29</xdr:row>
      <xdr:rowOff>190502</xdr:rowOff>
    </xdr:to>
    <xdr:cxnSp macro="">
      <xdr:nvCxnSpPr>
        <xdr:cNvPr id="106" name="Straight Connector 105"/>
        <xdr:cNvCxnSpPr/>
      </xdr:nvCxnSpPr>
      <xdr:spPr>
        <a:xfrm flipV="1">
          <a:off x="6787242" y="534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07" name="Straight Connector 106"/>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28</xdr:row>
      <xdr:rowOff>0</xdr:rowOff>
    </xdr:from>
    <xdr:to>
      <xdr:col>15</xdr:col>
      <xdr:colOff>0</xdr:colOff>
      <xdr:row>29</xdr:row>
      <xdr:rowOff>190501</xdr:rowOff>
    </xdr:to>
    <xdr:cxnSp macro="">
      <xdr:nvCxnSpPr>
        <xdr:cNvPr id="108" name="Straight Connector 107"/>
        <xdr:cNvCxnSpPr/>
      </xdr:nvCxnSpPr>
      <xdr:spPr>
        <a:xfrm flipV="1">
          <a:off x="8533039" y="5334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28</xdr:row>
      <xdr:rowOff>27215</xdr:rowOff>
    </xdr:from>
    <xdr:to>
      <xdr:col>10</xdr:col>
      <xdr:colOff>911678</xdr:colOff>
      <xdr:row>30</xdr:row>
      <xdr:rowOff>0</xdr:rowOff>
    </xdr:to>
    <xdr:cxnSp macro="">
      <xdr:nvCxnSpPr>
        <xdr:cNvPr id="109" name="Straight Connector 108"/>
        <xdr:cNvCxnSpPr/>
      </xdr:nvCxnSpPr>
      <xdr:spPr>
        <a:xfrm flipV="1">
          <a:off x="6096000" y="5361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28</xdr:row>
      <xdr:rowOff>13607</xdr:rowOff>
    </xdr:from>
    <xdr:to>
      <xdr:col>16</xdr:col>
      <xdr:colOff>0</xdr:colOff>
      <xdr:row>30</xdr:row>
      <xdr:rowOff>0</xdr:rowOff>
    </xdr:to>
    <xdr:cxnSp macro="">
      <xdr:nvCxnSpPr>
        <xdr:cNvPr id="110" name="Straight Connector 109"/>
        <xdr:cNvCxnSpPr/>
      </xdr:nvCxnSpPr>
      <xdr:spPr>
        <a:xfrm flipV="1">
          <a:off x="9171214" y="5347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48</xdr:row>
      <xdr:rowOff>40821</xdr:rowOff>
    </xdr:from>
    <xdr:to>
      <xdr:col>15</xdr:col>
      <xdr:colOff>952500</xdr:colOff>
      <xdr:row>49</xdr:row>
      <xdr:rowOff>163285</xdr:rowOff>
    </xdr:to>
    <xdr:cxnSp macro="">
      <xdr:nvCxnSpPr>
        <xdr:cNvPr id="111" name="Straight Connector 110"/>
        <xdr:cNvCxnSpPr/>
      </xdr:nvCxnSpPr>
      <xdr:spPr>
        <a:xfrm flipV="1">
          <a:off x="9225642" y="9184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48</xdr:row>
      <xdr:rowOff>13607</xdr:rowOff>
    </xdr:from>
    <xdr:to>
      <xdr:col>10</xdr:col>
      <xdr:colOff>911677</xdr:colOff>
      <xdr:row>50</xdr:row>
      <xdr:rowOff>0</xdr:rowOff>
    </xdr:to>
    <xdr:cxnSp macro="">
      <xdr:nvCxnSpPr>
        <xdr:cNvPr id="112" name="Straight Connector 111"/>
        <xdr:cNvCxnSpPr/>
      </xdr:nvCxnSpPr>
      <xdr:spPr>
        <a:xfrm flipV="1">
          <a:off x="6109607" y="9157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48</xdr:row>
      <xdr:rowOff>13608</xdr:rowOff>
    </xdr:from>
    <xdr:to>
      <xdr:col>12</xdr:col>
      <xdr:colOff>27214</xdr:colOff>
      <xdr:row>49</xdr:row>
      <xdr:rowOff>190502</xdr:rowOff>
    </xdr:to>
    <xdr:cxnSp macro="">
      <xdr:nvCxnSpPr>
        <xdr:cNvPr id="113" name="Straight Connector 112"/>
        <xdr:cNvCxnSpPr/>
      </xdr:nvCxnSpPr>
      <xdr:spPr>
        <a:xfrm flipV="1">
          <a:off x="6787242" y="915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48</xdr:row>
      <xdr:rowOff>17011</xdr:rowOff>
    </xdr:from>
    <xdr:to>
      <xdr:col>12</xdr:col>
      <xdr:colOff>916780</xdr:colOff>
      <xdr:row>49</xdr:row>
      <xdr:rowOff>192201</xdr:rowOff>
    </xdr:to>
    <xdr:cxnSp macro="">
      <xdr:nvCxnSpPr>
        <xdr:cNvPr id="114" name="Straight Connector 113"/>
        <xdr:cNvCxnSpPr/>
      </xdr:nvCxnSpPr>
      <xdr:spPr>
        <a:xfrm flipV="1">
          <a:off x="7349218" y="916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48</xdr:row>
      <xdr:rowOff>54428</xdr:rowOff>
    </xdr:from>
    <xdr:to>
      <xdr:col>14</xdr:col>
      <xdr:colOff>884463</xdr:colOff>
      <xdr:row>49</xdr:row>
      <xdr:rowOff>163285</xdr:rowOff>
    </xdr:to>
    <xdr:cxnSp macro="">
      <xdr:nvCxnSpPr>
        <xdr:cNvPr id="115" name="Straight Connector 114"/>
        <xdr:cNvCxnSpPr/>
      </xdr:nvCxnSpPr>
      <xdr:spPr>
        <a:xfrm flipV="1">
          <a:off x="8537119" y="9198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50</xdr:row>
      <xdr:rowOff>27214</xdr:rowOff>
    </xdr:from>
    <xdr:to>
      <xdr:col>15</xdr:col>
      <xdr:colOff>898072</xdr:colOff>
      <xdr:row>51</xdr:row>
      <xdr:rowOff>149678</xdr:rowOff>
    </xdr:to>
    <xdr:cxnSp macro="">
      <xdr:nvCxnSpPr>
        <xdr:cNvPr id="116" name="Straight Connector 115"/>
        <xdr:cNvCxnSpPr/>
      </xdr:nvCxnSpPr>
      <xdr:spPr>
        <a:xfrm flipV="1">
          <a:off x="9171214" y="9552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50</xdr:row>
      <xdr:rowOff>13607</xdr:rowOff>
    </xdr:from>
    <xdr:to>
      <xdr:col>10</xdr:col>
      <xdr:colOff>911677</xdr:colOff>
      <xdr:row>52</xdr:row>
      <xdr:rowOff>0</xdr:rowOff>
    </xdr:to>
    <xdr:cxnSp macro="">
      <xdr:nvCxnSpPr>
        <xdr:cNvPr id="117" name="Straight Connector 116"/>
        <xdr:cNvCxnSpPr/>
      </xdr:nvCxnSpPr>
      <xdr:spPr>
        <a:xfrm flipV="1">
          <a:off x="6109607" y="9538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118" name="Straight Connector 117"/>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119" name="Straight Connector 118"/>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50</xdr:row>
      <xdr:rowOff>54428</xdr:rowOff>
    </xdr:from>
    <xdr:to>
      <xdr:col>14</xdr:col>
      <xdr:colOff>884463</xdr:colOff>
      <xdr:row>51</xdr:row>
      <xdr:rowOff>163285</xdr:rowOff>
    </xdr:to>
    <xdr:cxnSp macro="">
      <xdr:nvCxnSpPr>
        <xdr:cNvPr id="120" name="Straight Connector 119"/>
        <xdr:cNvCxnSpPr/>
      </xdr:nvCxnSpPr>
      <xdr:spPr>
        <a:xfrm flipV="1">
          <a:off x="8537119" y="9579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52</xdr:row>
      <xdr:rowOff>27214</xdr:rowOff>
    </xdr:from>
    <xdr:to>
      <xdr:col>15</xdr:col>
      <xdr:colOff>898072</xdr:colOff>
      <xdr:row>53</xdr:row>
      <xdr:rowOff>149678</xdr:rowOff>
    </xdr:to>
    <xdr:cxnSp macro="">
      <xdr:nvCxnSpPr>
        <xdr:cNvPr id="121" name="Straight Connector 120"/>
        <xdr:cNvCxnSpPr/>
      </xdr:nvCxnSpPr>
      <xdr:spPr>
        <a:xfrm flipV="1">
          <a:off x="9171214" y="9933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122" name="Straight Connector 121"/>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23" name="Straight Connector 122"/>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24" name="Straight Connector 123"/>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125" name="Straight Connector 124"/>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126" name="Straight Connector 125"/>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27" name="Straight Connector 126"/>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28" name="Straight Connector 127"/>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29" name="Straight Connector 128"/>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30" name="Straight Connector 129"/>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39</xdr:row>
      <xdr:rowOff>27216</xdr:rowOff>
    </xdr:from>
    <xdr:to>
      <xdr:col>16</xdr:col>
      <xdr:colOff>27215</xdr:colOff>
      <xdr:row>40</xdr:row>
      <xdr:rowOff>176893</xdr:rowOff>
    </xdr:to>
    <xdr:cxnSp macro="">
      <xdr:nvCxnSpPr>
        <xdr:cNvPr id="131" name="Straight Connector 130"/>
        <xdr:cNvCxnSpPr/>
      </xdr:nvCxnSpPr>
      <xdr:spPr>
        <a:xfrm flipV="1">
          <a:off x="9198428" y="7456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24</xdr:row>
      <xdr:rowOff>13608</xdr:rowOff>
    </xdr:from>
    <xdr:to>
      <xdr:col>12</xdr:col>
      <xdr:colOff>27214</xdr:colOff>
      <xdr:row>25</xdr:row>
      <xdr:rowOff>190502</xdr:rowOff>
    </xdr:to>
    <xdr:cxnSp macro="">
      <xdr:nvCxnSpPr>
        <xdr:cNvPr id="132" name="Straight Connector 131"/>
        <xdr:cNvCxnSpPr/>
      </xdr:nvCxnSpPr>
      <xdr:spPr>
        <a:xfrm flipV="1">
          <a:off x="6787242" y="458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33" name="Straight Connector 132"/>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34" name="Straight Connector 133"/>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24</xdr:row>
      <xdr:rowOff>13609</xdr:rowOff>
    </xdr:from>
    <xdr:to>
      <xdr:col>10</xdr:col>
      <xdr:colOff>911678</xdr:colOff>
      <xdr:row>25</xdr:row>
      <xdr:rowOff>190501</xdr:rowOff>
    </xdr:to>
    <xdr:cxnSp macro="">
      <xdr:nvCxnSpPr>
        <xdr:cNvPr id="135" name="Straight Connector 134"/>
        <xdr:cNvCxnSpPr/>
      </xdr:nvCxnSpPr>
      <xdr:spPr>
        <a:xfrm flipV="1">
          <a:off x="6109607" y="4585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36" name="Straight Connector 135"/>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30</xdr:row>
      <xdr:rowOff>13608</xdr:rowOff>
    </xdr:from>
    <xdr:to>
      <xdr:col>12</xdr:col>
      <xdr:colOff>27214</xdr:colOff>
      <xdr:row>31</xdr:row>
      <xdr:rowOff>190500</xdr:rowOff>
    </xdr:to>
    <xdr:cxnSp macro="">
      <xdr:nvCxnSpPr>
        <xdr:cNvPr id="137" name="Straight Connector 136"/>
        <xdr:cNvCxnSpPr/>
      </xdr:nvCxnSpPr>
      <xdr:spPr>
        <a:xfrm flipV="1">
          <a:off x="6732814" y="5728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38" name="Straight Connector 137"/>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29</xdr:row>
      <xdr:rowOff>190500</xdr:rowOff>
    </xdr:from>
    <xdr:to>
      <xdr:col>15</xdr:col>
      <xdr:colOff>27214</xdr:colOff>
      <xdr:row>31</xdr:row>
      <xdr:rowOff>176894</xdr:rowOff>
    </xdr:to>
    <xdr:cxnSp macro="">
      <xdr:nvCxnSpPr>
        <xdr:cNvPr id="139" name="Straight Connector 138"/>
        <xdr:cNvCxnSpPr/>
      </xdr:nvCxnSpPr>
      <xdr:spPr>
        <a:xfrm flipV="1">
          <a:off x="8561614" y="5715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30</xdr:row>
      <xdr:rowOff>0</xdr:rowOff>
    </xdr:from>
    <xdr:to>
      <xdr:col>11</xdr:col>
      <xdr:colOff>13607</xdr:colOff>
      <xdr:row>31</xdr:row>
      <xdr:rowOff>176892</xdr:rowOff>
    </xdr:to>
    <xdr:cxnSp macro="">
      <xdr:nvCxnSpPr>
        <xdr:cNvPr id="140" name="Straight Connector 139"/>
        <xdr:cNvCxnSpPr/>
      </xdr:nvCxnSpPr>
      <xdr:spPr>
        <a:xfrm flipV="1">
          <a:off x="6123215" y="5715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30</xdr:row>
      <xdr:rowOff>0</xdr:rowOff>
    </xdr:from>
    <xdr:to>
      <xdr:col>15</xdr:col>
      <xdr:colOff>952500</xdr:colOff>
      <xdr:row>31</xdr:row>
      <xdr:rowOff>190501</xdr:rowOff>
    </xdr:to>
    <xdr:cxnSp macro="">
      <xdr:nvCxnSpPr>
        <xdr:cNvPr id="141" name="Straight Connector 140"/>
        <xdr:cNvCxnSpPr/>
      </xdr:nvCxnSpPr>
      <xdr:spPr>
        <a:xfrm flipV="1">
          <a:off x="9141279" y="5715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10</xdr:row>
      <xdr:rowOff>13608</xdr:rowOff>
    </xdr:from>
    <xdr:to>
      <xdr:col>12</xdr:col>
      <xdr:colOff>27214</xdr:colOff>
      <xdr:row>11</xdr:row>
      <xdr:rowOff>190502</xdr:rowOff>
    </xdr:to>
    <xdr:cxnSp macro="">
      <xdr:nvCxnSpPr>
        <xdr:cNvPr id="142" name="Straight Connector 141"/>
        <xdr:cNvCxnSpPr/>
      </xdr:nvCxnSpPr>
      <xdr:spPr>
        <a:xfrm flipV="1">
          <a:off x="6787242" y="191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43" name="Straight Connector 142"/>
        <xdr:cNvCxnSpPr/>
      </xdr:nvCxnSpPr>
      <xdr:spPr>
        <a:xfrm flipV="1">
          <a:off x="7349218" y="192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44" name="Straight Connector 143"/>
        <xdr:cNvCxnSpPr/>
      </xdr:nvCxnSpPr>
      <xdr:spPr>
        <a:xfrm flipV="1">
          <a:off x="8561613" y="194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10</xdr:row>
      <xdr:rowOff>2</xdr:rowOff>
    </xdr:from>
    <xdr:to>
      <xdr:col>11</xdr:col>
      <xdr:colOff>40820</xdr:colOff>
      <xdr:row>11</xdr:row>
      <xdr:rowOff>176893</xdr:rowOff>
    </xdr:to>
    <xdr:cxnSp macro="">
      <xdr:nvCxnSpPr>
        <xdr:cNvPr id="145" name="Straight Connector 144"/>
        <xdr:cNvCxnSpPr/>
      </xdr:nvCxnSpPr>
      <xdr:spPr>
        <a:xfrm flipV="1">
          <a:off x="6164035" y="1905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46" name="Straight Connector 145"/>
        <xdr:cNvCxnSpPr/>
      </xdr:nvCxnSpPr>
      <xdr:spPr>
        <a:xfrm flipV="1">
          <a:off x="9198428" y="193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47" name="Straight Connector 146"/>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48" name="Straight Connector 147"/>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49" name="Straight Connector 148"/>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50" name="Straight Connector 149"/>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51" name="Straight Connector 150"/>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22</xdr:row>
      <xdr:rowOff>13609</xdr:rowOff>
    </xdr:from>
    <xdr:to>
      <xdr:col>12</xdr:col>
      <xdr:colOff>27214</xdr:colOff>
      <xdr:row>24</xdr:row>
      <xdr:rowOff>0</xdr:rowOff>
    </xdr:to>
    <xdr:cxnSp macro="">
      <xdr:nvCxnSpPr>
        <xdr:cNvPr id="152" name="Straight Connector 151"/>
        <xdr:cNvCxnSpPr/>
      </xdr:nvCxnSpPr>
      <xdr:spPr>
        <a:xfrm flipV="1">
          <a:off x="6719207" y="4204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153" name="Straight Connector 152"/>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154" name="Straight Connector 153"/>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2</xdr:rowOff>
    </xdr:from>
    <xdr:to>
      <xdr:col>11</xdr:col>
      <xdr:colOff>40820</xdr:colOff>
      <xdr:row>24</xdr:row>
      <xdr:rowOff>0</xdr:rowOff>
    </xdr:to>
    <xdr:cxnSp macro="">
      <xdr:nvCxnSpPr>
        <xdr:cNvPr id="155" name="Straight Connector 154"/>
        <xdr:cNvCxnSpPr/>
      </xdr:nvCxnSpPr>
      <xdr:spPr>
        <a:xfrm flipV="1">
          <a:off x="6109607" y="4191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156" name="Straight Connector 155"/>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12</xdr:row>
      <xdr:rowOff>13609</xdr:rowOff>
    </xdr:from>
    <xdr:to>
      <xdr:col>12</xdr:col>
      <xdr:colOff>27214</xdr:colOff>
      <xdr:row>14</xdr:row>
      <xdr:rowOff>0</xdr:rowOff>
    </xdr:to>
    <xdr:cxnSp macro="">
      <xdr:nvCxnSpPr>
        <xdr:cNvPr id="157" name="Straight Connector 156"/>
        <xdr:cNvCxnSpPr/>
      </xdr:nvCxnSpPr>
      <xdr:spPr>
        <a:xfrm flipV="1">
          <a:off x="6719207" y="2299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158" name="Straight Connector 157"/>
        <xdr:cNvCxnSpPr/>
      </xdr:nvCxnSpPr>
      <xdr:spPr>
        <a:xfrm flipV="1">
          <a:off x="7349218" y="2303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159" name="Straight Connector 158"/>
        <xdr:cNvCxnSpPr/>
      </xdr:nvCxnSpPr>
      <xdr:spPr>
        <a:xfrm flipV="1">
          <a:off x="8561613" y="2326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12</xdr:row>
      <xdr:rowOff>2</xdr:rowOff>
    </xdr:from>
    <xdr:to>
      <xdr:col>11</xdr:col>
      <xdr:colOff>40820</xdr:colOff>
      <xdr:row>14</xdr:row>
      <xdr:rowOff>0</xdr:rowOff>
    </xdr:to>
    <xdr:cxnSp macro="">
      <xdr:nvCxnSpPr>
        <xdr:cNvPr id="160" name="Straight Connector 159"/>
        <xdr:cNvCxnSpPr/>
      </xdr:nvCxnSpPr>
      <xdr:spPr>
        <a:xfrm flipV="1">
          <a:off x="6109607" y="2286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161" name="Straight Connector 160"/>
        <xdr:cNvCxnSpPr/>
      </xdr:nvCxnSpPr>
      <xdr:spPr>
        <a:xfrm flipV="1">
          <a:off x="9198428" y="2313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162" name="Straight Connector 161"/>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63" name="Straight Connector 162"/>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36</xdr:row>
      <xdr:rowOff>40821</xdr:rowOff>
    </xdr:from>
    <xdr:to>
      <xdr:col>14</xdr:col>
      <xdr:colOff>911678</xdr:colOff>
      <xdr:row>37</xdr:row>
      <xdr:rowOff>149677</xdr:rowOff>
    </xdr:to>
    <xdr:cxnSp macro="">
      <xdr:nvCxnSpPr>
        <xdr:cNvPr id="164" name="Straight Connector 163"/>
        <xdr:cNvCxnSpPr/>
      </xdr:nvCxnSpPr>
      <xdr:spPr>
        <a:xfrm flipV="1">
          <a:off x="8561613" y="689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165" name="Straight Connector 164"/>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166" name="Straight Connector 165"/>
        <xdr:cNvCxnSpPr/>
      </xdr:nvCxnSpPr>
      <xdr:spPr>
        <a:xfrm flipV="1">
          <a:off x="9198428" y="688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46</xdr:row>
      <xdr:rowOff>13608</xdr:rowOff>
    </xdr:from>
    <xdr:to>
      <xdr:col>12</xdr:col>
      <xdr:colOff>27214</xdr:colOff>
      <xdr:row>47</xdr:row>
      <xdr:rowOff>190502</xdr:rowOff>
    </xdr:to>
    <xdr:cxnSp macro="">
      <xdr:nvCxnSpPr>
        <xdr:cNvPr id="167" name="Straight Connector 166"/>
        <xdr:cNvCxnSpPr/>
      </xdr:nvCxnSpPr>
      <xdr:spPr>
        <a:xfrm flipV="1">
          <a:off x="6787242" y="877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46</xdr:row>
      <xdr:rowOff>17011</xdr:rowOff>
    </xdr:from>
    <xdr:to>
      <xdr:col>12</xdr:col>
      <xdr:colOff>916780</xdr:colOff>
      <xdr:row>47</xdr:row>
      <xdr:rowOff>192201</xdr:rowOff>
    </xdr:to>
    <xdr:cxnSp macro="">
      <xdr:nvCxnSpPr>
        <xdr:cNvPr id="168" name="Straight Connector 167"/>
        <xdr:cNvCxnSpPr/>
      </xdr:nvCxnSpPr>
      <xdr:spPr>
        <a:xfrm flipV="1">
          <a:off x="7349218" y="878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169" name="Straight Connector 168"/>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70" name="Straight Connector 169"/>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171" name="Straight Connector 170"/>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27215</xdr:rowOff>
    </xdr:from>
    <xdr:to>
      <xdr:col>10</xdr:col>
      <xdr:colOff>911678</xdr:colOff>
      <xdr:row>34</xdr:row>
      <xdr:rowOff>0</xdr:rowOff>
    </xdr:to>
    <xdr:cxnSp macro="">
      <xdr:nvCxnSpPr>
        <xdr:cNvPr id="172" name="Straight Connector 171"/>
        <xdr:cNvCxnSpPr/>
      </xdr:nvCxnSpPr>
      <xdr:spPr>
        <a:xfrm flipV="1">
          <a:off x="6096000" y="6123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173" name="Straight Connector 172"/>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26</xdr:row>
      <xdr:rowOff>13608</xdr:rowOff>
    </xdr:from>
    <xdr:to>
      <xdr:col>12</xdr:col>
      <xdr:colOff>27214</xdr:colOff>
      <xdr:row>27</xdr:row>
      <xdr:rowOff>190502</xdr:rowOff>
    </xdr:to>
    <xdr:cxnSp macro="">
      <xdr:nvCxnSpPr>
        <xdr:cNvPr id="174" name="Straight Connector 173"/>
        <xdr:cNvCxnSpPr/>
      </xdr:nvCxnSpPr>
      <xdr:spPr>
        <a:xfrm flipV="1">
          <a:off x="6787242" y="496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75" name="Straight Connector 174"/>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26</xdr:row>
      <xdr:rowOff>40821</xdr:rowOff>
    </xdr:from>
    <xdr:to>
      <xdr:col>14</xdr:col>
      <xdr:colOff>911678</xdr:colOff>
      <xdr:row>27</xdr:row>
      <xdr:rowOff>149677</xdr:rowOff>
    </xdr:to>
    <xdr:cxnSp macro="">
      <xdr:nvCxnSpPr>
        <xdr:cNvPr id="176" name="Straight Connector 175"/>
        <xdr:cNvCxnSpPr/>
      </xdr:nvCxnSpPr>
      <xdr:spPr>
        <a:xfrm flipV="1">
          <a:off x="8561613" y="499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26</xdr:row>
      <xdr:rowOff>27216</xdr:rowOff>
    </xdr:from>
    <xdr:to>
      <xdr:col>10</xdr:col>
      <xdr:colOff>898071</xdr:colOff>
      <xdr:row>28</xdr:row>
      <xdr:rowOff>0</xdr:rowOff>
    </xdr:to>
    <xdr:cxnSp macro="">
      <xdr:nvCxnSpPr>
        <xdr:cNvPr id="177" name="Straight Connector 176"/>
        <xdr:cNvCxnSpPr/>
      </xdr:nvCxnSpPr>
      <xdr:spPr>
        <a:xfrm flipV="1">
          <a:off x="6096000" y="4980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178" name="Straight Connector 177"/>
        <xdr:cNvCxnSpPr/>
      </xdr:nvCxnSpPr>
      <xdr:spPr>
        <a:xfrm flipV="1">
          <a:off x="9198428" y="498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34</xdr:row>
      <xdr:rowOff>13608</xdr:rowOff>
    </xdr:from>
    <xdr:to>
      <xdr:col>12</xdr:col>
      <xdr:colOff>27214</xdr:colOff>
      <xdr:row>35</xdr:row>
      <xdr:rowOff>190502</xdr:rowOff>
    </xdr:to>
    <xdr:cxnSp macro="">
      <xdr:nvCxnSpPr>
        <xdr:cNvPr id="179" name="Straight Connector 178"/>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180" name="Straight Connector 179"/>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34</xdr:row>
      <xdr:rowOff>40821</xdr:rowOff>
    </xdr:from>
    <xdr:to>
      <xdr:col>14</xdr:col>
      <xdr:colOff>911678</xdr:colOff>
      <xdr:row>35</xdr:row>
      <xdr:rowOff>149677</xdr:rowOff>
    </xdr:to>
    <xdr:cxnSp macro="">
      <xdr:nvCxnSpPr>
        <xdr:cNvPr id="181" name="Straight Connector 180"/>
        <xdr:cNvCxnSpPr/>
      </xdr:nvCxnSpPr>
      <xdr:spPr>
        <a:xfrm flipV="1">
          <a:off x="8561613" y="651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27215</xdr:rowOff>
    </xdr:from>
    <xdr:to>
      <xdr:col>10</xdr:col>
      <xdr:colOff>911678</xdr:colOff>
      <xdr:row>36</xdr:row>
      <xdr:rowOff>0</xdr:rowOff>
    </xdr:to>
    <xdr:cxnSp macro="">
      <xdr:nvCxnSpPr>
        <xdr:cNvPr id="182" name="Straight Connector 181"/>
        <xdr:cNvCxnSpPr/>
      </xdr:nvCxnSpPr>
      <xdr:spPr>
        <a:xfrm flipV="1">
          <a:off x="6096000" y="6504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183" name="Straight Connector 182"/>
        <xdr:cNvCxnSpPr/>
      </xdr:nvCxnSpPr>
      <xdr:spPr>
        <a:xfrm flipV="1">
          <a:off x="9198428" y="650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84" name="Straight Connector 183"/>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85" name="Straight Connector 184"/>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86" name="Straight Connector 185"/>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87" name="Straight Connector 186"/>
        <xdr:cNvCxnSpPr/>
      </xdr:nvCxnSpPr>
      <xdr:spPr>
        <a:xfrm flipV="1">
          <a:off x="6164035" y="1143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88" name="Straight Connector 187"/>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189" name="Straight Connector 188"/>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190" name="Straight Connector 189"/>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191" name="Straight Connector 190"/>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192" name="Straight Connector 191"/>
        <xdr:cNvCxnSpPr/>
      </xdr:nvCxnSpPr>
      <xdr:spPr>
        <a:xfrm flipV="1">
          <a:off x="6109607" y="3048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193" name="Straight Connector 192"/>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94" name="Straight Connector 193"/>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95" name="Straight Connector 194"/>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96" name="Straight Connector 195"/>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97" name="Straight Connector 196"/>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98" name="Straight Connector 197"/>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68</xdr:row>
      <xdr:rowOff>13608</xdr:rowOff>
    </xdr:from>
    <xdr:to>
      <xdr:col>11</xdr:col>
      <xdr:colOff>898071</xdr:colOff>
      <xdr:row>69</xdr:row>
      <xdr:rowOff>190502</xdr:rowOff>
    </xdr:to>
    <xdr:cxnSp macro="">
      <xdr:nvCxnSpPr>
        <xdr:cNvPr id="199" name="Straight Connector 198"/>
        <xdr:cNvCxnSpPr/>
      </xdr:nvCxnSpPr>
      <xdr:spPr>
        <a:xfrm flipV="1">
          <a:off x="6719207" y="12967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68</xdr:row>
      <xdr:rowOff>40824</xdr:rowOff>
    </xdr:from>
    <xdr:to>
      <xdr:col>12</xdr:col>
      <xdr:colOff>898072</xdr:colOff>
      <xdr:row>69</xdr:row>
      <xdr:rowOff>190500</xdr:rowOff>
    </xdr:to>
    <xdr:cxnSp macro="">
      <xdr:nvCxnSpPr>
        <xdr:cNvPr id="200" name="Straight Connector 199"/>
        <xdr:cNvCxnSpPr/>
      </xdr:nvCxnSpPr>
      <xdr:spPr>
        <a:xfrm flipV="1">
          <a:off x="7315200" y="12994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68</xdr:row>
      <xdr:rowOff>40824</xdr:rowOff>
    </xdr:from>
    <xdr:to>
      <xdr:col>14</xdr:col>
      <xdr:colOff>884465</xdr:colOff>
      <xdr:row>69</xdr:row>
      <xdr:rowOff>176893</xdr:rowOff>
    </xdr:to>
    <xdr:cxnSp macro="">
      <xdr:nvCxnSpPr>
        <xdr:cNvPr id="201" name="Straight Connector 200"/>
        <xdr:cNvCxnSpPr/>
      </xdr:nvCxnSpPr>
      <xdr:spPr>
        <a:xfrm flipV="1">
          <a:off x="8561614" y="12994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68</xdr:row>
      <xdr:rowOff>13608</xdr:rowOff>
    </xdr:from>
    <xdr:to>
      <xdr:col>10</xdr:col>
      <xdr:colOff>884464</xdr:colOff>
      <xdr:row>70</xdr:row>
      <xdr:rowOff>0</xdr:rowOff>
    </xdr:to>
    <xdr:cxnSp macro="">
      <xdr:nvCxnSpPr>
        <xdr:cNvPr id="202" name="Straight Connector 201"/>
        <xdr:cNvCxnSpPr/>
      </xdr:nvCxnSpPr>
      <xdr:spPr>
        <a:xfrm flipV="1">
          <a:off x="6097361" y="12967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68</xdr:row>
      <xdr:rowOff>27217</xdr:rowOff>
    </xdr:from>
    <xdr:to>
      <xdr:col>15</xdr:col>
      <xdr:colOff>938894</xdr:colOff>
      <xdr:row>69</xdr:row>
      <xdr:rowOff>201084</xdr:rowOff>
    </xdr:to>
    <xdr:cxnSp macro="">
      <xdr:nvCxnSpPr>
        <xdr:cNvPr id="203" name="Straight Connector 202"/>
        <xdr:cNvCxnSpPr/>
      </xdr:nvCxnSpPr>
      <xdr:spPr>
        <a:xfrm flipV="1">
          <a:off x="9154584" y="12981217"/>
          <a:ext cx="594935" cy="354842"/>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14</xdr:row>
      <xdr:rowOff>13609</xdr:rowOff>
    </xdr:from>
    <xdr:to>
      <xdr:col>12</xdr:col>
      <xdr:colOff>27214</xdr:colOff>
      <xdr:row>16</xdr:row>
      <xdr:rowOff>0</xdr:rowOff>
    </xdr:to>
    <xdr:cxnSp macro="">
      <xdr:nvCxnSpPr>
        <xdr:cNvPr id="204" name="Straight Connector 203"/>
        <xdr:cNvCxnSpPr/>
      </xdr:nvCxnSpPr>
      <xdr:spPr>
        <a:xfrm flipV="1">
          <a:off x="6719207" y="2680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205" name="Straight Connector 204"/>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206" name="Straight Connector 205"/>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14</xdr:row>
      <xdr:rowOff>2</xdr:rowOff>
    </xdr:from>
    <xdr:to>
      <xdr:col>11</xdr:col>
      <xdr:colOff>40820</xdr:colOff>
      <xdr:row>16</xdr:row>
      <xdr:rowOff>0</xdr:rowOff>
    </xdr:to>
    <xdr:cxnSp macro="">
      <xdr:nvCxnSpPr>
        <xdr:cNvPr id="207" name="Straight Connector 206"/>
        <xdr:cNvCxnSpPr/>
      </xdr:nvCxnSpPr>
      <xdr:spPr>
        <a:xfrm flipV="1">
          <a:off x="6109607" y="2667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208" name="Straight Connector 207"/>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70</xdr:row>
      <xdr:rowOff>27219</xdr:rowOff>
    </xdr:from>
    <xdr:to>
      <xdr:col>15</xdr:col>
      <xdr:colOff>938894</xdr:colOff>
      <xdr:row>72</xdr:row>
      <xdr:rowOff>10583</xdr:rowOff>
    </xdr:to>
    <xdr:cxnSp macro="">
      <xdr:nvCxnSpPr>
        <xdr:cNvPr id="209" name="Straight Connector 208"/>
        <xdr:cNvCxnSpPr/>
      </xdr:nvCxnSpPr>
      <xdr:spPr>
        <a:xfrm flipV="1">
          <a:off x="9154584" y="13362219"/>
          <a:ext cx="594935" cy="364364"/>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210" name="Straight Connector 209"/>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211" name="Straight Connector 210"/>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212" name="Straight Connector 211"/>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213" name="Straight Connector 212"/>
        <xdr:cNvCxnSpPr/>
      </xdr:nvCxnSpPr>
      <xdr:spPr>
        <a:xfrm flipV="1">
          <a:off x="6109607" y="3429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214" name="Straight Connector 213"/>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215" name="Straight Connector 214"/>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216" name="Straight Connector 215"/>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217" name="Straight Connector 216"/>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218" name="Straight Connector 217"/>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19" name="Straight Connector 218"/>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11</xdr:col>
      <xdr:colOff>13607</xdr:colOff>
      <xdr:row>64</xdr:row>
      <xdr:rowOff>13608</xdr:rowOff>
    </xdr:from>
    <xdr:to>
      <xdr:col>11</xdr:col>
      <xdr:colOff>898071</xdr:colOff>
      <xdr:row>65</xdr:row>
      <xdr:rowOff>190502</xdr:rowOff>
    </xdr:to>
    <xdr:cxnSp macro="">
      <xdr:nvCxnSpPr>
        <xdr:cNvPr id="2" name="Straight Connector 1"/>
        <xdr:cNvCxnSpPr/>
      </xdr:nvCxnSpPr>
      <xdr:spPr>
        <a:xfrm flipV="1">
          <a:off x="6719207" y="12205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64</xdr:row>
      <xdr:rowOff>40824</xdr:rowOff>
    </xdr:from>
    <xdr:to>
      <xdr:col>12</xdr:col>
      <xdr:colOff>898072</xdr:colOff>
      <xdr:row>65</xdr:row>
      <xdr:rowOff>190500</xdr:rowOff>
    </xdr:to>
    <xdr:cxnSp macro="">
      <xdr:nvCxnSpPr>
        <xdr:cNvPr id="3" name="Straight Connector 2"/>
        <xdr:cNvCxnSpPr/>
      </xdr:nvCxnSpPr>
      <xdr:spPr>
        <a:xfrm flipV="1">
          <a:off x="7315200" y="12232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64</xdr:row>
      <xdr:rowOff>40824</xdr:rowOff>
    </xdr:from>
    <xdr:to>
      <xdr:col>14</xdr:col>
      <xdr:colOff>884465</xdr:colOff>
      <xdr:row>65</xdr:row>
      <xdr:rowOff>176893</xdr:rowOff>
    </xdr:to>
    <xdr:cxnSp macro="">
      <xdr:nvCxnSpPr>
        <xdr:cNvPr id="4" name="Straight Connector 3"/>
        <xdr:cNvCxnSpPr/>
      </xdr:nvCxnSpPr>
      <xdr:spPr>
        <a:xfrm flipV="1">
          <a:off x="8561614" y="12232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64</xdr:row>
      <xdr:rowOff>27214</xdr:rowOff>
    </xdr:from>
    <xdr:to>
      <xdr:col>16</xdr:col>
      <xdr:colOff>0</xdr:colOff>
      <xdr:row>66</xdr:row>
      <xdr:rowOff>0</xdr:rowOff>
    </xdr:to>
    <xdr:cxnSp macro="">
      <xdr:nvCxnSpPr>
        <xdr:cNvPr id="5" name="Straight Connector 4"/>
        <xdr:cNvCxnSpPr/>
      </xdr:nvCxnSpPr>
      <xdr:spPr>
        <a:xfrm flipV="1">
          <a:off x="9144001" y="12219214"/>
          <a:ext cx="609599" cy="3537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64</xdr:row>
      <xdr:rowOff>1</xdr:rowOff>
    </xdr:from>
    <xdr:to>
      <xdr:col>11</xdr:col>
      <xdr:colOff>13607</xdr:colOff>
      <xdr:row>65</xdr:row>
      <xdr:rowOff>176895</xdr:rowOff>
    </xdr:to>
    <xdr:cxnSp macro="">
      <xdr:nvCxnSpPr>
        <xdr:cNvPr id="6" name="Straight Connector 5"/>
        <xdr:cNvCxnSpPr/>
      </xdr:nvCxnSpPr>
      <xdr:spPr>
        <a:xfrm flipV="1">
          <a:off x="6150429" y="12192001"/>
          <a:ext cx="568778"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68</xdr:row>
      <xdr:rowOff>13608</xdr:rowOff>
    </xdr:from>
    <xdr:to>
      <xdr:col>11</xdr:col>
      <xdr:colOff>898071</xdr:colOff>
      <xdr:row>69</xdr:row>
      <xdr:rowOff>190502</xdr:rowOff>
    </xdr:to>
    <xdr:cxnSp macro="">
      <xdr:nvCxnSpPr>
        <xdr:cNvPr id="7" name="Straight Connector 6"/>
        <xdr:cNvCxnSpPr/>
      </xdr:nvCxnSpPr>
      <xdr:spPr>
        <a:xfrm flipV="1">
          <a:off x="6719207" y="12967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68</xdr:row>
      <xdr:rowOff>40824</xdr:rowOff>
    </xdr:from>
    <xdr:to>
      <xdr:col>12</xdr:col>
      <xdr:colOff>898072</xdr:colOff>
      <xdr:row>69</xdr:row>
      <xdr:rowOff>190500</xdr:rowOff>
    </xdr:to>
    <xdr:cxnSp macro="">
      <xdr:nvCxnSpPr>
        <xdr:cNvPr id="8" name="Straight Connector 7"/>
        <xdr:cNvCxnSpPr/>
      </xdr:nvCxnSpPr>
      <xdr:spPr>
        <a:xfrm flipV="1">
          <a:off x="7315200" y="12994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68</xdr:row>
      <xdr:rowOff>40824</xdr:rowOff>
    </xdr:from>
    <xdr:to>
      <xdr:col>14</xdr:col>
      <xdr:colOff>884465</xdr:colOff>
      <xdr:row>69</xdr:row>
      <xdr:rowOff>176893</xdr:rowOff>
    </xdr:to>
    <xdr:cxnSp macro="">
      <xdr:nvCxnSpPr>
        <xdr:cNvPr id="9" name="Straight Connector 8"/>
        <xdr:cNvCxnSpPr/>
      </xdr:nvCxnSpPr>
      <xdr:spPr>
        <a:xfrm flipV="1">
          <a:off x="8561614" y="12994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68</xdr:row>
      <xdr:rowOff>13608</xdr:rowOff>
    </xdr:from>
    <xdr:to>
      <xdr:col>10</xdr:col>
      <xdr:colOff>884464</xdr:colOff>
      <xdr:row>70</xdr:row>
      <xdr:rowOff>0</xdr:rowOff>
    </xdr:to>
    <xdr:cxnSp macro="">
      <xdr:nvCxnSpPr>
        <xdr:cNvPr id="10" name="Straight Connector 9"/>
        <xdr:cNvCxnSpPr/>
      </xdr:nvCxnSpPr>
      <xdr:spPr>
        <a:xfrm flipV="1">
          <a:off x="6097361" y="12967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11" name="Straight Connector 10"/>
        <xdr:cNvCxnSpPr/>
      </xdr:nvCxnSpPr>
      <xdr:spPr>
        <a:xfrm flipV="1">
          <a:off x="6787242" y="1468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12" name="Straight Connector 11"/>
        <xdr:cNvCxnSpPr/>
      </xdr:nvCxnSpPr>
      <xdr:spPr>
        <a:xfrm flipV="1">
          <a:off x="6109607" y="1468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13" name="Straight Connector 12"/>
        <xdr:cNvCxnSpPr/>
      </xdr:nvCxnSpPr>
      <xdr:spPr>
        <a:xfrm flipV="1">
          <a:off x="7349218" y="1468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14" name="Straight Connector 13"/>
        <xdr:cNvCxnSpPr/>
      </xdr:nvCxnSpPr>
      <xdr:spPr>
        <a:xfrm flipV="1">
          <a:off x="9171214" y="1468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15" name="Straight Connector 14"/>
        <xdr:cNvCxnSpPr/>
      </xdr:nvCxnSpPr>
      <xdr:spPr>
        <a:xfrm flipV="1">
          <a:off x="6787242" y="1506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16" name="Straight Connector 15"/>
        <xdr:cNvCxnSpPr/>
      </xdr:nvCxnSpPr>
      <xdr:spPr>
        <a:xfrm flipV="1">
          <a:off x="6109607" y="15063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17" name="Straight Connector 16"/>
        <xdr:cNvCxnSpPr/>
      </xdr:nvCxnSpPr>
      <xdr:spPr>
        <a:xfrm flipV="1">
          <a:off x="7349218" y="1506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18" name="Straight Connector 17"/>
        <xdr:cNvCxnSpPr/>
      </xdr:nvCxnSpPr>
      <xdr:spPr>
        <a:xfrm flipV="1">
          <a:off x="9171214" y="15068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82</xdr:row>
      <xdr:rowOff>13608</xdr:rowOff>
    </xdr:from>
    <xdr:to>
      <xdr:col>12</xdr:col>
      <xdr:colOff>27214</xdr:colOff>
      <xdr:row>83</xdr:row>
      <xdr:rowOff>190502</xdr:rowOff>
    </xdr:to>
    <xdr:cxnSp macro="">
      <xdr:nvCxnSpPr>
        <xdr:cNvPr id="19" name="Straight Connector 18"/>
        <xdr:cNvCxnSpPr/>
      </xdr:nvCxnSpPr>
      <xdr:spPr>
        <a:xfrm flipV="1">
          <a:off x="6787242" y="1563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82</xdr:row>
      <xdr:rowOff>13608</xdr:rowOff>
    </xdr:from>
    <xdr:to>
      <xdr:col>11</xdr:col>
      <xdr:colOff>51026</xdr:colOff>
      <xdr:row>84</xdr:row>
      <xdr:rowOff>0</xdr:rowOff>
    </xdr:to>
    <xdr:cxnSp macro="">
      <xdr:nvCxnSpPr>
        <xdr:cNvPr id="20" name="Straight Connector 19"/>
        <xdr:cNvCxnSpPr/>
      </xdr:nvCxnSpPr>
      <xdr:spPr>
        <a:xfrm flipV="1">
          <a:off x="6109607" y="15634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82</xdr:row>
      <xdr:rowOff>17011</xdr:rowOff>
    </xdr:from>
    <xdr:to>
      <xdr:col>12</xdr:col>
      <xdr:colOff>916780</xdr:colOff>
      <xdr:row>83</xdr:row>
      <xdr:rowOff>192201</xdr:rowOff>
    </xdr:to>
    <xdr:cxnSp macro="">
      <xdr:nvCxnSpPr>
        <xdr:cNvPr id="21" name="Straight Connector 20"/>
        <xdr:cNvCxnSpPr/>
      </xdr:nvCxnSpPr>
      <xdr:spPr>
        <a:xfrm flipV="1">
          <a:off x="7349218" y="1563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82</xdr:row>
      <xdr:rowOff>18714</xdr:rowOff>
    </xdr:from>
    <xdr:to>
      <xdr:col>15</xdr:col>
      <xdr:colOff>887864</xdr:colOff>
      <xdr:row>83</xdr:row>
      <xdr:rowOff>190500</xdr:rowOff>
    </xdr:to>
    <xdr:cxnSp macro="">
      <xdr:nvCxnSpPr>
        <xdr:cNvPr id="22" name="Straight Connector 21"/>
        <xdr:cNvCxnSpPr/>
      </xdr:nvCxnSpPr>
      <xdr:spPr>
        <a:xfrm flipV="1">
          <a:off x="9171214" y="15639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84</xdr:row>
      <xdr:rowOff>13608</xdr:rowOff>
    </xdr:from>
    <xdr:to>
      <xdr:col>12</xdr:col>
      <xdr:colOff>27214</xdr:colOff>
      <xdr:row>85</xdr:row>
      <xdr:rowOff>190502</xdr:rowOff>
    </xdr:to>
    <xdr:cxnSp macro="">
      <xdr:nvCxnSpPr>
        <xdr:cNvPr id="23" name="Straight Connector 22"/>
        <xdr:cNvCxnSpPr/>
      </xdr:nvCxnSpPr>
      <xdr:spPr>
        <a:xfrm flipV="1">
          <a:off x="6787242" y="1601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84</xdr:row>
      <xdr:rowOff>13608</xdr:rowOff>
    </xdr:from>
    <xdr:to>
      <xdr:col>11</xdr:col>
      <xdr:colOff>51026</xdr:colOff>
      <xdr:row>86</xdr:row>
      <xdr:rowOff>0</xdr:rowOff>
    </xdr:to>
    <xdr:cxnSp macro="">
      <xdr:nvCxnSpPr>
        <xdr:cNvPr id="24" name="Straight Connector 23"/>
        <xdr:cNvCxnSpPr/>
      </xdr:nvCxnSpPr>
      <xdr:spPr>
        <a:xfrm flipV="1">
          <a:off x="6109607" y="16015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84</xdr:row>
      <xdr:rowOff>17011</xdr:rowOff>
    </xdr:from>
    <xdr:to>
      <xdr:col>12</xdr:col>
      <xdr:colOff>916780</xdr:colOff>
      <xdr:row>85</xdr:row>
      <xdr:rowOff>192201</xdr:rowOff>
    </xdr:to>
    <xdr:cxnSp macro="">
      <xdr:nvCxnSpPr>
        <xdr:cNvPr id="25" name="Straight Connector 24"/>
        <xdr:cNvCxnSpPr/>
      </xdr:nvCxnSpPr>
      <xdr:spPr>
        <a:xfrm flipV="1">
          <a:off x="7349218" y="1601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84</xdr:row>
      <xdr:rowOff>18714</xdr:rowOff>
    </xdr:from>
    <xdr:to>
      <xdr:col>15</xdr:col>
      <xdr:colOff>887864</xdr:colOff>
      <xdr:row>85</xdr:row>
      <xdr:rowOff>190500</xdr:rowOff>
    </xdr:to>
    <xdr:cxnSp macro="">
      <xdr:nvCxnSpPr>
        <xdr:cNvPr id="26" name="Straight Connector 25"/>
        <xdr:cNvCxnSpPr/>
      </xdr:nvCxnSpPr>
      <xdr:spPr>
        <a:xfrm flipV="1">
          <a:off x="9171214" y="16020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86</xdr:row>
      <xdr:rowOff>13608</xdr:rowOff>
    </xdr:from>
    <xdr:to>
      <xdr:col>12</xdr:col>
      <xdr:colOff>27214</xdr:colOff>
      <xdr:row>87</xdr:row>
      <xdr:rowOff>190502</xdr:rowOff>
    </xdr:to>
    <xdr:cxnSp macro="">
      <xdr:nvCxnSpPr>
        <xdr:cNvPr id="27" name="Straight Connector 26"/>
        <xdr:cNvCxnSpPr/>
      </xdr:nvCxnSpPr>
      <xdr:spPr>
        <a:xfrm flipV="1">
          <a:off x="6787242" y="1639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86</xdr:row>
      <xdr:rowOff>13608</xdr:rowOff>
    </xdr:from>
    <xdr:to>
      <xdr:col>11</xdr:col>
      <xdr:colOff>51026</xdr:colOff>
      <xdr:row>88</xdr:row>
      <xdr:rowOff>0</xdr:rowOff>
    </xdr:to>
    <xdr:cxnSp macro="">
      <xdr:nvCxnSpPr>
        <xdr:cNvPr id="28" name="Straight Connector 27"/>
        <xdr:cNvCxnSpPr/>
      </xdr:nvCxnSpPr>
      <xdr:spPr>
        <a:xfrm flipV="1">
          <a:off x="6109607" y="16396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86</xdr:row>
      <xdr:rowOff>17011</xdr:rowOff>
    </xdr:from>
    <xdr:to>
      <xdr:col>12</xdr:col>
      <xdr:colOff>916780</xdr:colOff>
      <xdr:row>87</xdr:row>
      <xdr:rowOff>192201</xdr:rowOff>
    </xdr:to>
    <xdr:cxnSp macro="">
      <xdr:nvCxnSpPr>
        <xdr:cNvPr id="29" name="Straight Connector 28"/>
        <xdr:cNvCxnSpPr/>
      </xdr:nvCxnSpPr>
      <xdr:spPr>
        <a:xfrm flipV="1">
          <a:off x="7349218" y="1640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86</xdr:row>
      <xdr:rowOff>18714</xdr:rowOff>
    </xdr:from>
    <xdr:to>
      <xdr:col>15</xdr:col>
      <xdr:colOff>887864</xdr:colOff>
      <xdr:row>87</xdr:row>
      <xdr:rowOff>190500</xdr:rowOff>
    </xdr:to>
    <xdr:cxnSp macro="">
      <xdr:nvCxnSpPr>
        <xdr:cNvPr id="30" name="Straight Connector 29"/>
        <xdr:cNvCxnSpPr/>
      </xdr:nvCxnSpPr>
      <xdr:spPr>
        <a:xfrm flipV="1">
          <a:off x="9171214" y="16401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31" name="Straight Connector 30"/>
        <xdr:cNvCxnSpPr/>
      </xdr:nvCxnSpPr>
      <xdr:spPr>
        <a:xfrm flipV="1">
          <a:off x="6787242" y="1677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32" name="Straight Connector 31"/>
        <xdr:cNvCxnSpPr/>
      </xdr:nvCxnSpPr>
      <xdr:spPr>
        <a:xfrm flipV="1">
          <a:off x="6109607" y="167776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33" name="Straight Connector 32"/>
        <xdr:cNvCxnSpPr/>
      </xdr:nvCxnSpPr>
      <xdr:spPr>
        <a:xfrm flipV="1">
          <a:off x="7349218" y="1678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88</xdr:row>
      <xdr:rowOff>3</xdr:rowOff>
    </xdr:from>
    <xdr:to>
      <xdr:col>15</xdr:col>
      <xdr:colOff>40822</xdr:colOff>
      <xdr:row>89</xdr:row>
      <xdr:rowOff>149679</xdr:rowOff>
    </xdr:to>
    <xdr:cxnSp macro="">
      <xdr:nvCxnSpPr>
        <xdr:cNvPr id="34" name="Straight Connector 33"/>
        <xdr:cNvCxnSpPr/>
      </xdr:nvCxnSpPr>
      <xdr:spPr>
        <a:xfrm flipV="1">
          <a:off x="8571820" y="167640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35" name="Straight Connector 34"/>
        <xdr:cNvCxnSpPr/>
      </xdr:nvCxnSpPr>
      <xdr:spPr>
        <a:xfrm flipV="1">
          <a:off x="9171214" y="167827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91</xdr:row>
      <xdr:rowOff>13608</xdr:rowOff>
    </xdr:from>
    <xdr:to>
      <xdr:col>12</xdr:col>
      <xdr:colOff>27214</xdr:colOff>
      <xdr:row>92</xdr:row>
      <xdr:rowOff>190502</xdr:rowOff>
    </xdr:to>
    <xdr:cxnSp macro="">
      <xdr:nvCxnSpPr>
        <xdr:cNvPr id="36" name="Straight Connector 35"/>
        <xdr:cNvCxnSpPr/>
      </xdr:nvCxnSpPr>
      <xdr:spPr>
        <a:xfrm flipV="1">
          <a:off x="6787242" y="17349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91</xdr:row>
      <xdr:rowOff>13608</xdr:rowOff>
    </xdr:from>
    <xdr:to>
      <xdr:col>11</xdr:col>
      <xdr:colOff>51026</xdr:colOff>
      <xdr:row>93</xdr:row>
      <xdr:rowOff>0</xdr:rowOff>
    </xdr:to>
    <xdr:cxnSp macro="">
      <xdr:nvCxnSpPr>
        <xdr:cNvPr id="37" name="Straight Connector 36"/>
        <xdr:cNvCxnSpPr/>
      </xdr:nvCxnSpPr>
      <xdr:spPr>
        <a:xfrm flipV="1">
          <a:off x="6109607" y="17349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91</xdr:row>
      <xdr:rowOff>17011</xdr:rowOff>
    </xdr:from>
    <xdr:to>
      <xdr:col>12</xdr:col>
      <xdr:colOff>916780</xdr:colOff>
      <xdr:row>92</xdr:row>
      <xdr:rowOff>192201</xdr:rowOff>
    </xdr:to>
    <xdr:cxnSp macro="">
      <xdr:nvCxnSpPr>
        <xdr:cNvPr id="38" name="Straight Connector 37"/>
        <xdr:cNvCxnSpPr/>
      </xdr:nvCxnSpPr>
      <xdr:spPr>
        <a:xfrm flipV="1">
          <a:off x="7349218" y="17352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91</xdr:row>
      <xdr:rowOff>18714</xdr:rowOff>
    </xdr:from>
    <xdr:to>
      <xdr:col>15</xdr:col>
      <xdr:colOff>887864</xdr:colOff>
      <xdr:row>92</xdr:row>
      <xdr:rowOff>190500</xdr:rowOff>
    </xdr:to>
    <xdr:cxnSp macro="">
      <xdr:nvCxnSpPr>
        <xdr:cNvPr id="39" name="Straight Connector 38"/>
        <xdr:cNvCxnSpPr/>
      </xdr:nvCxnSpPr>
      <xdr:spPr>
        <a:xfrm flipV="1">
          <a:off x="9171214" y="17354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93</xdr:row>
      <xdr:rowOff>13608</xdr:rowOff>
    </xdr:from>
    <xdr:to>
      <xdr:col>12</xdr:col>
      <xdr:colOff>27214</xdr:colOff>
      <xdr:row>94</xdr:row>
      <xdr:rowOff>190502</xdr:rowOff>
    </xdr:to>
    <xdr:cxnSp macro="">
      <xdr:nvCxnSpPr>
        <xdr:cNvPr id="40" name="Straight Connector 39"/>
        <xdr:cNvCxnSpPr/>
      </xdr:nvCxnSpPr>
      <xdr:spPr>
        <a:xfrm flipV="1">
          <a:off x="6787242" y="17730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93</xdr:row>
      <xdr:rowOff>13608</xdr:rowOff>
    </xdr:from>
    <xdr:to>
      <xdr:col>11</xdr:col>
      <xdr:colOff>51026</xdr:colOff>
      <xdr:row>95</xdr:row>
      <xdr:rowOff>0</xdr:rowOff>
    </xdr:to>
    <xdr:cxnSp macro="">
      <xdr:nvCxnSpPr>
        <xdr:cNvPr id="41" name="Straight Connector 40"/>
        <xdr:cNvCxnSpPr/>
      </xdr:nvCxnSpPr>
      <xdr:spPr>
        <a:xfrm flipV="1">
          <a:off x="6109607" y="17730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93</xdr:row>
      <xdr:rowOff>17011</xdr:rowOff>
    </xdr:from>
    <xdr:to>
      <xdr:col>12</xdr:col>
      <xdr:colOff>916780</xdr:colOff>
      <xdr:row>94</xdr:row>
      <xdr:rowOff>192201</xdr:rowOff>
    </xdr:to>
    <xdr:cxnSp macro="">
      <xdr:nvCxnSpPr>
        <xdr:cNvPr id="42" name="Straight Connector 41"/>
        <xdr:cNvCxnSpPr/>
      </xdr:nvCxnSpPr>
      <xdr:spPr>
        <a:xfrm flipV="1">
          <a:off x="7349218" y="17733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93</xdr:row>
      <xdr:rowOff>18714</xdr:rowOff>
    </xdr:from>
    <xdr:to>
      <xdr:col>15</xdr:col>
      <xdr:colOff>887864</xdr:colOff>
      <xdr:row>94</xdr:row>
      <xdr:rowOff>190500</xdr:rowOff>
    </xdr:to>
    <xdr:cxnSp macro="">
      <xdr:nvCxnSpPr>
        <xdr:cNvPr id="43" name="Straight Connector 42"/>
        <xdr:cNvCxnSpPr/>
      </xdr:nvCxnSpPr>
      <xdr:spPr>
        <a:xfrm flipV="1">
          <a:off x="9171214" y="17735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95</xdr:row>
      <xdr:rowOff>13608</xdr:rowOff>
    </xdr:from>
    <xdr:to>
      <xdr:col>12</xdr:col>
      <xdr:colOff>27214</xdr:colOff>
      <xdr:row>96</xdr:row>
      <xdr:rowOff>190502</xdr:rowOff>
    </xdr:to>
    <xdr:cxnSp macro="">
      <xdr:nvCxnSpPr>
        <xdr:cNvPr id="44" name="Straight Connector 43"/>
        <xdr:cNvCxnSpPr/>
      </xdr:nvCxnSpPr>
      <xdr:spPr>
        <a:xfrm flipV="1">
          <a:off x="6787242" y="1811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95</xdr:row>
      <xdr:rowOff>13608</xdr:rowOff>
    </xdr:from>
    <xdr:to>
      <xdr:col>11</xdr:col>
      <xdr:colOff>51026</xdr:colOff>
      <xdr:row>97</xdr:row>
      <xdr:rowOff>0</xdr:rowOff>
    </xdr:to>
    <xdr:cxnSp macro="">
      <xdr:nvCxnSpPr>
        <xdr:cNvPr id="45" name="Straight Connector 44"/>
        <xdr:cNvCxnSpPr/>
      </xdr:nvCxnSpPr>
      <xdr:spPr>
        <a:xfrm flipV="1">
          <a:off x="6109607" y="1811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95</xdr:row>
      <xdr:rowOff>17011</xdr:rowOff>
    </xdr:from>
    <xdr:to>
      <xdr:col>12</xdr:col>
      <xdr:colOff>916780</xdr:colOff>
      <xdr:row>96</xdr:row>
      <xdr:rowOff>192201</xdr:rowOff>
    </xdr:to>
    <xdr:cxnSp macro="">
      <xdr:nvCxnSpPr>
        <xdr:cNvPr id="46" name="Straight Connector 45"/>
        <xdr:cNvCxnSpPr/>
      </xdr:nvCxnSpPr>
      <xdr:spPr>
        <a:xfrm flipV="1">
          <a:off x="7349218" y="1811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95</xdr:row>
      <xdr:rowOff>3</xdr:rowOff>
    </xdr:from>
    <xdr:to>
      <xdr:col>15</xdr:col>
      <xdr:colOff>40822</xdr:colOff>
      <xdr:row>96</xdr:row>
      <xdr:rowOff>149679</xdr:rowOff>
    </xdr:to>
    <xdr:cxnSp macro="">
      <xdr:nvCxnSpPr>
        <xdr:cNvPr id="47" name="Straight Connector 46"/>
        <xdr:cNvCxnSpPr/>
      </xdr:nvCxnSpPr>
      <xdr:spPr>
        <a:xfrm flipV="1">
          <a:off x="8571820" y="18097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95</xdr:row>
      <xdr:rowOff>18714</xdr:rowOff>
    </xdr:from>
    <xdr:to>
      <xdr:col>15</xdr:col>
      <xdr:colOff>887864</xdr:colOff>
      <xdr:row>96</xdr:row>
      <xdr:rowOff>190500</xdr:rowOff>
    </xdr:to>
    <xdr:cxnSp macro="">
      <xdr:nvCxnSpPr>
        <xdr:cNvPr id="48" name="Straight Connector 47"/>
        <xdr:cNvCxnSpPr/>
      </xdr:nvCxnSpPr>
      <xdr:spPr>
        <a:xfrm flipV="1">
          <a:off x="9171214" y="1811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49" name="Straight Connector 48"/>
        <xdr:cNvCxnSpPr/>
      </xdr:nvCxnSpPr>
      <xdr:spPr>
        <a:xfrm flipV="1">
          <a:off x="6787242" y="18492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50" name="Straight Connector 49"/>
        <xdr:cNvCxnSpPr/>
      </xdr:nvCxnSpPr>
      <xdr:spPr>
        <a:xfrm flipV="1">
          <a:off x="6109607" y="18492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51" name="Straight Connector 50"/>
        <xdr:cNvCxnSpPr/>
      </xdr:nvCxnSpPr>
      <xdr:spPr>
        <a:xfrm flipV="1">
          <a:off x="7349218" y="18495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97</xdr:row>
      <xdr:rowOff>3</xdr:rowOff>
    </xdr:from>
    <xdr:to>
      <xdr:col>15</xdr:col>
      <xdr:colOff>40822</xdr:colOff>
      <xdr:row>98</xdr:row>
      <xdr:rowOff>149679</xdr:rowOff>
    </xdr:to>
    <xdr:cxnSp macro="">
      <xdr:nvCxnSpPr>
        <xdr:cNvPr id="52" name="Straight Connector 51"/>
        <xdr:cNvCxnSpPr/>
      </xdr:nvCxnSpPr>
      <xdr:spPr>
        <a:xfrm flipV="1">
          <a:off x="8571820" y="18478503"/>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53" name="Straight Connector 52"/>
        <xdr:cNvCxnSpPr/>
      </xdr:nvCxnSpPr>
      <xdr:spPr>
        <a:xfrm flipV="1">
          <a:off x="9171214" y="18497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71</xdr:row>
      <xdr:rowOff>13608</xdr:rowOff>
    </xdr:from>
    <xdr:to>
      <xdr:col>12</xdr:col>
      <xdr:colOff>27214</xdr:colOff>
      <xdr:row>72</xdr:row>
      <xdr:rowOff>190502</xdr:rowOff>
    </xdr:to>
    <xdr:cxnSp macro="">
      <xdr:nvCxnSpPr>
        <xdr:cNvPr id="54" name="Straight Connector 53"/>
        <xdr:cNvCxnSpPr/>
      </xdr:nvCxnSpPr>
      <xdr:spPr>
        <a:xfrm flipV="1">
          <a:off x="6787242" y="13539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71</xdr:row>
      <xdr:rowOff>13608</xdr:rowOff>
    </xdr:from>
    <xdr:to>
      <xdr:col>11</xdr:col>
      <xdr:colOff>51026</xdr:colOff>
      <xdr:row>73</xdr:row>
      <xdr:rowOff>0</xdr:rowOff>
    </xdr:to>
    <xdr:cxnSp macro="">
      <xdr:nvCxnSpPr>
        <xdr:cNvPr id="55" name="Straight Connector 54"/>
        <xdr:cNvCxnSpPr/>
      </xdr:nvCxnSpPr>
      <xdr:spPr>
        <a:xfrm flipV="1">
          <a:off x="6109607" y="13539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71</xdr:row>
      <xdr:rowOff>17011</xdr:rowOff>
    </xdr:from>
    <xdr:to>
      <xdr:col>12</xdr:col>
      <xdr:colOff>916780</xdr:colOff>
      <xdr:row>72</xdr:row>
      <xdr:rowOff>192201</xdr:rowOff>
    </xdr:to>
    <xdr:cxnSp macro="">
      <xdr:nvCxnSpPr>
        <xdr:cNvPr id="56" name="Straight Connector 55"/>
        <xdr:cNvCxnSpPr/>
      </xdr:nvCxnSpPr>
      <xdr:spPr>
        <a:xfrm flipV="1">
          <a:off x="7349218" y="13542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73</xdr:row>
      <xdr:rowOff>40825</xdr:rowOff>
    </xdr:from>
    <xdr:to>
      <xdr:col>15</xdr:col>
      <xdr:colOff>54429</xdr:colOff>
      <xdr:row>74</xdr:row>
      <xdr:rowOff>190501</xdr:rowOff>
    </xdr:to>
    <xdr:cxnSp macro="">
      <xdr:nvCxnSpPr>
        <xdr:cNvPr id="57" name="Straight Connector 56"/>
        <xdr:cNvCxnSpPr/>
      </xdr:nvCxnSpPr>
      <xdr:spPr>
        <a:xfrm flipV="1">
          <a:off x="8585427" y="13947325"/>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71</xdr:row>
      <xdr:rowOff>18714</xdr:rowOff>
    </xdr:from>
    <xdr:to>
      <xdr:col>15</xdr:col>
      <xdr:colOff>887864</xdr:colOff>
      <xdr:row>72</xdr:row>
      <xdr:rowOff>190500</xdr:rowOff>
    </xdr:to>
    <xdr:cxnSp macro="">
      <xdr:nvCxnSpPr>
        <xdr:cNvPr id="58" name="Straight Connector 57"/>
        <xdr:cNvCxnSpPr/>
      </xdr:nvCxnSpPr>
      <xdr:spPr>
        <a:xfrm flipV="1">
          <a:off x="9171214" y="13544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75</xdr:row>
      <xdr:rowOff>13608</xdr:rowOff>
    </xdr:from>
    <xdr:to>
      <xdr:col>12</xdr:col>
      <xdr:colOff>27214</xdr:colOff>
      <xdr:row>76</xdr:row>
      <xdr:rowOff>190502</xdr:rowOff>
    </xdr:to>
    <xdr:cxnSp macro="">
      <xdr:nvCxnSpPr>
        <xdr:cNvPr id="59" name="Straight Connector 58"/>
        <xdr:cNvCxnSpPr/>
      </xdr:nvCxnSpPr>
      <xdr:spPr>
        <a:xfrm flipV="1">
          <a:off x="6787242" y="14301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75</xdr:row>
      <xdr:rowOff>13608</xdr:rowOff>
    </xdr:from>
    <xdr:to>
      <xdr:col>11</xdr:col>
      <xdr:colOff>51026</xdr:colOff>
      <xdr:row>77</xdr:row>
      <xdr:rowOff>0</xdr:rowOff>
    </xdr:to>
    <xdr:cxnSp macro="">
      <xdr:nvCxnSpPr>
        <xdr:cNvPr id="60" name="Straight Connector 59"/>
        <xdr:cNvCxnSpPr/>
      </xdr:nvCxnSpPr>
      <xdr:spPr>
        <a:xfrm flipV="1">
          <a:off x="6109607" y="14301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75</xdr:row>
      <xdr:rowOff>17011</xdr:rowOff>
    </xdr:from>
    <xdr:to>
      <xdr:col>12</xdr:col>
      <xdr:colOff>916780</xdr:colOff>
      <xdr:row>76</xdr:row>
      <xdr:rowOff>192201</xdr:rowOff>
    </xdr:to>
    <xdr:cxnSp macro="">
      <xdr:nvCxnSpPr>
        <xdr:cNvPr id="61" name="Straight Connector 60"/>
        <xdr:cNvCxnSpPr/>
      </xdr:nvCxnSpPr>
      <xdr:spPr>
        <a:xfrm flipV="1">
          <a:off x="7349218" y="14304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75</xdr:row>
      <xdr:rowOff>18714</xdr:rowOff>
    </xdr:from>
    <xdr:to>
      <xdr:col>15</xdr:col>
      <xdr:colOff>887864</xdr:colOff>
      <xdr:row>76</xdr:row>
      <xdr:rowOff>190500</xdr:rowOff>
    </xdr:to>
    <xdr:cxnSp macro="">
      <xdr:nvCxnSpPr>
        <xdr:cNvPr id="62" name="Straight Connector 61"/>
        <xdr:cNvCxnSpPr/>
      </xdr:nvCxnSpPr>
      <xdr:spPr>
        <a:xfrm flipV="1">
          <a:off x="9171214" y="14306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73</xdr:row>
      <xdr:rowOff>13608</xdr:rowOff>
    </xdr:from>
    <xdr:to>
      <xdr:col>12</xdr:col>
      <xdr:colOff>27214</xdr:colOff>
      <xdr:row>74</xdr:row>
      <xdr:rowOff>190502</xdr:rowOff>
    </xdr:to>
    <xdr:cxnSp macro="">
      <xdr:nvCxnSpPr>
        <xdr:cNvPr id="63" name="Straight Connector 62"/>
        <xdr:cNvCxnSpPr/>
      </xdr:nvCxnSpPr>
      <xdr:spPr>
        <a:xfrm flipV="1">
          <a:off x="6787242" y="13920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73</xdr:row>
      <xdr:rowOff>13608</xdr:rowOff>
    </xdr:from>
    <xdr:to>
      <xdr:col>11</xdr:col>
      <xdr:colOff>51026</xdr:colOff>
      <xdr:row>75</xdr:row>
      <xdr:rowOff>0</xdr:rowOff>
    </xdr:to>
    <xdr:cxnSp macro="">
      <xdr:nvCxnSpPr>
        <xdr:cNvPr id="64" name="Straight Connector 63"/>
        <xdr:cNvCxnSpPr/>
      </xdr:nvCxnSpPr>
      <xdr:spPr>
        <a:xfrm flipV="1">
          <a:off x="6109607" y="13920108"/>
          <a:ext cx="647019"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73</xdr:row>
      <xdr:rowOff>17011</xdr:rowOff>
    </xdr:from>
    <xdr:to>
      <xdr:col>12</xdr:col>
      <xdr:colOff>916780</xdr:colOff>
      <xdr:row>74</xdr:row>
      <xdr:rowOff>192201</xdr:rowOff>
    </xdr:to>
    <xdr:cxnSp macro="">
      <xdr:nvCxnSpPr>
        <xdr:cNvPr id="65" name="Straight Connector 64"/>
        <xdr:cNvCxnSpPr/>
      </xdr:nvCxnSpPr>
      <xdr:spPr>
        <a:xfrm flipV="1">
          <a:off x="7349218" y="13923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73</xdr:row>
      <xdr:rowOff>18714</xdr:rowOff>
    </xdr:from>
    <xdr:to>
      <xdr:col>15</xdr:col>
      <xdr:colOff>887864</xdr:colOff>
      <xdr:row>74</xdr:row>
      <xdr:rowOff>190500</xdr:rowOff>
    </xdr:to>
    <xdr:cxnSp macro="">
      <xdr:nvCxnSpPr>
        <xdr:cNvPr id="66" name="Straight Connector 65"/>
        <xdr:cNvCxnSpPr/>
      </xdr:nvCxnSpPr>
      <xdr:spPr>
        <a:xfrm flipV="1">
          <a:off x="9171214" y="13925214"/>
          <a:ext cx="584425" cy="3622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93</xdr:row>
      <xdr:rowOff>17010</xdr:rowOff>
    </xdr:from>
    <xdr:to>
      <xdr:col>14</xdr:col>
      <xdr:colOff>903173</xdr:colOff>
      <xdr:row>94</xdr:row>
      <xdr:rowOff>192200</xdr:rowOff>
    </xdr:to>
    <xdr:cxnSp macro="">
      <xdr:nvCxnSpPr>
        <xdr:cNvPr id="67" name="Straight Connector 66"/>
        <xdr:cNvCxnSpPr/>
      </xdr:nvCxnSpPr>
      <xdr:spPr>
        <a:xfrm flipV="1">
          <a:off x="8554811" y="17733510"/>
          <a:ext cx="587487"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86</xdr:row>
      <xdr:rowOff>3404</xdr:rowOff>
    </xdr:from>
    <xdr:to>
      <xdr:col>15</xdr:col>
      <xdr:colOff>5101</xdr:colOff>
      <xdr:row>87</xdr:row>
      <xdr:rowOff>178593</xdr:rowOff>
    </xdr:to>
    <xdr:cxnSp macro="">
      <xdr:nvCxnSpPr>
        <xdr:cNvPr id="68" name="Straight Connector 67"/>
        <xdr:cNvCxnSpPr/>
      </xdr:nvCxnSpPr>
      <xdr:spPr>
        <a:xfrm flipV="1">
          <a:off x="8582025" y="16386404"/>
          <a:ext cx="567076" cy="3656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84</xdr:row>
      <xdr:rowOff>17011</xdr:rowOff>
    </xdr:from>
    <xdr:to>
      <xdr:col>15</xdr:col>
      <xdr:colOff>5101</xdr:colOff>
      <xdr:row>85</xdr:row>
      <xdr:rowOff>192201</xdr:rowOff>
    </xdr:to>
    <xdr:cxnSp macro="">
      <xdr:nvCxnSpPr>
        <xdr:cNvPr id="69" name="Straight Connector 68"/>
        <xdr:cNvCxnSpPr/>
      </xdr:nvCxnSpPr>
      <xdr:spPr>
        <a:xfrm flipV="1">
          <a:off x="8582025" y="160190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82</xdr:row>
      <xdr:rowOff>17011</xdr:rowOff>
    </xdr:from>
    <xdr:to>
      <xdr:col>14</xdr:col>
      <xdr:colOff>916780</xdr:colOff>
      <xdr:row>83</xdr:row>
      <xdr:rowOff>192201</xdr:rowOff>
    </xdr:to>
    <xdr:cxnSp macro="">
      <xdr:nvCxnSpPr>
        <xdr:cNvPr id="70" name="Straight Connector 69"/>
        <xdr:cNvCxnSpPr/>
      </xdr:nvCxnSpPr>
      <xdr:spPr>
        <a:xfrm flipV="1">
          <a:off x="8568418" y="1563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79</xdr:row>
      <xdr:rowOff>17011</xdr:rowOff>
    </xdr:from>
    <xdr:to>
      <xdr:col>15</xdr:col>
      <xdr:colOff>32315</xdr:colOff>
      <xdr:row>80</xdr:row>
      <xdr:rowOff>192201</xdr:rowOff>
    </xdr:to>
    <xdr:cxnSp macro="">
      <xdr:nvCxnSpPr>
        <xdr:cNvPr id="71" name="Straight Connector 70"/>
        <xdr:cNvCxnSpPr/>
      </xdr:nvCxnSpPr>
      <xdr:spPr>
        <a:xfrm flipV="1">
          <a:off x="8609239" y="15066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77</xdr:row>
      <xdr:rowOff>17011</xdr:rowOff>
    </xdr:from>
    <xdr:to>
      <xdr:col>15</xdr:col>
      <xdr:colOff>32315</xdr:colOff>
      <xdr:row>78</xdr:row>
      <xdr:rowOff>192201</xdr:rowOff>
    </xdr:to>
    <xdr:cxnSp macro="">
      <xdr:nvCxnSpPr>
        <xdr:cNvPr id="72" name="Straight Connector 71"/>
        <xdr:cNvCxnSpPr/>
      </xdr:nvCxnSpPr>
      <xdr:spPr>
        <a:xfrm flipV="1">
          <a:off x="8609239" y="14685511"/>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75</xdr:row>
      <xdr:rowOff>3403</xdr:rowOff>
    </xdr:from>
    <xdr:to>
      <xdr:col>15</xdr:col>
      <xdr:colOff>18708</xdr:colOff>
      <xdr:row>76</xdr:row>
      <xdr:rowOff>178593</xdr:rowOff>
    </xdr:to>
    <xdr:cxnSp macro="">
      <xdr:nvCxnSpPr>
        <xdr:cNvPr id="73" name="Straight Connector 72"/>
        <xdr:cNvCxnSpPr/>
      </xdr:nvCxnSpPr>
      <xdr:spPr>
        <a:xfrm flipV="1">
          <a:off x="8595632" y="14290903"/>
          <a:ext cx="567076"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46</xdr:row>
      <xdr:rowOff>27214</xdr:rowOff>
    </xdr:from>
    <xdr:to>
      <xdr:col>15</xdr:col>
      <xdr:colOff>898072</xdr:colOff>
      <xdr:row>47</xdr:row>
      <xdr:rowOff>149678</xdr:rowOff>
    </xdr:to>
    <xdr:cxnSp macro="">
      <xdr:nvCxnSpPr>
        <xdr:cNvPr id="74" name="Straight Connector 73"/>
        <xdr:cNvCxnSpPr/>
      </xdr:nvCxnSpPr>
      <xdr:spPr>
        <a:xfrm flipV="1">
          <a:off x="9171214" y="8790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46</xdr:row>
      <xdr:rowOff>13607</xdr:rowOff>
    </xdr:from>
    <xdr:to>
      <xdr:col>10</xdr:col>
      <xdr:colOff>911677</xdr:colOff>
      <xdr:row>48</xdr:row>
      <xdr:rowOff>0</xdr:rowOff>
    </xdr:to>
    <xdr:cxnSp macro="">
      <xdr:nvCxnSpPr>
        <xdr:cNvPr id="75" name="Straight Connector 74"/>
        <xdr:cNvCxnSpPr/>
      </xdr:nvCxnSpPr>
      <xdr:spPr>
        <a:xfrm flipV="1">
          <a:off x="6109607" y="8776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46</xdr:row>
      <xdr:rowOff>13608</xdr:rowOff>
    </xdr:from>
    <xdr:to>
      <xdr:col>12</xdr:col>
      <xdr:colOff>27214</xdr:colOff>
      <xdr:row>47</xdr:row>
      <xdr:rowOff>190502</xdr:rowOff>
    </xdr:to>
    <xdr:cxnSp macro="">
      <xdr:nvCxnSpPr>
        <xdr:cNvPr id="76" name="Straight Connector 75"/>
        <xdr:cNvCxnSpPr/>
      </xdr:nvCxnSpPr>
      <xdr:spPr>
        <a:xfrm flipV="1">
          <a:off x="6787242" y="877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46</xdr:row>
      <xdr:rowOff>17011</xdr:rowOff>
    </xdr:from>
    <xdr:to>
      <xdr:col>12</xdr:col>
      <xdr:colOff>916780</xdr:colOff>
      <xdr:row>47</xdr:row>
      <xdr:rowOff>192201</xdr:rowOff>
    </xdr:to>
    <xdr:cxnSp macro="">
      <xdr:nvCxnSpPr>
        <xdr:cNvPr id="77" name="Straight Connector 76"/>
        <xdr:cNvCxnSpPr/>
      </xdr:nvCxnSpPr>
      <xdr:spPr>
        <a:xfrm flipV="1">
          <a:off x="7349218" y="878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46</xdr:row>
      <xdr:rowOff>54428</xdr:rowOff>
    </xdr:from>
    <xdr:to>
      <xdr:col>14</xdr:col>
      <xdr:colOff>884463</xdr:colOff>
      <xdr:row>47</xdr:row>
      <xdr:rowOff>163285</xdr:rowOff>
    </xdr:to>
    <xdr:cxnSp macro="">
      <xdr:nvCxnSpPr>
        <xdr:cNvPr id="78" name="Straight Connector 77"/>
        <xdr:cNvCxnSpPr/>
      </xdr:nvCxnSpPr>
      <xdr:spPr>
        <a:xfrm flipV="1">
          <a:off x="8537119" y="8817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79" name="Straight Connector 78"/>
        <xdr:cNvCxnSpPr/>
      </xdr:nvCxnSpPr>
      <xdr:spPr>
        <a:xfrm flipV="1">
          <a:off x="9171214" y="10695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80" name="Straight Connector 79"/>
        <xdr:cNvCxnSpPr/>
      </xdr:nvCxnSpPr>
      <xdr:spPr>
        <a:xfrm flipV="1">
          <a:off x="6109607" y="10681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81" name="Straight Connector 80"/>
        <xdr:cNvCxnSpPr/>
      </xdr:nvCxnSpPr>
      <xdr:spPr>
        <a:xfrm flipV="1">
          <a:off x="6787242" y="1068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82" name="Straight Connector 81"/>
        <xdr:cNvCxnSpPr/>
      </xdr:nvCxnSpPr>
      <xdr:spPr>
        <a:xfrm flipV="1">
          <a:off x="7349218" y="1068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83" name="Straight Connector 82"/>
        <xdr:cNvCxnSpPr/>
      </xdr:nvCxnSpPr>
      <xdr:spPr>
        <a:xfrm flipV="1">
          <a:off x="8537119" y="10722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71</xdr:row>
      <xdr:rowOff>13610</xdr:rowOff>
    </xdr:from>
    <xdr:to>
      <xdr:col>15</xdr:col>
      <xdr:colOff>54429</xdr:colOff>
      <xdr:row>72</xdr:row>
      <xdr:rowOff>163286</xdr:rowOff>
    </xdr:to>
    <xdr:cxnSp macro="">
      <xdr:nvCxnSpPr>
        <xdr:cNvPr id="84" name="Straight Connector 83"/>
        <xdr:cNvCxnSpPr/>
      </xdr:nvCxnSpPr>
      <xdr:spPr>
        <a:xfrm flipV="1">
          <a:off x="8585427" y="13539110"/>
          <a:ext cx="61300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39</xdr:row>
      <xdr:rowOff>13607</xdr:rowOff>
    </xdr:from>
    <xdr:to>
      <xdr:col>10</xdr:col>
      <xdr:colOff>911677</xdr:colOff>
      <xdr:row>41</xdr:row>
      <xdr:rowOff>0</xdr:rowOff>
    </xdr:to>
    <xdr:cxnSp macro="">
      <xdr:nvCxnSpPr>
        <xdr:cNvPr id="85" name="Straight Connector 84"/>
        <xdr:cNvCxnSpPr/>
      </xdr:nvCxnSpPr>
      <xdr:spPr>
        <a:xfrm flipV="1">
          <a:off x="6109607" y="7443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39</xdr:row>
      <xdr:rowOff>13608</xdr:rowOff>
    </xdr:from>
    <xdr:to>
      <xdr:col>12</xdr:col>
      <xdr:colOff>27214</xdr:colOff>
      <xdr:row>40</xdr:row>
      <xdr:rowOff>190502</xdr:rowOff>
    </xdr:to>
    <xdr:cxnSp macro="">
      <xdr:nvCxnSpPr>
        <xdr:cNvPr id="86" name="Straight Connector 85"/>
        <xdr:cNvCxnSpPr/>
      </xdr:nvCxnSpPr>
      <xdr:spPr>
        <a:xfrm flipV="1">
          <a:off x="6787242" y="7443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39</xdr:row>
      <xdr:rowOff>17011</xdr:rowOff>
    </xdr:from>
    <xdr:to>
      <xdr:col>12</xdr:col>
      <xdr:colOff>916780</xdr:colOff>
      <xdr:row>40</xdr:row>
      <xdr:rowOff>192201</xdr:rowOff>
    </xdr:to>
    <xdr:cxnSp macro="">
      <xdr:nvCxnSpPr>
        <xdr:cNvPr id="87" name="Straight Connector 86"/>
        <xdr:cNvCxnSpPr/>
      </xdr:nvCxnSpPr>
      <xdr:spPr>
        <a:xfrm flipV="1">
          <a:off x="7349218" y="7446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39</xdr:row>
      <xdr:rowOff>54428</xdr:rowOff>
    </xdr:from>
    <xdr:to>
      <xdr:col>14</xdr:col>
      <xdr:colOff>884463</xdr:colOff>
      <xdr:row>40</xdr:row>
      <xdr:rowOff>163285</xdr:rowOff>
    </xdr:to>
    <xdr:cxnSp macro="">
      <xdr:nvCxnSpPr>
        <xdr:cNvPr id="88" name="Straight Connector 87"/>
        <xdr:cNvCxnSpPr/>
      </xdr:nvCxnSpPr>
      <xdr:spPr>
        <a:xfrm flipV="1">
          <a:off x="8537119" y="7483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43</xdr:row>
      <xdr:rowOff>27214</xdr:rowOff>
    </xdr:from>
    <xdr:to>
      <xdr:col>15</xdr:col>
      <xdr:colOff>898072</xdr:colOff>
      <xdr:row>44</xdr:row>
      <xdr:rowOff>149678</xdr:rowOff>
    </xdr:to>
    <xdr:cxnSp macro="">
      <xdr:nvCxnSpPr>
        <xdr:cNvPr id="89" name="Straight Connector 88"/>
        <xdr:cNvCxnSpPr/>
      </xdr:nvCxnSpPr>
      <xdr:spPr>
        <a:xfrm flipV="1">
          <a:off x="9171214" y="8218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43</xdr:row>
      <xdr:rowOff>13607</xdr:rowOff>
    </xdr:from>
    <xdr:to>
      <xdr:col>10</xdr:col>
      <xdr:colOff>911677</xdr:colOff>
      <xdr:row>45</xdr:row>
      <xdr:rowOff>0</xdr:rowOff>
    </xdr:to>
    <xdr:cxnSp macro="">
      <xdr:nvCxnSpPr>
        <xdr:cNvPr id="90" name="Straight Connector 89"/>
        <xdr:cNvCxnSpPr/>
      </xdr:nvCxnSpPr>
      <xdr:spPr>
        <a:xfrm flipV="1">
          <a:off x="6109607" y="8205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91" name="Straight Connector 90"/>
        <xdr:cNvCxnSpPr/>
      </xdr:nvCxnSpPr>
      <xdr:spPr>
        <a:xfrm flipV="1">
          <a:off x="6787242" y="8205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92" name="Straight Connector 91"/>
        <xdr:cNvCxnSpPr/>
      </xdr:nvCxnSpPr>
      <xdr:spPr>
        <a:xfrm flipV="1">
          <a:off x="7349218" y="8208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43</xdr:row>
      <xdr:rowOff>54428</xdr:rowOff>
    </xdr:from>
    <xdr:to>
      <xdr:col>14</xdr:col>
      <xdr:colOff>884463</xdr:colOff>
      <xdr:row>44</xdr:row>
      <xdr:rowOff>163285</xdr:rowOff>
    </xdr:to>
    <xdr:cxnSp macro="">
      <xdr:nvCxnSpPr>
        <xdr:cNvPr id="93" name="Straight Connector 92"/>
        <xdr:cNvCxnSpPr/>
      </xdr:nvCxnSpPr>
      <xdr:spPr>
        <a:xfrm flipV="1">
          <a:off x="8537119" y="8245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41</xdr:row>
      <xdr:rowOff>27214</xdr:rowOff>
    </xdr:from>
    <xdr:to>
      <xdr:col>15</xdr:col>
      <xdr:colOff>898072</xdr:colOff>
      <xdr:row>42</xdr:row>
      <xdr:rowOff>149678</xdr:rowOff>
    </xdr:to>
    <xdr:cxnSp macro="">
      <xdr:nvCxnSpPr>
        <xdr:cNvPr id="94" name="Straight Connector 93"/>
        <xdr:cNvCxnSpPr/>
      </xdr:nvCxnSpPr>
      <xdr:spPr>
        <a:xfrm flipV="1">
          <a:off x="9171214" y="78377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41</xdr:row>
      <xdr:rowOff>13607</xdr:rowOff>
    </xdr:from>
    <xdr:to>
      <xdr:col>10</xdr:col>
      <xdr:colOff>911677</xdr:colOff>
      <xdr:row>43</xdr:row>
      <xdr:rowOff>0</xdr:rowOff>
    </xdr:to>
    <xdr:cxnSp macro="">
      <xdr:nvCxnSpPr>
        <xdr:cNvPr id="95" name="Straight Connector 94"/>
        <xdr:cNvCxnSpPr/>
      </xdr:nvCxnSpPr>
      <xdr:spPr>
        <a:xfrm flipV="1">
          <a:off x="6109607" y="78241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41</xdr:row>
      <xdr:rowOff>13608</xdr:rowOff>
    </xdr:from>
    <xdr:to>
      <xdr:col>12</xdr:col>
      <xdr:colOff>27214</xdr:colOff>
      <xdr:row>42</xdr:row>
      <xdr:rowOff>190502</xdr:rowOff>
    </xdr:to>
    <xdr:cxnSp macro="">
      <xdr:nvCxnSpPr>
        <xdr:cNvPr id="96" name="Straight Connector 95"/>
        <xdr:cNvCxnSpPr/>
      </xdr:nvCxnSpPr>
      <xdr:spPr>
        <a:xfrm flipV="1">
          <a:off x="6787242" y="78241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41</xdr:row>
      <xdr:rowOff>17011</xdr:rowOff>
    </xdr:from>
    <xdr:to>
      <xdr:col>12</xdr:col>
      <xdr:colOff>916780</xdr:colOff>
      <xdr:row>42</xdr:row>
      <xdr:rowOff>192201</xdr:rowOff>
    </xdr:to>
    <xdr:cxnSp macro="">
      <xdr:nvCxnSpPr>
        <xdr:cNvPr id="97" name="Straight Connector 96"/>
        <xdr:cNvCxnSpPr/>
      </xdr:nvCxnSpPr>
      <xdr:spPr>
        <a:xfrm flipV="1">
          <a:off x="7349218" y="78275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41</xdr:row>
      <xdr:rowOff>54428</xdr:rowOff>
    </xdr:from>
    <xdr:to>
      <xdr:col>14</xdr:col>
      <xdr:colOff>884463</xdr:colOff>
      <xdr:row>42</xdr:row>
      <xdr:rowOff>163285</xdr:rowOff>
    </xdr:to>
    <xdr:cxnSp macro="">
      <xdr:nvCxnSpPr>
        <xdr:cNvPr id="98" name="Straight Connector 97"/>
        <xdr:cNvCxnSpPr/>
      </xdr:nvCxnSpPr>
      <xdr:spPr>
        <a:xfrm flipV="1">
          <a:off x="8537119" y="78649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102</xdr:row>
      <xdr:rowOff>0</xdr:rowOff>
    </xdr:from>
    <xdr:ext cx="17150072" cy="3743326"/>
    <xdr:pic>
      <xdr:nvPicPr>
        <xdr:cNvPr id="99" name="Picture 98"/>
        <xdr:cNvPicPr>
          <a:picLocks noChangeAspect="1" noChangeArrowheads="1"/>
          <a:extLst/>
        </xdr:cNvPicPr>
      </xdr:nvPicPr>
      <xdr:blipFill>
        <a:blip xmlns:r="http://schemas.openxmlformats.org/officeDocument/2006/relationships" r:embed="rId1"/>
        <a:srcRect/>
        <a:stretch>
          <a:fillRect/>
        </a:stretch>
      </xdr:blipFill>
      <xdr:spPr bwMode="auto">
        <a:xfrm>
          <a:off x="609600" y="19431000"/>
          <a:ext cx="17150072" cy="374332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oneCellAnchor>
    <xdr:from>
      <xdr:col>1</xdr:col>
      <xdr:colOff>12246</xdr:colOff>
      <xdr:row>118</xdr:row>
      <xdr:rowOff>176894</xdr:rowOff>
    </xdr:from>
    <xdr:ext cx="18008063" cy="3743325"/>
    <xdr:pic>
      <xdr:nvPicPr>
        <xdr:cNvPr id="100" name="Picture 99"/>
        <xdr:cNvPicPr>
          <a:picLocks noChangeAspect="1" noChangeArrowheads="1"/>
          <a:extLst/>
        </xdr:cNvPicPr>
      </xdr:nvPicPr>
      <xdr:blipFill>
        <a:blip xmlns:r="http://schemas.openxmlformats.org/officeDocument/2006/relationships" r:embed="rId2"/>
        <a:srcRect/>
        <a:stretch>
          <a:fillRect/>
        </a:stretch>
      </xdr:blipFill>
      <xdr:spPr bwMode="auto">
        <a:xfrm>
          <a:off x="621846" y="22655894"/>
          <a:ext cx="18008063" cy="3743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twoCellAnchor>
    <xdr:from>
      <xdr:col>11</xdr:col>
      <xdr:colOff>81642</xdr:colOff>
      <xdr:row>26</xdr:row>
      <xdr:rowOff>13608</xdr:rowOff>
    </xdr:from>
    <xdr:to>
      <xdr:col>12</xdr:col>
      <xdr:colOff>27214</xdr:colOff>
      <xdr:row>27</xdr:row>
      <xdr:rowOff>190502</xdr:rowOff>
    </xdr:to>
    <xdr:cxnSp macro="">
      <xdr:nvCxnSpPr>
        <xdr:cNvPr id="101" name="Straight Connector 100"/>
        <xdr:cNvCxnSpPr/>
      </xdr:nvCxnSpPr>
      <xdr:spPr>
        <a:xfrm flipV="1">
          <a:off x="6787242" y="496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02" name="Straight Connector 101"/>
        <xdr:cNvCxnSpPr/>
      </xdr:nvCxnSpPr>
      <xdr:spPr>
        <a:xfrm flipV="1">
          <a:off x="7349218" y="497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26</xdr:row>
      <xdr:rowOff>0</xdr:rowOff>
    </xdr:from>
    <xdr:to>
      <xdr:col>15</xdr:col>
      <xdr:colOff>0</xdr:colOff>
      <xdr:row>27</xdr:row>
      <xdr:rowOff>190501</xdr:rowOff>
    </xdr:to>
    <xdr:cxnSp macro="">
      <xdr:nvCxnSpPr>
        <xdr:cNvPr id="103" name="Straight Connector 102"/>
        <xdr:cNvCxnSpPr/>
      </xdr:nvCxnSpPr>
      <xdr:spPr>
        <a:xfrm flipV="1">
          <a:off x="8533039" y="4953000"/>
          <a:ext cx="61096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26</xdr:row>
      <xdr:rowOff>27215</xdr:rowOff>
    </xdr:from>
    <xdr:to>
      <xdr:col>10</xdr:col>
      <xdr:colOff>911678</xdr:colOff>
      <xdr:row>28</xdr:row>
      <xdr:rowOff>0</xdr:rowOff>
    </xdr:to>
    <xdr:cxnSp macro="">
      <xdr:nvCxnSpPr>
        <xdr:cNvPr id="104" name="Straight Connector 103"/>
        <xdr:cNvCxnSpPr/>
      </xdr:nvCxnSpPr>
      <xdr:spPr>
        <a:xfrm flipV="1">
          <a:off x="6096000" y="4980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26</xdr:row>
      <xdr:rowOff>13607</xdr:rowOff>
    </xdr:from>
    <xdr:to>
      <xdr:col>16</xdr:col>
      <xdr:colOff>0</xdr:colOff>
      <xdr:row>28</xdr:row>
      <xdr:rowOff>0</xdr:rowOff>
    </xdr:to>
    <xdr:cxnSp macro="">
      <xdr:nvCxnSpPr>
        <xdr:cNvPr id="105" name="Straight Connector 104"/>
        <xdr:cNvCxnSpPr/>
      </xdr:nvCxnSpPr>
      <xdr:spPr>
        <a:xfrm flipV="1">
          <a:off x="9171214" y="4966607"/>
          <a:ext cx="582386"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48</xdr:row>
      <xdr:rowOff>40821</xdr:rowOff>
    </xdr:from>
    <xdr:to>
      <xdr:col>15</xdr:col>
      <xdr:colOff>952500</xdr:colOff>
      <xdr:row>49</xdr:row>
      <xdr:rowOff>163285</xdr:rowOff>
    </xdr:to>
    <xdr:cxnSp macro="">
      <xdr:nvCxnSpPr>
        <xdr:cNvPr id="106" name="Straight Connector 105"/>
        <xdr:cNvCxnSpPr/>
      </xdr:nvCxnSpPr>
      <xdr:spPr>
        <a:xfrm flipV="1">
          <a:off x="9225642" y="9184821"/>
          <a:ext cx="52795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48</xdr:row>
      <xdr:rowOff>13607</xdr:rowOff>
    </xdr:from>
    <xdr:to>
      <xdr:col>10</xdr:col>
      <xdr:colOff>911677</xdr:colOff>
      <xdr:row>50</xdr:row>
      <xdr:rowOff>0</xdr:rowOff>
    </xdr:to>
    <xdr:cxnSp macro="">
      <xdr:nvCxnSpPr>
        <xdr:cNvPr id="107" name="Straight Connector 106"/>
        <xdr:cNvCxnSpPr/>
      </xdr:nvCxnSpPr>
      <xdr:spPr>
        <a:xfrm flipV="1">
          <a:off x="6109607" y="9157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48</xdr:row>
      <xdr:rowOff>13608</xdr:rowOff>
    </xdr:from>
    <xdr:to>
      <xdr:col>12</xdr:col>
      <xdr:colOff>27214</xdr:colOff>
      <xdr:row>49</xdr:row>
      <xdr:rowOff>190502</xdr:rowOff>
    </xdr:to>
    <xdr:cxnSp macro="">
      <xdr:nvCxnSpPr>
        <xdr:cNvPr id="108" name="Straight Connector 107"/>
        <xdr:cNvCxnSpPr/>
      </xdr:nvCxnSpPr>
      <xdr:spPr>
        <a:xfrm flipV="1">
          <a:off x="6787242" y="915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48</xdr:row>
      <xdr:rowOff>17011</xdr:rowOff>
    </xdr:from>
    <xdr:to>
      <xdr:col>12</xdr:col>
      <xdr:colOff>916780</xdr:colOff>
      <xdr:row>49</xdr:row>
      <xdr:rowOff>192201</xdr:rowOff>
    </xdr:to>
    <xdr:cxnSp macro="">
      <xdr:nvCxnSpPr>
        <xdr:cNvPr id="109" name="Straight Connector 108"/>
        <xdr:cNvCxnSpPr/>
      </xdr:nvCxnSpPr>
      <xdr:spPr>
        <a:xfrm flipV="1">
          <a:off x="7349218" y="916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48</xdr:row>
      <xdr:rowOff>54428</xdr:rowOff>
    </xdr:from>
    <xdr:to>
      <xdr:col>14</xdr:col>
      <xdr:colOff>884463</xdr:colOff>
      <xdr:row>49</xdr:row>
      <xdr:rowOff>163285</xdr:rowOff>
    </xdr:to>
    <xdr:cxnSp macro="">
      <xdr:nvCxnSpPr>
        <xdr:cNvPr id="110" name="Straight Connector 109"/>
        <xdr:cNvCxnSpPr/>
      </xdr:nvCxnSpPr>
      <xdr:spPr>
        <a:xfrm flipV="1">
          <a:off x="8537119" y="9198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50</xdr:row>
      <xdr:rowOff>27214</xdr:rowOff>
    </xdr:from>
    <xdr:to>
      <xdr:col>15</xdr:col>
      <xdr:colOff>898072</xdr:colOff>
      <xdr:row>51</xdr:row>
      <xdr:rowOff>149678</xdr:rowOff>
    </xdr:to>
    <xdr:cxnSp macro="">
      <xdr:nvCxnSpPr>
        <xdr:cNvPr id="111" name="Straight Connector 110"/>
        <xdr:cNvCxnSpPr/>
      </xdr:nvCxnSpPr>
      <xdr:spPr>
        <a:xfrm flipV="1">
          <a:off x="9171214" y="9552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50</xdr:row>
      <xdr:rowOff>13607</xdr:rowOff>
    </xdr:from>
    <xdr:to>
      <xdr:col>10</xdr:col>
      <xdr:colOff>911677</xdr:colOff>
      <xdr:row>52</xdr:row>
      <xdr:rowOff>0</xdr:rowOff>
    </xdr:to>
    <xdr:cxnSp macro="">
      <xdr:nvCxnSpPr>
        <xdr:cNvPr id="112" name="Straight Connector 111"/>
        <xdr:cNvCxnSpPr/>
      </xdr:nvCxnSpPr>
      <xdr:spPr>
        <a:xfrm flipV="1">
          <a:off x="6109607" y="9538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113" name="Straight Connector 112"/>
        <xdr:cNvCxnSpPr/>
      </xdr:nvCxnSpPr>
      <xdr:spPr>
        <a:xfrm flipV="1">
          <a:off x="6787242" y="953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114" name="Straight Connector 113"/>
        <xdr:cNvCxnSpPr/>
      </xdr:nvCxnSpPr>
      <xdr:spPr>
        <a:xfrm flipV="1">
          <a:off x="7349218" y="954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50</xdr:row>
      <xdr:rowOff>54428</xdr:rowOff>
    </xdr:from>
    <xdr:to>
      <xdr:col>14</xdr:col>
      <xdr:colOff>884463</xdr:colOff>
      <xdr:row>51</xdr:row>
      <xdr:rowOff>163285</xdr:rowOff>
    </xdr:to>
    <xdr:cxnSp macro="">
      <xdr:nvCxnSpPr>
        <xdr:cNvPr id="115" name="Straight Connector 114"/>
        <xdr:cNvCxnSpPr/>
      </xdr:nvCxnSpPr>
      <xdr:spPr>
        <a:xfrm flipV="1">
          <a:off x="8537119" y="9579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52</xdr:row>
      <xdr:rowOff>27214</xdr:rowOff>
    </xdr:from>
    <xdr:to>
      <xdr:col>15</xdr:col>
      <xdr:colOff>898072</xdr:colOff>
      <xdr:row>53</xdr:row>
      <xdr:rowOff>149678</xdr:rowOff>
    </xdr:to>
    <xdr:cxnSp macro="">
      <xdr:nvCxnSpPr>
        <xdr:cNvPr id="116" name="Straight Connector 115"/>
        <xdr:cNvCxnSpPr/>
      </xdr:nvCxnSpPr>
      <xdr:spPr>
        <a:xfrm flipV="1">
          <a:off x="9171214" y="9933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117" name="Straight Connector 116"/>
        <xdr:cNvCxnSpPr/>
      </xdr:nvCxnSpPr>
      <xdr:spPr>
        <a:xfrm flipV="1">
          <a:off x="6109607" y="9919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18" name="Straight Connector 117"/>
        <xdr:cNvCxnSpPr/>
      </xdr:nvCxnSpPr>
      <xdr:spPr>
        <a:xfrm flipV="1">
          <a:off x="6787242" y="991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19" name="Straight Connector 118"/>
        <xdr:cNvCxnSpPr/>
      </xdr:nvCxnSpPr>
      <xdr:spPr>
        <a:xfrm flipV="1">
          <a:off x="7349218" y="992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120" name="Straight Connector 119"/>
        <xdr:cNvCxnSpPr/>
      </xdr:nvCxnSpPr>
      <xdr:spPr>
        <a:xfrm flipV="1">
          <a:off x="8537119" y="9960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121" name="Straight Connector 120"/>
        <xdr:cNvCxnSpPr/>
      </xdr:nvCxnSpPr>
      <xdr:spPr>
        <a:xfrm flipV="1">
          <a:off x="9171214" y="10314214"/>
          <a:ext cx="585108" cy="3129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22" name="Straight Connector 121"/>
        <xdr:cNvCxnSpPr/>
      </xdr:nvCxnSpPr>
      <xdr:spPr>
        <a:xfrm flipV="1">
          <a:off x="6109607" y="10300607"/>
          <a:ext cx="593270" cy="3673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23" name="Straight Connector 122"/>
        <xdr:cNvCxnSpPr/>
      </xdr:nvCxnSpPr>
      <xdr:spPr>
        <a:xfrm flipV="1">
          <a:off x="6787242" y="1030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24" name="Straight Connector 123"/>
        <xdr:cNvCxnSpPr/>
      </xdr:nvCxnSpPr>
      <xdr:spPr>
        <a:xfrm flipV="1">
          <a:off x="7349218" y="1030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25" name="Straight Connector 124"/>
        <xdr:cNvCxnSpPr/>
      </xdr:nvCxnSpPr>
      <xdr:spPr>
        <a:xfrm flipV="1">
          <a:off x="8537119" y="10341428"/>
          <a:ext cx="605519" cy="29935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39</xdr:row>
      <xdr:rowOff>27216</xdr:rowOff>
    </xdr:from>
    <xdr:to>
      <xdr:col>16</xdr:col>
      <xdr:colOff>27215</xdr:colOff>
      <xdr:row>40</xdr:row>
      <xdr:rowOff>176893</xdr:rowOff>
    </xdr:to>
    <xdr:cxnSp macro="">
      <xdr:nvCxnSpPr>
        <xdr:cNvPr id="126" name="Straight Connector 125"/>
        <xdr:cNvCxnSpPr/>
      </xdr:nvCxnSpPr>
      <xdr:spPr>
        <a:xfrm flipV="1">
          <a:off x="9198428" y="74567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22</xdr:row>
      <xdr:rowOff>13608</xdr:rowOff>
    </xdr:from>
    <xdr:to>
      <xdr:col>12</xdr:col>
      <xdr:colOff>27214</xdr:colOff>
      <xdr:row>23</xdr:row>
      <xdr:rowOff>190502</xdr:rowOff>
    </xdr:to>
    <xdr:cxnSp macro="">
      <xdr:nvCxnSpPr>
        <xdr:cNvPr id="127" name="Straight Connector 126"/>
        <xdr:cNvCxnSpPr/>
      </xdr:nvCxnSpPr>
      <xdr:spPr>
        <a:xfrm flipV="1">
          <a:off x="6787242" y="4204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128" name="Straight Connector 127"/>
        <xdr:cNvCxnSpPr/>
      </xdr:nvCxnSpPr>
      <xdr:spPr>
        <a:xfrm flipV="1">
          <a:off x="7349218" y="4208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129" name="Straight Connector 128"/>
        <xdr:cNvCxnSpPr/>
      </xdr:nvCxnSpPr>
      <xdr:spPr>
        <a:xfrm flipV="1">
          <a:off x="8561613" y="4231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13609</xdr:rowOff>
    </xdr:from>
    <xdr:to>
      <xdr:col>10</xdr:col>
      <xdr:colOff>911678</xdr:colOff>
      <xdr:row>23</xdr:row>
      <xdr:rowOff>190501</xdr:rowOff>
    </xdr:to>
    <xdr:cxnSp macro="">
      <xdr:nvCxnSpPr>
        <xdr:cNvPr id="130" name="Straight Connector 129"/>
        <xdr:cNvCxnSpPr/>
      </xdr:nvCxnSpPr>
      <xdr:spPr>
        <a:xfrm flipV="1">
          <a:off x="6109607" y="4204609"/>
          <a:ext cx="593271"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131" name="Straight Connector 130"/>
        <xdr:cNvCxnSpPr/>
      </xdr:nvCxnSpPr>
      <xdr:spPr>
        <a:xfrm flipV="1">
          <a:off x="9198428" y="4218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28</xdr:row>
      <xdr:rowOff>13608</xdr:rowOff>
    </xdr:from>
    <xdr:to>
      <xdr:col>12</xdr:col>
      <xdr:colOff>27214</xdr:colOff>
      <xdr:row>29</xdr:row>
      <xdr:rowOff>190500</xdr:rowOff>
    </xdr:to>
    <xdr:cxnSp macro="">
      <xdr:nvCxnSpPr>
        <xdr:cNvPr id="132" name="Straight Connector 131"/>
        <xdr:cNvCxnSpPr/>
      </xdr:nvCxnSpPr>
      <xdr:spPr>
        <a:xfrm flipV="1">
          <a:off x="6732814" y="5347608"/>
          <a:ext cx="609600"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33" name="Straight Connector 132"/>
        <xdr:cNvCxnSpPr/>
      </xdr:nvCxnSpPr>
      <xdr:spPr>
        <a:xfrm flipV="1">
          <a:off x="7349218" y="535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27</xdr:row>
      <xdr:rowOff>190500</xdr:rowOff>
    </xdr:from>
    <xdr:to>
      <xdr:col>15</xdr:col>
      <xdr:colOff>27214</xdr:colOff>
      <xdr:row>29</xdr:row>
      <xdr:rowOff>176894</xdr:rowOff>
    </xdr:to>
    <xdr:cxnSp macro="">
      <xdr:nvCxnSpPr>
        <xdr:cNvPr id="134" name="Straight Connector 133"/>
        <xdr:cNvCxnSpPr/>
      </xdr:nvCxnSpPr>
      <xdr:spPr>
        <a:xfrm flipV="1">
          <a:off x="8561614" y="5334000"/>
          <a:ext cx="609600"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28</xdr:row>
      <xdr:rowOff>0</xdr:rowOff>
    </xdr:from>
    <xdr:to>
      <xdr:col>11</xdr:col>
      <xdr:colOff>13607</xdr:colOff>
      <xdr:row>29</xdr:row>
      <xdr:rowOff>176892</xdr:rowOff>
    </xdr:to>
    <xdr:cxnSp macro="">
      <xdr:nvCxnSpPr>
        <xdr:cNvPr id="135" name="Straight Connector 134"/>
        <xdr:cNvCxnSpPr/>
      </xdr:nvCxnSpPr>
      <xdr:spPr>
        <a:xfrm flipV="1">
          <a:off x="6123215" y="5334000"/>
          <a:ext cx="595992"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28</xdr:row>
      <xdr:rowOff>0</xdr:rowOff>
    </xdr:from>
    <xdr:to>
      <xdr:col>15</xdr:col>
      <xdr:colOff>952500</xdr:colOff>
      <xdr:row>29</xdr:row>
      <xdr:rowOff>190501</xdr:rowOff>
    </xdr:to>
    <xdr:cxnSp macro="">
      <xdr:nvCxnSpPr>
        <xdr:cNvPr id="136" name="Straight Connector 135"/>
        <xdr:cNvCxnSpPr/>
      </xdr:nvCxnSpPr>
      <xdr:spPr>
        <a:xfrm flipV="1">
          <a:off x="9141279" y="5334000"/>
          <a:ext cx="612321" cy="381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37" name="Straight Connector 136"/>
        <xdr:cNvCxnSpPr/>
      </xdr:nvCxnSpPr>
      <xdr:spPr>
        <a:xfrm flipV="1">
          <a:off x="6787242" y="1537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38" name="Straight Connector 137"/>
        <xdr:cNvCxnSpPr/>
      </xdr:nvCxnSpPr>
      <xdr:spPr>
        <a:xfrm flipV="1">
          <a:off x="7349218" y="1541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39" name="Straight Connector 138"/>
        <xdr:cNvCxnSpPr/>
      </xdr:nvCxnSpPr>
      <xdr:spPr>
        <a:xfrm flipV="1">
          <a:off x="8561613" y="1564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40" name="Straight Connector 139"/>
        <xdr:cNvCxnSpPr/>
      </xdr:nvCxnSpPr>
      <xdr:spPr>
        <a:xfrm flipV="1">
          <a:off x="6164035" y="1524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41" name="Straight Connector 140"/>
        <xdr:cNvCxnSpPr/>
      </xdr:nvCxnSpPr>
      <xdr:spPr>
        <a:xfrm flipV="1">
          <a:off x="9198428" y="1551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42" name="Straight Connector 141"/>
        <xdr:cNvCxnSpPr/>
      </xdr:nvCxnSpPr>
      <xdr:spPr>
        <a:xfrm flipV="1">
          <a:off x="6787242" y="77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43" name="Straight Connector 142"/>
        <xdr:cNvCxnSpPr/>
      </xdr:nvCxnSpPr>
      <xdr:spPr>
        <a:xfrm flipV="1">
          <a:off x="7349218" y="762000"/>
          <a:ext cx="589189" cy="382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44" name="Straight Connector 143"/>
        <xdr:cNvCxnSpPr/>
      </xdr:nvCxnSpPr>
      <xdr:spPr>
        <a:xfrm flipV="1">
          <a:off x="8561613" y="80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45" name="Straight Connector 144"/>
        <xdr:cNvCxnSpPr/>
      </xdr:nvCxnSpPr>
      <xdr:spPr>
        <a:xfrm flipV="1">
          <a:off x="6136821" y="775609"/>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46" name="Straight Connector 145"/>
        <xdr:cNvCxnSpPr/>
      </xdr:nvCxnSpPr>
      <xdr:spPr>
        <a:xfrm flipV="1">
          <a:off x="9198428" y="78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47" name="Straight Connector 146"/>
        <xdr:cNvCxnSpPr/>
      </xdr:nvCxnSpPr>
      <xdr:spPr>
        <a:xfrm flipV="1">
          <a:off x="6719207" y="3823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48" name="Straight Connector 147"/>
        <xdr:cNvCxnSpPr/>
      </xdr:nvCxnSpPr>
      <xdr:spPr>
        <a:xfrm flipV="1">
          <a:off x="7349218" y="3827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49" name="Straight Connector 148"/>
        <xdr:cNvCxnSpPr/>
      </xdr:nvCxnSpPr>
      <xdr:spPr>
        <a:xfrm flipV="1">
          <a:off x="8561613" y="3850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50" name="Straight Connector 149"/>
        <xdr:cNvCxnSpPr/>
      </xdr:nvCxnSpPr>
      <xdr:spPr>
        <a:xfrm flipV="1">
          <a:off x="6109607" y="3810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151" name="Straight Connector 150"/>
        <xdr:cNvCxnSpPr/>
      </xdr:nvCxnSpPr>
      <xdr:spPr>
        <a:xfrm flipV="1">
          <a:off x="9198428" y="3837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10</xdr:row>
      <xdr:rowOff>13609</xdr:rowOff>
    </xdr:from>
    <xdr:to>
      <xdr:col>12</xdr:col>
      <xdr:colOff>27214</xdr:colOff>
      <xdr:row>12</xdr:row>
      <xdr:rowOff>0</xdr:rowOff>
    </xdr:to>
    <xdr:cxnSp macro="">
      <xdr:nvCxnSpPr>
        <xdr:cNvPr id="152" name="Straight Connector 151"/>
        <xdr:cNvCxnSpPr/>
      </xdr:nvCxnSpPr>
      <xdr:spPr>
        <a:xfrm flipV="1">
          <a:off x="6719207" y="1918609"/>
          <a:ext cx="623207" cy="36739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53" name="Straight Connector 152"/>
        <xdr:cNvCxnSpPr/>
      </xdr:nvCxnSpPr>
      <xdr:spPr>
        <a:xfrm flipV="1">
          <a:off x="7349218" y="1922011"/>
          <a:ext cx="577962" cy="36569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54" name="Straight Connector 153"/>
        <xdr:cNvCxnSpPr/>
      </xdr:nvCxnSpPr>
      <xdr:spPr>
        <a:xfrm flipV="1">
          <a:off x="8561613" y="1945821"/>
          <a:ext cx="579665" cy="29935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xdr:row>
      <xdr:rowOff>2</xdr:rowOff>
    </xdr:from>
    <xdr:to>
      <xdr:col>11</xdr:col>
      <xdr:colOff>40820</xdr:colOff>
      <xdr:row>12</xdr:row>
      <xdr:rowOff>0</xdr:rowOff>
    </xdr:to>
    <xdr:cxnSp macro="">
      <xdr:nvCxnSpPr>
        <xdr:cNvPr id="155" name="Straight Connector 154"/>
        <xdr:cNvCxnSpPr/>
      </xdr:nvCxnSpPr>
      <xdr:spPr>
        <a:xfrm flipV="1">
          <a:off x="6109607" y="1905002"/>
          <a:ext cx="636813" cy="38099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56" name="Straight Connector 155"/>
        <xdr:cNvCxnSpPr/>
      </xdr:nvCxnSpPr>
      <xdr:spPr>
        <a:xfrm flipV="1">
          <a:off x="9198428" y="1932216"/>
          <a:ext cx="582387" cy="34017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157" name="Straight Connector 156"/>
        <xdr:cNvCxnSpPr/>
      </xdr:nvCxnSpPr>
      <xdr:spPr>
        <a:xfrm flipV="1">
          <a:off x="6787242" y="6871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58" name="Straight Connector 157"/>
        <xdr:cNvCxnSpPr/>
      </xdr:nvCxnSpPr>
      <xdr:spPr>
        <a:xfrm flipV="1">
          <a:off x="7349218" y="687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36</xdr:row>
      <xdr:rowOff>40821</xdr:rowOff>
    </xdr:from>
    <xdr:to>
      <xdr:col>14</xdr:col>
      <xdr:colOff>911678</xdr:colOff>
      <xdr:row>37</xdr:row>
      <xdr:rowOff>149677</xdr:rowOff>
    </xdr:to>
    <xdr:cxnSp macro="">
      <xdr:nvCxnSpPr>
        <xdr:cNvPr id="159" name="Straight Connector 158"/>
        <xdr:cNvCxnSpPr/>
      </xdr:nvCxnSpPr>
      <xdr:spPr>
        <a:xfrm flipV="1">
          <a:off x="8561613" y="689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160" name="Straight Connector 159"/>
        <xdr:cNvCxnSpPr/>
      </xdr:nvCxnSpPr>
      <xdr:spPr>
        <a:xfrm flipV="1">
          <a:off x="6096000" y="6885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161" name="Straight Connector 160"/>
        <xdr:cNvCxnSpPr/>
      </xdr:nvCxnSpPr>
      <xdr:spPr>
        <a:xfrm flipV="1">
          <a:off x="9198428" y="688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46</xdr:row>
      <xdr:rowOff>13608</xdr:rowOff>
    </xdr:from>
    <xdr:to>
      <xdr:col>12</xdr:col>
      <xdr:colOff>27214</xdr:colOff>
      <xdr:row>47</xdr:row>
      <xdr:rowOff>190502</xdr:rowOff>
    </xdr:to>
    <xdr:cxnSp macro="">
      <xdr:nvCxnSpPr>
        <xdr:cNvPr id="162" name="Straight Connector 161"/>
        <xdr:cNvCxnSpPr/>
      </xdr:nvCxnSpPr>
      <xdr:spPr>
        <a:xfrm flipV="1">
          <a:off x="6787242" y="877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46</xdr:row>
      <xdr:rowOff>17011</xdr:rowOff>
    </xdr:from>
    <xdr:to>
      <xdr:col>12</xdr:col>
      <xdr:colOff>916780</xdr:colOff>
      <xdr:row>47</xdr:row>
      <xdr:rowOff>192201</xdr:rowOff>
    </xdr:to>
    <xdr:cxnSp macro="">
      <xdr:nvCxnSpPr>
        <xdr:cNvPr id="163" name="Straight Connector 162"/>
        <xdr:cNvCxnSpPr/>
      </xdr:nvCxnSpPr>
      <xdr:spPr>
        <a:xfrm flipV="1">
          <a:off x="7349218" y="878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64" name="Straight Connector 163"/>
        <xdr:cNvCxnSpPr/>
      </xdr:nvCxnSpPr>
      <xdr:spPr>
        <a:xfrm flipV="1">
          <a:off x="6787242" y="5728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65" name="Straight Connector 164"/>
        <xdr:cNvCxnSpPr/>
      </xdr:nvCxnSpPr>
      <xdr:spPr>
        <a:xfrm flipV="1">
          <a:off x="7349218" y="5732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66" name="Straight Connector 165"/>
        <xdr:cNvCxnSpPr/>
      </xdr:nvCxnSpPr>
      <xdr:spPr>
        <a:xfrm flipV="1">
          <a:off x="8561613" y="5755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27215</xdr:rowOff>
    </xdr:from>
    <xdr:to>
      <xdr:col>10</xdr:col>
      <xdr:colOff>911678</xdr:colOff>
      <xdr:row>32</xdr:row>
      <xdr:rowOff>0</xdr:rowOff>
    </xdr:to>
    <xdr:cxnSp macro="">
      <xdr:nvCxnSpPr>
        <xdr:cNvPr id="167" name="Straight Connector 166"/>
        <xdr:cNvCxnSpPr/>
      </xdr:nvCxnSpPr>
      <xdr:spPr>
        <a:xfrm flipV="1">
          <a:off x="6096000" y="5742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68" name="Straight Connector 167"/>
        <xdr:cNvCxnSpPr/>
      </xdr:nvCxnSpPr>
      <xdr:spPr>
        <a:xfrm flipV="1">
          <a:off x="9198428" y="5742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24</xdr:row>
      <xdr:rowOff>13608</xdr:rowOff>
    </xdr:from>
    <xdr:to>
      <xdr:col>12</xdr:col>
      <xdr:colOff>27214</xdr:colOff>
      <xdr:row>25</xdr:row>
      <xdr:rowOff>190502</xdr:rowOff>
    </xdr:to>
    <xdr:cxnSp macro="">
      <xdr:nvCxnSpPr>
        <xdr:cNvPr id="169" name="Straight Connector 168"/>
        <xdr:cNvCxnSpPr/>
      </xdr:nvCxnSpPr>
      <xdr:spPr>
        <a:xfrm flipV="1">
          <a:off x="6787242" y="4585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70" name="Straight Connector 169"/>
        <xdr:cNvCxnSpPr/>
      </xdr:nvCxnSpPr>
      <xdr:spPr>
        <a:xfrm flipV="1">
          <a:off x="7349218" y="4589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71" name="Straight Connector 170"/>
        <xdr:cNvCxnSpPr/>
      </xdr:nvCxnSpPr>
      <xdr:spPr>
        <a:xfrm flipV="1">
          <a:off x="8561613" y="4612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24</xdr:row>
      <xdr:rowOff>27216</xdr:rowOff>
    </xdr:from>
    <xdr:to>
      <xdr:col>10</xdr:col>
      <xdr:colOff>898071</xdr:colOff>
      <xdr:row>26</xdr:row>
      <xdr:rowOff>0</xdr:rowOff>
    </xdr:to>
    <xdr:cxnSp macro="">
      <xdr:nvCxnSpPr>
        <xdr:cNvPr id="172" name="Straight Connector 171"/>
        <xdr:cNvCxnSpPr/>
      </xdr:nvCxnSpPr>
      <xdr:spPr>
        <a:xfrm flipV="1">
          <a:off x="6096000" y="4599216"/>
          <a:ext cx="612321"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73" name="Straight Connector 172"/>
        <xdr:cNvCxnSpPr/>
      </xdr:nvCxnSpPr>
      <xdr:spPr>
        <a:xfrm flipV="1">
          <a:off x="9198428" y="4599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174" name="Straight Connector 173"/>
        <xdr:cNvCxnSpPr/>
      </xdr:nvCxnSpPr>
      <xdr:spPr>
        <a:xfrm flipV="1">
          <a:off x="6787242" y="6109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75" name="Straight Connector 174"/>
        <xdr:cNvCxnSpPr/>
      </xdr:nvCxnSpPr>
      <xdr:spPr>
        <a:xfrm flipV="1">
          <a:off x="7349218" y="611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176" name="Straight Connector 175"/>
        <xdr:cNvCxnSpPr/>
      </xdr:nvCxnSpPr>
      <xdr:spPr>
        <a:xfrm flipV="1">
          <a:off x="8561613" y="613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27215</xdr:rowOff>
    </xdr:from>
    <xdr:to>
      <xdr:col>10</xdr:col>
      <xdr:colOff>911678</xdr:colOff>
      <xdr:row>34</xdr:row>
      <xdr:rowOff>0</xdr:rowOff>
    </xdr:to>
    <xdr:cxnSp macro="">
      <xdr:nvCxnSpPr>
        <xdr:cNvPr id="177" name="Straight Connector 176"/>
        <xdr:cNvCxnSpPr/>
      </xdr:nvCxnSpPr>
      <xdr:spPr>
        <a:xfrm flipV="1">
          <a:off x="6096000" y="6123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178" name="Straight Connector 177"/>
        <xdr:cNvCxnSpPr/>
      </xdr:nvCxnSpPr>
      <xdr:spPr>
        <a:xfrm flipV="1">
          <a:off x="9198428" y="612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14</xdr:row>
      <xdr:rowOff>13609</xdr:rowOff>
    </xdr:from>
    <xdr:to>
      <xdr:col>12</xdr:col>
      <xdr:colOff>27214</xdr:colOff>
      <xdr:row>16</xdr:row>
      <xdr:rowOff>0</xdr:rowOff>
    </xdr:to>
    <xdr:cxnSp macro="">
      <xdr:nvCxnSpPr>
        <xdr:cNvPr id="179" name="Straight Connector 178"/>
        <xdr:cNvCxnSpPr/>
      </xdr:nvCxnSpPr>
      <xdr:spPr>
        <a:xfrm flipV="1">
          <a:off x="6719207" y="2680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80" name="Straight Connector 179"/>
        <xdr:cNvCxnSpPr/>
      </xdr:nvCxnSpPr>
      <xdr:spPr>
        <a:xfrm flipV="1">
          <a:off x="7349218" y="268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81" name="Straight Connector 180"/>
        <xdr:cNvCxnSpPr/>
      </xdr:nvCxnSpPr>
      <xdr:spPr>
        <a:xfrm flipV="1">
          <a:off x="8561613" y="270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14</xdr:row>
      <xdr:rowOff>2</xdr:rowOff>
    </xdr:from>
    <xdr:to>
      <xdr:col>11</xdr:col>
      <xdr:colOff>40820</xdr:colOff>
      <xdr:row>16</xdr:row>
      <xdr:rowOff>0</xdr:rowOff>
    </xdr:to>
    <xdr:cxnSp macro="">
      <xdr:nvCxnSpPr>
        <xdr:cNvPr id="182" name="Straight Connector 181"/>
        <xdr:cNvCxnSpPr/>
      </xdr:nvCxnSpPr>
      <xdr:spPr>
        <a:xfrm flipV="1">
          <a:off x="6109607" y="2667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83" name="Straight Connector 182"/>
        <xdr:cNvCxnSpPr/>
      </xdr:nvCxnSpPr>
      <xdr:spPr>
        <a:xfrm flipV="1">
          <a:off x="9198428" y="269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84" name="Straight Connector 183"/>
        <xdr:cNvCxnSpPr/>
      </xdr:nvCxnSpPr>
      <xdr:spPr>
        <a:xfrm flipV="1">
          <a:off x="6787242" y="1156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85" name="Straight Connector 184"/>
        <xdr:cNvCxnSpPr/>
      </xdr:nvCxnSpPr>
      <xdr:spPr>
        <a:xfrm flipV="1">
          <a:off x="7349218" y="1160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86" name="Straight Connector 185"/>
        <xdr:cNvCxnSpPr/>
      </xdr:nvCxnSpPr>
      <xdr:spPr>
        <a:xfrm flipV="1">
          <a:off x="8561613" y="1183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87" name="Straight Connector 186"/>
        <xdr:cNvCxnSpPr/>
      </xdr:nvCxnSpPr>
      <xdr:spPr>
        <a:xfrm flipV="1">
          <a:off x="6164035" y="1143002"/>
          <a:ext cx="582385"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88" name="Straight Connector 187"/>
        <xdr:cNvCxnSpPr/>
      </xdr:nvCxnSpPr>
      <xdr:spPr>
        <a:xfrm flipV="1">
          <a:off x="9198428" y="1170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66</xdr:row>
      <xdr:rowOff>13608</xdr:rowOff>
    </xdr:from>
    <xdr:to>
      <xdr:col>11</xdr:col>
      <xdr:colOff>898071</xdr:colOff>
      <xdr:row>67</xdr:row>
      <xdr:rowOff>190502</xdr:rowOff>
    </xdr:to>
    <xdr:cxnSp macro="">
      <xdr:nvCxnSpPr>
        <xdr:cNvPr id="189" name="Straight Connector 188"/>
        <xdr:cNvCxnSpPr/>
      </xdr:nvCxnSpPr>
      <xdr:spPr>
        <a:xfrm flipV="1">
          <a:off x="6719207" y="12586608"/>
          <a:ext cx="598714"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66</xdr:row>
      <xdr:rowOff>40824</xdr:rowOff>
    </xdr:from>
    <xdr:to>
      <xdr:col>12</xdr:col>
      <xdr:colOff>898072</xdr:colOff>
      <xdr:row>67</xdr:row>
      <xdr:rowOff>190500</xdr:rowOff>
    </xdr:to>
    <xdr:cxnSp macro="">
      <xdr:nvCxnSpPr>
        <xdr:cNvPr id="190" name="Straight Connector 189"/>
        <xdr:cNvCxnSpPr/>
      </xdr:nvCxnSpPr>
      <xdr:spPr>
        <a:xfrm flipV="1">
          <a:off x="7315200" y="12613824"/>
          <a:ext cx="612322" cy="3401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66</xdr:row>
      <xdr:rowOff>40824</xdr:rowOff>
    </xdr:from>
    <xdr:to>
      <xdr:col>14</xdr:col>
      <xdr:colOff>884465</xdr:colOff>
      <xdr:row>67</xdr:row>
      <xdr:rowOff>176893</xdr:rowOff>
    </xdr:to>
    <xdr:cxnSp macro="">
      <xdr:nvCxnSpPr>
        <xdr:cNvPr id="191" name="Straight Connector 190"/>
        <xdr:cNvCxnSpPr/>
      </xdr:nvCxnSpPr>
      <xdr:spPr>
        <a:xfrm flipV="1">
          <a:off x="8561614" y="12613824"/>
          <a:ext cx="581026" cy="3265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66</xdr:row>
      <xdr:rowOff>13608</xdr:rowOff>
    </xdr:from>
    <xdr:to>
      <xdr:col>10</xdr:col>
      <xdr:colOff>884464</xdr:colOff>
      <xdr:row>68</xdr:row>
      <xdr:rowOff>0</xdr:rowOff>
    </xdr:to>
    <xdr:cxnSp macro="">
      <xdr:nvCxnSpPr>
        <xdr:cNvPr id="192" name="Straight Connector 191"/>
        <xdr:cNvCxnSpPr/>
      </xdr:nvCxnSpPr>
      <xdr:spPr>
        <a:xfrm flipV="1">
          <a:off x="6097361" y="12586608"/>
          <a:ext cx="606878" cy="3673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66</xdr:row>
      <xdr:rowOff>27217</xdr:rowOff>
    </xdr:from>
    <xdr:to>
      <xdr:col>15</xdr:col>
      <xdr:colOff>938894</xdr:colOff>
      <xdr:row>67</xdr:row>
      <xdr:rowOff>201084</xdr:rowOff>
    </xdr:to>
    <xdr:cxnSp macro="">
      <xdr:nvCxnSpPr>
        <xdr:cNvPr id="193" name="Straight Connector 192"/>
        <xdr:cNvCxnSpPr/>
      </xdr:nvCxnSpPr>
      <xdr:spPr>
        <a:xfrm flipV="1">
          <a:off x="9154584" y="12600217"/>
          <a:ext cx="594935" cy="354842"/>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12</xdr:row>
      <xdr:rowOff>13609</xdr:rowOff>
    </xdr:from>
    <xdr:to>
      <xdr:col>12</xdr:col>
      <xdr:colOff>27214</xdr:colOff>
      <xdr:row>14</xdr:row>
      <xdr:rowOff>0</xdr:rowOff>
    </xdr:to>
    <xdr:cxnSp macro="">
      <xdr:nvCxnSpPr>
        <xdr:cNvPr id="194" name="Straight Connector 193"/>
        <xdr:cNvCxnSpPr/>
      </xdr:nvCxnSpPr>
      <xdr:spPr>
        <a:xfrm flipV="1">
          <a:off x="6719207" y="2299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195" name="Straight Connector 194"/>
        <xdr:cNvCxnSpPr/>
      </xdr:nvCxnSpPr>
      <xdr:spPr>
        <a:xfrm flipV="1">
          <a:off x="7349218" y="2303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196" name="Straight Connector 195"/>
        <xdr:cNvCxnSpPr/>
      </xdr:nvCxnSpPr>
      <xdr:spPr>
        <a:xfrm flipV="1">
          <a:off x="8561613" y="2326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12</xdr:row>
      <xdr:rowOff>2</xdr:rowOff>
    </xdr:from>
    <xdr:to>
      <xdr:col>11</xdr:col>
      <xdr:colOff>40820</xdr:colOff>
      <xdr:row>14</xdr:row>
      <xdr:rowOff>0</xdr:rowOff>
    </xdr:to>
    <xdr:cxnSp macro="">
      <xdr:nvCxnSpPr>
        <xdr:cNvPr id="197" name="Straight Connector 196"/>
        <xdr:cNvCxnSpPr/>
      </xdr:nvCxnSpPr>
      <xdr:spPr>
        <a:xfrm flipV="1">
          <a:off x="6109607" y="2286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198" name="Straight Connector 197"/>
        <xdr:cNvCxnSpPr/>
      </xdr:nvCxnSpPr>
      <xdr:spPr>
        <a:xfrm flipV="1">
          <a:off x="9198428" y="2313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68</xdr:row>
      <xdr:rowOff>27219</xdr:rowOff>
    </xdr:from>
    <xdr:to>
      <xdr:col>15</xdr:col>
      <xdr:colOff>938894</xdr:colOff>
      <xdr:row>70</xdr:row>
      <xdr:rowOff>10583</xdr:rowOff>
    </xdr:to>
    <xdr:cxnSp macro="">
      <xdr:nvCxnSpPr>
        <xdr:cNvPr id="199" name="Straight Connector 198"/>
        <xdr:cNvCxnSpPr/>
      </xdr:nvCxnSpPr>
      <xdr:spPr>
        <a:xfrm flipV="1">
          <a:off x="9154584" y="12981219"/>
          <a:ext cx="594935" cy="364364"/>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200" name="Straight Connector 199"/>
        <xdr:cNvCxnSpPr/>
      </xdr:nvCxnSpPr>
      <xdr:spPr>
        <a:xfrm flipV="1">
          <a:off x="6719207" y="3061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201" name="Straight Connector 200"/>
        <xdr:cNvCxnSpPr/>
      </xdr:nvCxnSpPr>
      <xdr:spPr>
        <a:xfrm flipV="1">
          <a:off x="7349218" y="3065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202" name="Straight Connector 201"/>
        <xdr:cNvCxnSpPr/>
      </xdr:nvCxnSpPr>
      <xdr:spPr>
        <a:xfrm flipV="1">
          <a:off x="8561613" y="3088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203" name="Straight Connector 202"/>
        <xdr:cNvCxnSpPr/>
      </xdr:nvCxnSpPr>
      <xdr:spPr>
        <a:xfrm flipV="1">
          <a:off x="6109607" y="3048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204" name="Straight Connector 203"/>
        <xdr:cNvCxnSpPr/>
      </xdr:nvCxnSpPr>
      <xdr:spPr>
        <a:xfrm flipV="1">
          <a:off x="9198428" y="3075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205" name="Straight Connector 204"/>
        <xdr:cNvCxnSpPr/>
      </xdr:nvCxnSpPr>
      <xdr:spPr>
        <a:xfrm flipV="1">
          <a:off x="6719207" y="3442609"/>
          <a:ext cx="623207" cy="36739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206" name="Straight Connector 205"/>
        <xdr:cNvCxnSpPr/>
      </xdr:nvCxnSpPr>
      <xdr:spPr>
        <a:xfrm flipV="1">
          <a:off x="7349218" y="3446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207" name="Straight Connector 206"/>
        <xdr:cNvCxnSpPr/>
      </xdr:nvCxnSpPr>
      <xdr:spPr>
        <a:xfrm flipV="1">
          <a:off x="8561613" y="3469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208" name="Straight Connector 207"/>
        <xdr:cNvCxnSpPr/>
      </xdr:nvCxnSpPr>
      <xdr:spPr>
        <a:xfrm flipV="1">
          <a:off x="6109607" y="3429002"/>
          <a:ext cx="636813" cy="380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209" name="Straight Connector 208"/>
        <xdr:cNvCxnSpPr/>
      </xdr:nvCxnSpPr>
      <xdr:spPr>
        <a:xfrm flipV="1">
          <a:off x="9198428" y="3456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34</xdr:row>
      <xdr:rowOff>13608</xdr:rowOff>
    </xdr:from>
    <xdr:to>
      <xdr:col>12</xdr:col>
      <xdr:colOff>27214</xdr:colOff>
      <xdr:row>35</xdr:row>
      <xdr:rowOff>190502</xdr:rowOff>
    </xdr:to>
    <xdr:cxnSp macro="">
      <xdr:nvCxnSpPr>
        <xdr:cNvPr id="210" name="Straight Connector 209"/>
        <xdr:cNvCxnSpPr/>
      </xdr:nvCxnSpPr>
      <xdr:spPr>
        <a:xfrm flipV="1">
          <a:off x="6787242" y="6490608"/>
          <a:ext cx="555172" cy="3673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211" name="Straight Connector 210"/>
        <xdr:cNvCxnSpPr/>
      </xdr:nvCxnSpPr>
      <xdr:spPr>
        <a:xfrm flipV="1">
          <a:off x="7349218" y="6494011"/>
          <a:ext cx="577962" cy="365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34</xdr:row>
      <xdr:rowOff>40821</xdr:rowOff>
    </xdr:from>
    <xdr:to>
      <xdr:col>14</xdr:col>
      <xdr:colOff>911678</xdr:colOff>
      <xdr:row>35</xdr:row>
      <xdr:rowOff>149677</xdr:rowOff>
    </xdr:to>
    <xdr:cxnSp macro="">
      <xdr:nvCxnSpPr>
        <xdr:cNvPr id="212" name="Straight Connector 211"/>
        <xdr:cNvCxnSpPr/>
      </xdr:nvCxnSpPr>
      <xdr:spPr>
        <a:xfrm flipV="1">
          <a:off x="8561613" y="6517821"/>
          <a:ext cx="579665" cy="29935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27215</xdr:rowOff>
    </xdr:from>
    <xdr:to>
      <xdr:col>10</xdr:col>
      <xdr:colOff>911678</xdr:colOff>
      <xdr:row>36</xdr:row>
      <xdr:rowOff>0</xdr:rowOff>
    </xdr:to>
    <xdr:cxnSp macro="">
      <xdr:nvCxnSpPr>
        <xdr:cNvPr id="213" name="Straight Connector 212"/>
        <xdr:cNvCxnSpPr/>
      </xdr:nvCxnSpPr>
      <xdr:spPr>
        <a:xfrm flipV="1">
          <a:off x="6096000" y="6504215"/>
          <a:ext cx="606878" cy="3537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214" name="Straight Connector 213"/>
        <xdr:cNvCxnSpPr/>
      </xdr:nvCxnSpPr>
      <xdr:spPr>
        <a:xfrm flipV="1">
          <a:off x="9198428" y="6504216"/>
          <a:ext cx="582387" cy="3401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215" name="Straight Connector 214"/>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216" name="Straight Connector 215"/>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217" name="Straight Connector 216"/>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218" name="Straight Connector 217"/>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219" name="Straight Connector 218"/>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220" name="Straight Connector 219"/>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221" name="Straight Connector 220"/>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222" name="Straight Connector 221"/>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223" name="Straight Connector 222"/>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224" name="Straight Connector 223"/>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26</xdr:row>
      <xdr:rowOff>27216</xdr:rowOff>
    </xdr:from>
    <xdr:to>
      <xdr:col>16</xdr:col>
      <xdr:colOff>27215</xdr:colOff>
      <xdr:row>27</xdr:row>
      <xdr:rowOff>176893</xdr:rowOff>
    </xdr:to>
    <xdr:cxnSp macro="">
      <xdr:nvCxnSpPr>
        <xdr:cNvPr id="225" name="Straight Connector 224"/>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28</xdr:row>
      <xdr:rowOff>27216</xdr:rowOff>
    </xdr:from>
    <xdr:to>
      <xdr:col>16</xdr:col>
      <xdr:colOff>27215</xdr:colOff>
      <xdr:row>29</xdr:row>
      <xdr:rowOff>176893</xdr:rowOff>
    </xdr:to>
    <xdr:cxnSp macro="">
      <xdr:nvCxnSpPr>
        <xdr:cNvPr id="226" name="Straight Connector 225"/>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227" name="Straight Connector 226"/>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228" name="Straight Connector 227"/>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229" name="Straight Connector 228"/>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230" name="Straight Connector 229"/>
        <xdr:cNvCxnSpPr/>
      </xdr:nvCxnSpPr>
      <xdr:spPr>
        <a:xfrm flipV="1">
          <a:off x="13457464" y="2190752"/>
          <a:ext cx="938894" cy="35378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13607</xdr:colOff>
      <xdr:row>64</xdr:row>
      <xdr:rowOff>13608</xdr:rowOff>
    </xdr:from>
    <xdr:to>
      <xdr:col>11</xdr:col>
      <xdr:colOff>898071</xdr:colOff>
      <xdr:row>65</xdr:row>
      <xdr:rowOff>190502</xdr:rowOff>
    </xdr:to>
    <xdr:cxnSp macro="">
      <xdr:nvCxnSpPr>
        <xdr:cNvPr id="2" name="Straight Connector 1"/>
        <xdr:cNvCxnSpPr/>
      </xdr:nvCxnSpPr>
      <xdr:spPr>
        <a:xfrm flipV="1">
          <a:off x="9691007" y="11849100"/>
          <a:ext cx="88446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64</xdr:row>
      <xdr:rowOff>40824</xdr:rowOff>
    </xdr:from>
    <xdr:to>
      <xdr:col>12</xdr:col>
      <xdr:colOff>898072</xdr:colOff>
      <xdr:row>65</xdr:row>
      <xdr:rowOff>190500</xdr:rowOff>
    </xdr:to>
    <xdr:cxnSp macro="">
      <xdr:nvCxnSpPr>
        <xdr:cNvPr id="3" name="Straight Connector 2"/>
        <xdr:cNvCxnSpPr/>
      </xdr:nvCxnSpPr>
      <xdr:spPr>
        <a:xfrm flipV="1">
          <a:off x="10620375" y="11849100"/>
          <a:ext cx="89807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64</xdr:row>
      <xdr:rowOff>40824</xdr:rowOff>
    </xdr:from>
    <xdr:to>
      <xdr:col>14</xdr:col>
      <xdr:colOff>884465</xdr:colOff>
      <xdr:row>65</xdr:row>
      <xdr:rowOff>176893</xdr:rowOff>
    </xdr:to>
    <xdr:cxnSp macro="">
      <xdr:nvCxnSpPr>
        <xdr:cNvPr id="4" name="Straight Connector 3"/>
        <xdr:cNvCxnSpPr/>
      </xdr:nvCxnSpPr>
      <xdr:spPr>
        <a:xfrm flipV="1">
          <a:off x="12504964" y="11849100"/>
          <a:ext cx="85725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64</xdr:row>
      <xdr:rowOff>27214</xdr:rowOff>
    </xdr:from>
    <xdr:to>
      <xdr:col>16</xdr:col>
      <xdr:colOff>0</xdr:colOff>
      <xdr:row>66</xdr:row>
      <xdr:rowOff>0</xdr:rowOff>
    </xdr:to>
    <xdr:cxnSp macro="">
      <xdr:nvCxnSpPr>
        <xdr:cNvPr id="5" name="Straight Connector 4"/>
        <xdr:cNvCxnSpPr/>
      </xdr:nvCxnSpPr>
      <xdr:spPr>
        <a:xfrm flipV="1">
          <a:off x="13401676" y="11849100"/>
          <a:ext cx="96202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54429</xdr:colOff>
      <xdr:row>64</xdr:row>
      <xdr:rowOff>1</xdr:rowOff>
    </xdr:from>
    <xdr:to>
      <xdr:col>11</xdr:col>
      <xdr:colOff>13607</xdr:colOff>
      <xdr:row>65</xdr:row>
      <xdr:rowOff>176895</xdr:rowOff>
    </xdr:to>
    <xdr:cxnSp macro="">
      <xdr:nvCxnSpPr>
        <xdr:cNvPr id="6" name="Straight Connector 5"/>
        <xdr:cNvCxnSpPr/>
      </xdr:nvCxnSpPr>
      <xdr:spPr>
        <a:xfrm flipV="1">
          <a:off x="8807904" y="11849100"/>
          <a:ext cx="883103"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68</xdr:row>
      <xdr:rowOff>13608</xdr:rowOff>
    </xdr:from>
    <xdr:to>
      <xdr:col>11</xdr:col>
      <xdr:colOff>898071</xdr:colOff>
      <xdr:row>69</xdr:row>
      <xdr:rowOff>190502</xdr:rowOff>
    </xdr:to>
    <xdr:cxnSp macro="">
      <xdr:nvCxnSpPr>
        <xdr:cNvPr id="7" name="Straight Connector 6"/>
        <xdr:cNvCxnSpPr/>
      </xdr:nvCxnSpPr>
      <xdr:spPr>
        <a:xfrm flipV="1">
          <a:off x="9691007" y="12296775"/>
          <a:ext cx="88446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68</xdr:row>
      <xdr:rowOff>40824</xdr:rowOff>
    </xdr:from>
    <xdr:to>
      <xdr:col>12</xdr:col>
      <xdr:colOff>898072</xdr:colOff>
      <xdr:row>69</xdr:row>
      <xdr:rowOff>190500</xdr:rowOff>
    </xdr:to>
    <xdr:cxnSp macro="">
      <xdr:nvCxnSpPr>
        <xdr:cNvPr id="8" name="Straight Connector 7"/>
        <xdr:cNvCxnSpPr/>
      </xdr:nvCxnSpPr>
      <xdr:spPr>
        <a:xfrm flipV="1">
          <a:off x="10620375" y="12296775"/>
          <a:ext cx="89807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68</xdr:row>
      <xdr:rowOff>40824</xdr:rowOff>
    </xdr:from>
    <xdr:to>
      <xdr:col>14</xdr:col>
      <xdr:colOff>884465</xdr:colOff>
      <xdr:row>69</xdr:row>
      <xdr:rowOff>176893</xdr:rowOff>
    </xdr:to>
    <xdr:cxnSp macro="">
      <xdr:nvCxnSpPr>
        <xdr:cNvPr id="9" name="Straight Connector 8"/>
        <xdr:cNvCxnSpPr/>
      </xdr:nvCxnSpPr>
      <xdr:spPr>
        <a:xfrm flipV="1">
          <a:off x="12504964" y="12296775"/>
          <a:ext cx="85725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68</xdr:row>
      <xdr:rowOff>13608</xdr:rowOff>
    </xdr:from>
    <xdr:to>
      <xdr:col>10</xdr:col>
      <xdr:colOff>884464</xdr:colOff>
      <xdr:row>70</xdr:row>
      <xdr:rowOff>0</xdr:rowOff>
    </xdr:to>
    <xdr:cxnSp macro="">
      <xdr:nvCxnSpPr>
        <xdr:cNvPr id="10" name="Straight Connector 9"/>
        <xdr:cNvCxnSpPr/>
      </xdr:nvCxnSpPr>
      <xdr:spPr>
        <a:xfrm flipV="1">
          <a:off x="8707211" y="12296775"/>
          <a:ext cx="93072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77</xdr:row>
      <xdr:rowOff>13608</xdr:rowOff>
    </xdr:from>
    <xdr:to>
      <xdr:col>12</xdr:col>
      <xdr:colOff>27214</xdr:colOff>
      <xdr:row>78</xdr:row>
      <xdr:rowOff>190502</xdr:rowOff>
    </xdr:to>
    <xdr:cxnSp macro="">
      <xdr:nvCxnSpPr>
        <xdr:cNvPr id="11" name="Straight Connector 10"/>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77</xdr:row>
      <xdr:rowOff>13608</xdr:rowOff>
    </xdr:from>
    <xdr:to>
      <xdr:col>11</xdr:col>
      <xdr:colOff>51026</xdr:colOff>
      <xdr:row>79</xdr:row>
      <xdr:rowOff>0</xdr:rowOff>
    </xdr:to>
    <xdr:cxnSp macro="">
      <xdr:nvCxnSpPr>
        <xdr:cNvPr id="12" name="Straight Connector 11"/>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77</xdr:row>
      <xdr:rowOff>17011</xdr:rowOff>
    </xdr:from>
    <xdr:to>
      <xdr:col>12</xdr:col>
      <xdr:colOff>916780</xdr:colOff>
      <xdr:row>78</xdr:row>
      <xdr:rowOff>192201</xdr:rowOff>
    </xdr:to>
    <xdr:cxnSp macro="">
      <xdr:nvCxnSpPr>
        <xdr:cNvPr id="13" name="Straight Connector 12"/>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77</xdr:row>
      <xdr:rowOff>18714</xdr:rowOff>
    </xdr:from>
    <xdr:to>
      <xdr:col>15</xdr:col>
      <xdr:colOff>887864</xdr:colOff>
      <xdr:row>78</xdr:row>
      <xdr:rowOff>190500</xdr:rowOff>
    </xdr:to>
    <xdr:cxnSp macro="">
      <xdr:nvCxnSpPr>
        <xdr:cNvPr id="14" name="Straight Connector 13"/>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79</xdr:row>
      <xdr:rowOff>13608</xdr:rowOff>
    </xdr:from>
    <xdr:to>
      <xdr:col>12</xdr:col>
      <xdr:colOff>27214</xdr:colOff>
      <xdr:row>80</xdr:row>
      <xdr:rowOff>190502</xdr:rowOff>
    </xdr:to>
    <xdr:cxnSp macro="">
      <xdr:nvCxnSpPr>
        <xdr:cNvPr id="15" name="Straight Connector 14"/>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79</xdr:row>
      <xdr:rowOff>13608</xdr:rowOff>
    </xdr:from>
    <xdr:to>
      <xdr:col>11</xdr:col>
      <xdr:colOff>51026</xdr:colOff>
      <xdr:row>81</xdr:row>
      <xdr:rowOff>0</xdr:rowOff>
    </xdr:to>
    <xdr:cxnSp macro="">
      <xdr:nvCxnSpPr>
        <xdr:cNvPr id="16" name="Straight Connector 15"/>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79</xdr:row>
      <xdr:rowOff>17011</xdr:rowOff>
    </xdr:from>
    <xdr:to>
      <xdr:col>12</xdr:col>
      <xdr:colOff>916780</xdr:colOff>
      <xdr:row>80</xdr:row>
      <xdr:rowOff>192201</xdr:rowOff>
    </xdr:to>
    <xdr:cxnSp macro="">
      <xdr:nvCxnSpPr>
        <xdr:cNvPr id="17" name="Straight Connector 16"/>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79</xdr:row>
      <xdr:rowOff>18714</xdr:rowOff>
    </xdr:from>
    <xdr:to>
      <xdr:col>15</xdr:col>
      <xdr:colOff>887864</xdr:colOff>
      <xdr:row>80</xdr:row>
      <xdr:rowOff>190500</xdr:rowOff>
    </xdr:to>
    <xdr:cxnSp macro="">
      <xdr:nvCxnSpPr>
        <xdr:cNvPr id="18" name="Straight Connector 17"/>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82</xdr:row>
      <xdr:rowOff>13608</xdr:rowOff>
    </xdr:from>
    <xdr:to>
      <xdr:col>12</xdr:col>
      <xdr:colOff>27214</xdr:colOff>
      <xdr:row>83</xdr:row>
      <xdr:rowOff>190502</xdr:rowOff>
    </xdr:to>
    <xdr:cxnSp macro="">
      <xdr:nvCxnSpPr>
        <xdr:cNvPr id="19" name="Straight Connector 18"/>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82</xdr:row>
      <xdr:rowOff>13608</xdr:rowOff>
    </xdr:from>
    <xdr:to>
      <xdr:col>11</xdr:col>
      <xdr:colOff>51026</xdr:colOff>
      <xdr:row>84</xdr:row>
      <xdr:rowOff>0</xdr:rowOff>
    </xdr:to>
    <xdr:cxnSp macro="">
      <xdr:nvCxnSpPr>
        <xdr:cNvPr id="20" name="Straight Connector 19"/>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82</xdr:row>
      <xdr:rowOff>17011</xdr:rowOff>
    </xdr:from>
    <xdr:to>
      <xdr:col>12</xdr:col>
      <xdr:colOff>916780</xdr:colOff>
      <xdr:row>83</xdr:row>
      <xdr:rowOff>192201</xdr:rowOff>
    </xdr:to>
    <xdr:cxnSp macro="">
      <xdr:nvCxnSpPr>
        <xdr:cNvPr id="21" name="Straight Connector 20"/>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82</xdr:row>
      <xdr:rowOff>18714</xdr:rowOff>
    </xdr:from>
    <xdr:to>
      <xdr:col>15</xdr:col>
      <xdr:colOff>887864</xdr:colOff>
      <xdr:row>83</xdr:row>
      <xdr:rowOff>190500</xdr:rowOff>
    </xdr:to>
    <xdr:cxnSp macro="">
      <xdr:nvCxnSpPr>
        <xdr:cNvPr id="22" name="Straight Connector 21"/>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84</xdr:row>
      <xdr:rowOff>13608</xdr:rowOff>
    </xdr:from>
    <xdr:to>
      <xdr:col>12</xdr:col>
      <xdr:colOff>27214</xdr:colOff>
      <xdr:row>85</xdr:row>
      <xdr:rowOff>190502</xdr:rowOff>
    </xdr:to>
    <xdr:cxnSp macro="">
      <xdr:nvCxnSpPr>
        <xdr:cNvPr id="23" name="Straight Connector 22"/>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84</xdr:row>
      <xdr:rowOff>13608</xdr:rowOff>
    </xdr:from>
    <xdr:to>
      <xdr:col>11</xdr:col>
      <xdr:colOff>51026</xdr:colOff>
      <xdr:row>86</xdr:row>
      <xdr:rowOff>0</xdr:rowOff>
    </xdr:to>
    <xdr:cxnSp macro="">
      <xdr:nvCxnSpPr>
        <xdr:cNvPr id="24" name="Straight Connector 23"/>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84</xdr:row>
      <xdr:rowOff>17011</xdr:rowOff>
    </xdr:from>
    <xdr:to>
      <xdr:col>12</xdr:col>
      <xdr:colOff>916780</xdr:colOff>
      <xdr:row>85</xdr:row>
      <xdr:rowOff>192201</xdr:rowOff>
    </xdr:to>
    <xdr:cxnSp macro="">
      <xdr:nvCxnSpPr>
        <xdr:cNvPr id="25" name="Straight Connector 24"/>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84</xdr:row>
      <xdr:rowOff>18714</xdr:rowOff>
    </xdr:from>
    <xdr:to>
      <xdr:col>15</xdr:col>
      <xdr:colOff>887864</xdr:colOff>
      <xdr:row>85</xdr:row>
      <xdr:rowOff>190500</xdr:rowOff>
    </xdr:to>
    <xdr:cxnSp macro="">
      <xdr:nvCxnSpPr>
        <xdr:cNvPr id="26" name="Straight Connector 25"/>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86</xdr:row>
      <xdr:rowOff>13608</xdr:rowOff>
    </xdr:from>
    <xdr:to>
      <xdr:col>12</xdr:col>
      <xdr:colOff>27214</xdr:colOff>
      <xdr:row>87</xdr:row>
      <xdr:rowOff>190502</xdr:rowOff>
    </xdr:to>
    <xdr:cxnSp macro="">
      <xdr:nvCxnSpPr>
        <xdr:cNvPr id="27" name="Straight Connector 26"/>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86</xdr:row>
      <xdr:rowOff>13608</xdr:rowOff>
    </xdr:from>
    <xdr:to>
      <xdr:col>11</xdr:col>
      <xdr:colOff>51026</xdr:colOff>
      <xdr:row>88</xdr:row>
      <xdr:rowOff>0</xdr:rowOff>
    </xdr:to>
    <xdr:cxnSp macro="">
      <xdr:nvCxnSpPr>
        <xdr:cNvPr id="28" name="Straight Connector 27"/>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86</xdr:row>
      <xdr:rowOff>17011</xdr:rowOff>
    </xdr:from>
    <xdr:to>
      <xdr:col>12</xdr:col>
      <xdr:colOff>916780</xdr:colOff>
      <xdr:row>87</xdr:row>
      <xdr:rowOff>192201</xdr:rowOff>
    </xdr:to>
    <xdr:cxnSp macro="">
      <xdr:nvCxnSpPr>
        <xdr:cNvPr id="29" name="Straight Connector 28"/>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86</xdr:row>
      <xdr:rowOff>18714</xdr:rowOff>
    </xdr:from>
    <xdr:to>
      <xdr:col>15</xdr:col>
      <xdr:colOff>887864</xdr:colOff>
      <xdr:row>87</xdr:row>
      <xdr:rowOff>190500</xdr:rowOff>
    </xdr:to>
    <xdr:cxnSp macro="">
      <xdr:nvCxnSpPr>
        <xdr:cNvPr id="30" name="Straight Connector 29"/>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88</xdr:row>
      <xdr:rowOff>13608</xdr:rowOff>
    </xdr:from>
    <xdr:to>
      <xdr:col>12</xdr:col>
      <xdr:colOff>27214</xdr:colOff>
      <xdr:row>89</xdr:row>
      <xdr:rowOff>190502</xdr:rowOff>
    </xdr:to>
    <xdr:cxnSp macro="">
      <xdr:nvCxnSpPr>
        <xdr:cNvPr id="31" name="Straight Connector 30"/>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88</xdr:row>
      <xdr:rowOff>13608</xdr:rowOff>
    </xdr:from>
    <xdr:to>
      <xdr:col>11</xdr:col>
      <xdr:colOff>51026</xdr:colOff>
      <xdr:row>90</xdr:row>
      <xdr:rowOff>0</xdr:rowOff>
    </xdr:to>
    <xdr:cxnSp macro="">
      <xdr:nvCxnSpPr>
        <xdr:cNvPr id="32" name="Straight Connector 31"/>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88</xdr:row>
      <xdr:rowOff>17011</xdr:rowOff>
    </xdr:from>
    <xdr:to>
      <xdr:col>12</xdr:col>
      <xdr:colOff>916780</xdr:colOff>
      <xdr:row>89</xdr:row>
      <xdr:rowOff>192201</xdr:rowOff>
    </xdr:to>
    <xdr:cxnSp macro="">
      <xdr:nvCxnSpPr>
        <xdr:cNvPr id="33" name="Straight Connector 32"/>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88</xdr:row>
      <xdr:rowOff>3</xdr:rowOff>
    </xdr:from>
    <xdr:to>
      <xdr:col>15</xdr:col>
      <xdr:colOff>40822</xdr:colOff>
      <xdr:row>89</xdr:row>
      <xdr:rowOff>149679</xdr:rowOff>
    </xdr:to>
    <xdr:cxnSp macro="">
      <xdr:nvCxnSpPr>
        <xdr:cNvPr id="34" name="Straight Connector 33"/>
        <xdr:cNvCxnSpPr/>
      </xdr:nvCxnSpPr>
      <xdr:spPr>
        <a:xfrm flipV="1">
          <a:off x="12515170" y="12611100"/>
          <a:ext cx="92732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88</xdr:row>
      <xdr:rowOff>18714</xdr:rowOff>
    </xdr:from>
    <xdr:to>
      <xdr:col>15</xdr:col>
      <xdr:colOff>887864</xdr:colOff>
      <xdr:row>89</xdr:row>
      <xdr:rowOff>190500</xdr:rowOff>
    </xdr:to>
    <xdr:cxnSp macro="">
      <xdr:nvCxnSpPr>
        <xdr:cNvPr id="35" name="Straight Connector 34"/>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91</xdr:row>
      <xdr:rowOff>13608</xdr:rowOff>
    </xdr:from>
    <xdr:to>
      <xdr:col>12</xdr:col>
      <xdr:colOff>27214</xdr:colOff>
      <xdr:row>92</xdr:row>
      <xdr:rowOff>190502</xdr:rowOff>
    </xdr:to>
    <xdr:cxnSp macro="">
      <xdr:nvCxnSpPr>
        <xdr:cNvPr id="36" name="Straight Connector 35"/>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91</xdr:row>
      <xdr:rowOff>13608</xdr:rowOff>
    </xdr:from>
    <xdr:to>
      <xdr:col>11</xdr:col>
      <xdr:colOff>51026</xdr:colOff>
      <xdr:row>93</xdr:row>
      <xdr:rowOff>0</xdr:rowOff>
    </xdr:to>
    <xdr:cxnSp macro="">
      <xdr:nvCxnSpPr>
        <xdr:cNvPr id="37" name="Straight Connector 36"/>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91</xdr:row>
      <xdr:rowOff>17011</xdr:rowOff>
    </xdr:from>
    <xdr:to>
      <xdr:col>12</xdr:col>
      <xdr:colOff>916780</xdr:colOff>
      <xdr:row>92</xdr:row>
      <xdr:rowOff>192201</xdr:rowOff>
    </xdr:to>
    <xdr:cxnSp macro="">
      <xdr:nvCxnSpPr>
        <xdr:cNvPr id="38" name="Straight Connector 37"/>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91</xdr:row>
      <xdr:rowOff>18714</xdr:rowOff>
    </xdr:from>
    <xdr:to>
      <xdr:col>15</xdr:col>
      <xdr:colOff>887864</xdr:colOff>
      <xdr:row>92</xdr:row>
      <xdr:rowOff>190500</xdr:rowOff>
    </xdr:to>
    <xdr:cxnSp macro="">
      <xdr:nvCxnSpPr>
        <xdr:cNvPr id="39" name="Straight Connector 38"/>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93</xdr:row>
      <xdr:rowOff>13608</xdr:rowOff>
    </xdr:from>
    <xdr:to>
      <xdr:col>12</xdr:col>
      <xdr:colOff>27214</xdr:colOff>
      <xdr:row>94</xdr:row>
      <xdr:rowOff>190502</xdr:rowOff>
    </xdr:to>
    <xdr:cxnSp macro="">
      <xdr:nvCxnSpPr>
        <xdr:cNvPr id="40" name="Straight Connector 39"/>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93</xdr:row>
      <xdr:rowOff>13608</xdr:rowOff>
    </xdr:from>
    <xdr:to>
      <xdr:col>11</xdr:col>
      <xdr:colOff>51026</xdr:colOff>
      <xdr:row>95</xdr:row>
      <xdr:rowOff>0</xdr:rowOff>
    </xdr:to>
    <xdr:cxnSp macro="">
      <xdr:nvCxnSpPr>
        <xdr:cNvPr id="41" name="Straight Connector 40"/>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93</xdr:row>
      <xdr:rowOff>17011</xdr:rowOff>
    </xdr:from>
    <xdr:to>
      <xdr:col>12</xdr:col>
      <xdr:colOff>916780</xdr:colOff>
      <xdr:row>94</xdr:row>
      <xdr:rowOff>192201</xdr:rowOff>
    </xdr:to>
    <xdr:cxnSp macro="">
      <xdr:nvCxnSpPr>
        <xdr:cNvPr id="42" name="Straight Connector 41"/>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93</xdr:row>
      <xdr:rowOff>18714</xdr:rowOff>
    </xdr:from>
    <xdr:to>
      <xdr:col>15</xdr:col>
      <xdr:colOff>887864</xdr:colOff>
      <xdr:row>94</xdr:row>
      <xdr:rowOff>190500</xdr:rowOff>
    </xdr:to>
    <xdr:cxnSp macro="">
      <xdr:nvCxnSpPr>
        <xdr:cNvPr id="43" name="Straight Connector 42"/>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95</xdr:row>
      <xdr:rowOff>13608</xdr:rowOff>
    </xdr:from>
    <xdr:to>
      <xdr:col>12</xdr:col>
      <xdr:colOff>27214</xdr:colOff>
      <xdr:row>96</xdr:row>
      <xdr:rowOff>190502</xdr:rowOff>
    </xdr:to>
    <xdr:cxnSp macro="">
      <xdr:nvCxnSpPr>
        <xdr:cNvPr id="44" name="Straight Connector 43"/>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95</xdr:row>
      <xdr:rowOff>13608</xdr:rowOff>
    </xdr:from>
    <xdr:to>
      <xdr:col>11</xdr:col>
      <xdr:colOff>51026</xdr:colOff>
      <xdr:row>97</xdr:row>
      <xdr:rowOff>0</xdr:rowOff>
    </xdr:to>
    <xdr:cxnSp macro="">
      <xdr:nvCxnSpPr>
        <xdr:cNvPr id="45" name="Straight Connector 44"/>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95</xdr:row>
      <xdr:rowOff>17011</xdr:rowOff>
    </xdr:from>
    <xdr:to>
      <xdr:col>12</xdr:col>
      <xdr:colOff>916780</xdr:colOff>
      <xdr:row>96</xdr:row>
      <xdr:rowOff>192201</xdr:rowOff>
    </xdr:to>
    <xdr:cxnSp macro="">
      <xdr:nvCxnSpPr>
        <xdr:cNvPr id="46" name="Straight Connector 45"/>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95</xdr:row>
      <xdr:rowOff>3</xdr:rowOff>
    </xdr:from>
    <xdr:to>
      <xdr:col>15</xdr:col>
      <xdr:colOff>40822</xdr:colOff>
      <xdr:row>96</xdr:row>
      <xdr:rowOff>149679</xdr:rowOff>
    </xdr:to>
    <xdr:cxnSp macro="">
      <xdr:nvCxnSpPr>
        <xdr:cNvPr id="47" name="Straight Connector 46"/>
        <xdr:cNvCxnSpPr/>
      </xdr:nvCxnSpPr>
      <xdr:spPr>
        <a:xfrm flipV="1">
          <a:off x="12515170" y="12611100"/>
          <a:ext cx="92732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95</xdr:row>
      <xdr:rowOff>18714</xdr:rowOff>
    </xdr:from>
    <xdr:to>
      <xdr:col>15</xdr:col>
      <xdr:colOff>887864</xdr:colOff>
      <xdr:row>96</xdr:row>
      <xdr:rowOff>190500</xdr:rowOff>
    </xdr:to>
    <xdr:cxnSp macro="">
      <xdr:nvCxnSpPr>
        <xdr:cNvPr id="48" name="Straight Connector 47"/>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97</xdr:row>
      <xdr:rowOff>13608</xdr:rowOff>
    </xdr:from>
    <xdr:to>
      <xdr:col>12</xdr:col>
      <xdr:colOff>27214</xdr:colOff>
      <xdr:row>98</xdr:row>
      <xdr:rowOff>190502</xdr:rowOff>
    </xdr:to>
    <xdr:cxnSp macro="">
      <xdr:nvCxnSpPr>
        <xdr:cNvPr id="49" name="Straight Connector 48"/>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97</xdr:row>
      <xdr:rowOff>13608</xdr:rowOff>
    </xdr:from>
    <xdr:to>
      <xdr:col>11</xdr:col>
      <xdr:colOff>51026</xdr:colOff>
      <xdr:row>99</xdr:row>
      <xdr:rowOff>0</xdr:rowOff>
    </xdr:to>
    <xdr:cxnSp macro="">
      <xdr:nvCxnSpPr>
        <xdr:cNvPr id="50" name="Straight Connector 49"/>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97</xdr:row>
      <xdr:rowOff>17011</xdr:rowOff>
    </xdr:from>
    <xdr:to>
      <xdr:col>12</xdr:col>
      <xdr:colOff>916780</xdr:colOff>
      <xdr:row>98</xdr:row>
      <xdr:rowOff>192201</xdr:rowOff>
    </xdr:to>
    <xdr:cxnSp macro="">
      <xdr:nvCxnSpPr>
        <xdr:cNvPr id="51" name="Straight Connector 50"/>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37420</xdr:colOff>
      <xdr:row>97</xdr:row>
      <xdr:rowOff>3</xdr:rowOff>
    </xdr:from>
    <xdr:to>
      <xdr:col>15</xdr:col>
      <xdr:colOff>40822</xdr:colOff>
      <xdr:row>98</xdr:row>
      <xdr:rowOff>149679</xdr:rowOff>
    </xdr:to>
    <xdr:cxnSp macro="">
      <xdr:nvCxnSpPr>
        <xdr:cNvPr id="52" name="Straight Connector 51"/>
        <xdr:cNvCxnSpPr/>
      </xdr:nvCxnSpPr>
      <xdr:spPr>
        <a:xfrm flipV="1">
          <a:off x="12515170" y="12611100"/>
          <a:ext cx="92732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97</xdr:row>
      <xdr:rowOff>18714</xdr:rowOff>
    </xdr:from>
    <xdr:to>
      <xdr:col>15</xdr:col>
      <xdr:colOff>887864</xdr:colOff>
      <xdr:row>98</xdr:row>
      <xdr:rowOff>190500</xdr:rowOff>
    </xdr:to>
    <xdr:cxnSp macro="">
      <xdr:nvCxnSpPr>
        <xdr:cNvPr id="53" name="Straight Connector 52"/>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71</xdr:row>
      <xdr:rowOff>13608</xdr:rowOff>
    </xdr:from>
    <xdr:to>
      <xdr:col>12</xdr:col>
      <xdr:colOff>27214</xdr:colOff>
      <xdr:row>72</xdr:row>
      <xdr:rowOff>190502</xdr:rowOff>
    </xdr:to>
    <xdr:cxnSp macro="">
      <xdr:nvCxnSpPr>
        <xdr:cNvPr id="54" name="Straight Connector 53"/>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71</xdr:row>
      <xdr:rowOff>13608</xdr:rowOff>
    </xdr:from>
    <xdr:to>
      <xdr:col>11</xdr:col>
      <xdr:colOff>51026</xdr:colOff>
      <xdr:row>73</xdr:row>
      <xdr:rowOff>0</xdr:rowOff>
    </xdr:to>
    <xdr:cxnSp macro="">
      <xdr:nvCxnSpPr>
        <xdr:cNvPr id="55" name="Straight Connector 54"/>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71</xdr:row>
      <xdr:rowOff>17011</xdr:rowOff>
    </xdr:from>
    <xdr:to>
      <xdr:col>12</xdr:col>
      <xdr:colOff>916780</xdr:colOff>
      <xdr:row>72</xdr:row>
      <xdr:rowOff>192201</xdr:rowOff>
    </xdr:to>
    <xdr:cxnSp macro="">
      <xdr:nvCxnSpPr>
        <xdr:cNvPr id="56" name="Straight Connector 55"/>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73</xdr:row>
      <xdr:rowOff>40825</xdr:rowOff>
    </xdr:from>
    <xdr:to>
      <xdr:col>15</xdr:col>
      <xdr:colOff>54429</xdr:colOff>
      <xdr:row>74</xdr:row>
      <xdr:rowOff>190501</xdr:rowOff>
    </xdr:to>
    <xdr:cxnSp macro="">
      <xdr:nvCxnSpPr>
        <xdr:cNvPr id="57" name="Straight Connector 56"/>
        <xdr:cNvCxnSpPr/>
      </xdr:nvCxnSpPr>
      <xdr:spPr>
        <a:xfrm flipV="1">
          <a:off x="12528777" y="12611100"/>
          <a:ext cx="92732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71</xdr:row>
      <xdr:rowOff>18714</xdr:rowOff>
    </xdr:from>
    <xdr:to>
      <xdr:col>15</xdr:col>
      <xdr:colOff>887864</xdr:colOff>
      <xdr:row>72</xdr:row>
      <xdr:rowOff>190500</xdr:rowOff>
    </xdr:to>
    <xdr:cxnSp macro="">
      <xdr:nvCxnSpPr>
        <xdr:cNvPr id="58" name="Straight Connector 57"/>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75</xdr:row>
      <xdr:rowOff>13608</xdr:rowOff>
    </xdr:from>
    <xdr:to>
      <xdr:col>12</xdr:col>
      <xdr:colOff>27214</xdr:colOff>
      <xdr:row>76</xdr:row>
      <xdr:rowOff>190502</xdr:rowOff>
    </xdr:to>
    <xdr:cxnSp macro="">
      <xdr:nvCxnSpPr>
        <xdr:cNvPr id="59" name="Straight Connector 58"/>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75</xdr:row>
      <xdr:rowOff>13608</xdr:rowOff>
    </xdr:from>
    <xdr:to>
      <xdr:col>11</xdr:col>
      <xdr:colOff>51026</xdr:colOff>
      <xdr:row>77</xdr:row>
      <xdr:rowOff>0</xdr:rowOff>
    </xdr:to>
    <xdr:cxnSp macro="">
      <xdr:nvCxnSpPr>
        <xdr:cNvPr id="60" name="Straight Connector 59"/>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75</xdr:row>
      <xdr:rowOff>17011</xdr:rowOff>
    </xdr:from>
    <xdr:to>
      <xdr:col>12</xdr:col>
      <xdr:colOff>916780</xdr:colOff>
      <xdr:row>76</xdr:row>
      <xdr:rowOff>192201</xdr:rowOff>
    </xdr:to>
    <xdr:cxnSp macro="">
      <xdr:nvCxnSpPr>
        <xdr:cNvPr id="61" name="Straight Connector 60"/>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75</xdr:row>
      <xdr:rowOff>18714</xdr:rowOff>
    </xdr:from>
    <xdr:to>
      <xdr:col>15</xdr:col>
      <xdr:colOff>887864</xdr:colOff>
      <xdr:row>76</xdr:row>
      <xdr:rowOff>190500</xdr:rowOff>
    </xdr:to>
    <xdr:cxnSp macro="">
      <xdr:nvCxnSpPr>
        <xdr:cNvPr id="62" name="Straight Connector 61"/>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73</xdr:row>
      <xdr:rowOff>13608</xdr:rowOff>
    </xdr:from>
    <xdr:to>
      <xdr:col>12</xdr:col>
      <xdr:colOff>27214</xdr:colOff>
      <xdr:row>74</xdr:row>
      <xdr:rowOff>190502</xdr:rowOff>
    </xdr:to>
    <xdr:cxnSp macro="">
      <xdr:nvCxnSpPr>
        <xdr:cNvPr id="63" name="Straight Connector 62"/>
        <xdr:cNvCxnSpPr/>
      </xdr:nvCxnSpPr>
      <xdr:spPr>
        <a:xfrm flipV="1">
          <a:off x="9759042" y="126111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73</xdr:row>
      <xdr:rowOff>13608</xdr:rowOff>
    </xdr:from>
    <xdr:to>
      <xdr:col>11</xdr:col>
      <xdr:colOff>51026</xdr:colOff>
      <xdr:row>75</xdr:row>
      <xdr:rowOff>0</xdr:rowOff>
    </xdr:to>
    <xdr:cxnSp macro="">
      <xdr:nvCxnSpPr>
        <xdr:cNvPr id="64" name="Straight Connector 63"/>
        <xdr:cNvCxnSpPr/>
      </xdr:nvCxnSpPr>
      <xdr:spPr>
        <a:xfrm flipV="1">
          <a:off x="8767082" y="12611100"/>
          <a:ext cx="9613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73</xdr:row>
      <xdr:rowOff>17011</xdr:rowOff>
    </xdr:from>
    <xdr:to>
      <xdr:col>12</xdr:col>
      <xdr:colOff>916780</xdr:colOff>
      <xdr:row>74</xdr:row>
      <xdr:rowOff>192201</xdr:rowOff>
    </xdr:to>
    <xdr:cxnSp macro="">
      <xdr:nvCxnSpPr>
        <xdr:cNvPr id="65" name="Straight Connector 64"/>
        <xdr:cNvCxnSpPr/>
      </xdr:nvCxnSpPr>
      <xdr:spPr>
        <a:xfrm flipV="1">
          <a:off x="10654393"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73</xdr:row>
      <xdr:rowOff>18714</xdr:rowOff>
    </xdr:from>
    <xdr:to>
      <xdr:col>15</xdr:col>
      <xdr:colOff>887864</xdr:colOff>
      <xdr:row>74</xdr:row>
      <xdr:rowOff>190500</xdr:rowOff>
    </xdr:to>
    <xdr:cxnSp macro="">
      <xdr:nvCxnSpPr>
        <xdr:cNvPr id="66" name="Straight Connector 65"/>
        <xdr:cNvCxnSpPr/>
      </xdr:nvCxnSpPr>
      <xdr:spPr>
        <a:xfrm flipV="1">
          <a:off x="13428889" y="12611100"/>
          <a:ext cx="8606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20411</xdr:colOff>
      <xdr:row>93</xdr:row>
      <xdr:rowOff>17010</xdr:rowOff>
    </xdr:from>
    <xdr:to>
      <xdr:col>14</xdr:col>
      <xdr:colOff>903173</xdr:colOff>
      <xdr:row>94</xdr:row>
      <xdr:rowOff>192200</xdr:rowOff>
    </xdr:to>
    <xdr:cxnSp macro="">
      <xdr:nvCxnSpPr>
        <xdr:cNvPr id="67" name="Straight Connector 66"/>
        <xdr:cNvCxnSpPr/>
      </xdr:nvCxnSpPr>
      <xdr:spPr>
        <a:xfrm flipV="1">
          <a:off x="12498161"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86</xdr:row>
      <xdr:rowOff>3404</xdr:rowOff>
    </xdr:from>
    <xdr:to>
      <xdr:col>15</xdr:col>
      <xdr:colOff>5101</xdr:colOff>
      <xdr:row>87</xdr:row>
      <xdr:rowOff>178593</xdr:rowOff>
    </xdr:to>
    <xdr:cxnSp macro="">
      <xdr:nvCxnSpPr>
        <xdr:cNvPr id="68" name="Straight Connector 67"/>
        <xdr:cNvCxnSpPr/>
      </xdr:nvCxnSpPr>
      <xdr:spPr>
        <a:xfrm flipV="1">
          <a:off x="12525375" y="12611100"/>
          <a:ext cx="8814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xdr:colOff>
      <xdr:row>84</xdr:row>
      <xdr:rowOff>17011</xdr:rowOff>
    </xdr:from>
    <xdr:to>
      <xdr:col>15</xdr:col>
      <xdr:colOff>5101</xdr:colOff>
      <xdr:row>85</xdr:row>
      <xdr:rowOff>192201</xdr:rowOff>
    </xdr:to>
    <xdr:cxnSp macro="">
      <xdr:nvCxnSpPr>
        <xdr:cNvPr id="69" name="Straight Connector 68"/>
        <xdr:cNvCxnSpPr/>
      </xdr:nvCxnSpPr>
      <xdr:spPr>
        <a:xfrm flipV="1">
          <a:off x="12525375" y="12611100"/>
          <a:ext cx="8814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34018</xdr:colOff>
      <xdr:row>82</xdr:row>
      <xdr:rowOff>17011</xdr:rowOff>
    </xdr:from>
    <xdr:to>
      <xdr:col>14</xdr:col>
      <xdr:colOff>916780</xdr:colOff>
      <xdr:row>83</xdr:row>
      <xdr:rowOff>192201</xdr:rowOff>
    </xdr:to>
    <xdr:cxnSp macro="">
      <xdr:nvCxnSpPr>
        <xdr:cNvPr id="70" name="Straight Connector 69"/>
        <xdr:cNvCxnSpPr/>
      </xdr:nvCxnSpPr>
      <xdr:spPr>
        <a:xfrm flipV="1">
          <a:off x="12511768" y="126111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79</xdr:row>
      <xdr:rowOff>17011</xdr:rowOff>
    </xdr:from>
    <xdr:to>
      <xdr:col>15</xdr:col>
      <xdr:colOff>32315</xdr:colOff>
      <xdr:row>80</xdr:row>
      <xdr:rowOff>192201</xdr:rowOff>
    </xdr:to>
    <xdr:cxnSp macro="">
      <xdr:nvCxnSpPr>
        <xdr:cNvPr id="71" name="Straight Connector 70"/>
        <xdr:cNvCxnSpPr/>
      </xdr:nvCxnSpPr>
      <xdr:spPr>
        <a:xfrm flipV="1">
          <a:off x="12552589" y="12611100"/>
          <a:ext cx="8814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74839</xdr:colOff>
      <xdr:row>77</xdr:row>
      <xdr:rowOff>17011</xdr:rowOff>
    </xdr:from>
    <xdr:to>
      <xdr:col>15</xdr:col>
      <xdr:colOff>32315</xdr:colOff>
      <xdr:row>78</xdr:row>
      <xdr:rowOff>192201</xdr:rowOff>
    </xdr:to>
    <xdr:cxnSp macro="">
      <xdr:nvCxnSpPr>
        <xdr:cNvPr id="72" name="Straight Connector 71"/>
        <xdr:cNvCxnSpPr/>
      </xdr:nvCxnSpPr>
      <xdr:spPr>
        <a:xfrm flipV="1">
          <a:off x="12552589" y="12611100"/>
          <a:ext cx="8814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61232</xdr:colOff>
      <xdr:row>75</xdr:row>
      <xdr:rowOff>3403</xdr:rowOff>
    </xdr:from>
    <xdr:to>
      <xdr:col>15</xdr:col>
      <xdr:colOff>18708</xdr:colOff>
      <xdr:row>76</xdr:row>
      <xdr:rowOff>178593</xdr:rowOff>
    </xdr:to>
    <xdr:cxnSp macro="">
      <xdr:nvCxnSpPr>
        <xdr:cNvPr id="73" name="Straight Connector 72"/>
        <xdr:cNvCxnSpPr/>
      </xdr:nvCxnSpPr>
      <xdr:spPr>
        <a:xfrm flipV="1">
          <a:off x="12538982" y="12611100"/>
          <a:ext cx="8814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46</xdr:row>
      <xdr:rowOff>27214</xdr:rowOff>
    </xdr:from>
    <xdr:to>
      <xdr:col>15</xdr:col>
      <xdr:colOff>898072</xdr:colOff>
      <xdr:row>47</xdr:row>
      <xdr:rowOff>149678</xdr:rowOff>
    </xdr:to>
    <xdr:cxnSp macro="">
      <xdr:nvCxnSpPr>
        <xdr:cNvPr id="74" name="Straight Connector 73"/>
        <xdr:cNvCxnSpPr/>
      </xdr:nvCxnSpPr>
      <xdr:spPr>
        <a:xfrm flipV="1">
          <a:off x="13428889" y="929640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46</xdr:row>
      <xdr:rowOff>13607</xdr:rowOff>
    </xdr:from>
    <xdr:to>
      <xdr:col>10</xdr:col>
      <xdr:colOff>911677</xdr:colOff>
      <xdr:row>48</xdr:row>
      <xdr:rowOff>0</xdr:rowOff>
    </xdr:to>
    <xdr:cxnSp macro="">
      <xdr:nvCxnSpPr>
        <xdr:cNvPr id="75" name="Straight Connector 74"/>
        <xdr:cNvCxnSpPr/>
      </xdr:nvCxnSpPr>
      <xdr:spPr>
        <a:xfrm flipV="1">
          <a:off x="8767082" y="929640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46</xdr:row>
      <xdr:rowOff>13608</xdr:rowOff>
    </xdr:from>
    <xdr:to>
      <xdr:col>12</xdr:col>
      <xdr:colOff>27214</xdr:colOff>
      <xdr:row>47</xdr:row>
      <xdr:rowOff>190502</xdr:rowOff>
    </xdr:to>
    <xdr:cxnSp macro="">
      <xdr:nvCxnSpPr>
        <xdr:cNvPr id="76" name="Straight Connector 75"/>
        <xdr:cNvCxnSpPr/>
      </xdr:nvCxnSpPr>
      <xdr:spPr>
        <a:xfrm flipV="1">
          <a:off x="9759042" y="92964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46</xdr:row>
      <xdr:rowOff>17011</xdr:rowOff>
    </xdr:from>
    <xdr:to>
      <xdr:col>12</xdr:col>
      <xdr:colOff>916780</xdr:colOff>
      <xdr:row>47</xdr:row>
      <xdr:rowOff>192201</xdr:rowOff>
    </xdr:to>
    <xdr:cxnSp macro="">
      <xdr:nvCxnSpPr>
        <xdr:cNvPr id="77" name="Straight Connector 76"/>
        <xdr:cNvCxnSpPr/>
      </xdr:nvCxnSpPr>
      <xdr:spPr>
        <a:xfrm flipV="1">
          <a:off x="10654393" y="92964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46</xdr:row>
      <xdr:rowOff>54428</xdr:rowOff>
    </xdr:from>
    <xdr:to>
      <xdr:col>14</xdr:col>
      <xdr:colOff>884463</xdr:colOff>
      <xdr:row>47</xdr:row>
      <xdr:rowOff>163285</xdr:rowOff>
    </xdr:to>
    <xdr:cxnSp macro="">
      <xdr:nvCxnSpPr>
        <xdr:cNvPr id="78" name="Straight Connector 77"/>
        <xdr:cNvCxnSpPr/>
      </xdr:nvCxnSpPr>
      <xdr:spPr>
        <a:xfrm flipV="1">
          <a:off x="12480469" y="929640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56</xdr:row>
      <xdr:rowOff>27214</xdr:rowOff>
    </xdr:from>
    <xdr:to>
      <xdr:col>15</xdr:col>
      <xdr:colOff>898072</xdr:colOff>
      <xdr:row>57</xdr:row>
      <xdr:rowOff>149678</xdr:rowOff>
    </xdr:to>
    <xdr:cxnSp macro="">
      <xdr:nvCxnSpPr>
        <xdr:cNvPr id="79" name="Straight Connector 78"/>
        <xdr:cNvCxnSpPr/>
      </xdr:nvCxnSpPr>
      <xdr:spPr>
        <a:xfrm flipV="1">
          <a:off x="13428889" y="929640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56</xdr:row>
      <xdr:rowOff>13607</xdr:rowOff>
    </xdr:from>
    <xdr:to>
      <xdr:col>10</xdr:col>
      <xdr:colOff>911677</xdr:colOff>
      <xdr:row>58</xdr:row>
      <xdr:rowOff>0</xdr:rowOff>
    </xdr:to>
    <xdr:cxnSp macro="">
      <xdr:nvCxnSpPr>
        <xdr:cNvPr id="80" name="Straight Connector 79"/>
        <xdr:cNvCxnSpPr/>
      </xdr:nvCxnSpPr>
      <xdr:spPr>
        <a:xfrm flipV="1">
          <a:off x="8767082" y="929640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56</xdr:row>
      <xdr:rowOff>13608</xdr:rowOff>
    </xdr:from>
    <xdr:to>
      <xdr:col>12</xdr:col>
      <xdr:colOff>27214</xdr:colOff>
      <xdr:row>57</xdr:row>
      <xdr:rowOff>190502</xdr:rowOff>
    </xdr:to>
    <xdr:cxnSp macro="">
      <xdr:nvCxnSpPr>
        <xdr:cNvPr id="81" name="Straight Connector 80"/>
        <xdr:cNvCxnSpPr/>
      </xdr:nvCxnSpPr>
      <xdr:spPr>
        <a:xfrm flipV="1">
          <a:off x="9759042" y="92964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56</xdr:row>
      <xdr:rowOff>17011</xdr:rowOff>
    </xdr:from>
    <xdr:to>
      <xdr:col>12</xdr:col>
      <xdr:colOff>916780</xdr:colOff>
      <xdr:row>57</xdr:row>
      <xdr:rowOff>192201</xdr:rowOff>
    </xdr:to>
    <xdr:cxnSp macro="">
      <xdr:nvCxnSpPr>
        <xdr:cNvPr id="82" name="Straight Connector 81"/>
        <xdr:cNvCxnSpPr/>
      </xdr:nvCxnSpPr>
      <xdr:spPr>
        <a:xfrm flipV="1">
          <a:off x="10654393" y="92964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56</xdr:row>
      <xdr:rowOff>54428</xdr:rowOff>
    </xdr:from>
    <xdr:to>
      <xdr:col>14</xdr:col>
      <xdr:colOff>884463</xdr:colOff>
      <xdr:row>57</xdr:row>
      <xdr:rowOff>163285</xdr:rowOff>
    </xdr:to>
    <xdr:cxnSp macro="">
      <xdr:nvCxnSpPr>
        <xdr:cNvPr id="83" name="Straight Connector 82"/>
        <xdr:cNvCxnSpPr/>
      </xdr:nvCxnSpPr>
      <xdr:spPr>
        <a:xfrm flipV="1">
          <a:off x="12480469" y="929640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51027</xdr:colOff>
      <xdr:row>71</xdr:row>
      <xdr:rowOff>13610</xdr:rowOff>
    </xdr:from>
    <xdr:to>
      <xdr:col>15</xdr:col>
      <xdr:colOff>54429</xdr:colOff>
      <xdr:row>72</xdr:row>
      <xdr:rowOff>163286</xdr:rowOff>
    </xdr:to>
    <xdr:cxnSp macro="">
      <xdr:nvCxnSpPr>
        <xdr:cNvPr id="84" name="Straight Connector 83"/>
        <xdr:cNvCxnSpPr/>
      </xdr:nvCxnSpPr>
      <xdr:spPr>
        <a:xfrm flipV="1">
          <a:off x="12528777" y="12611100"/>
          <a:ext cx="92732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39</xdr:row>
      <xdr:rowOff>13607</xdr:rowOff>
    </xdr:from>
    <xdr:to>
      <xdr:col>10</xdr:col>
      <xdr:colOff>911677</xdr:colOff>
      <xdr:row>41</xdr:row>
      <xdr:rowOff>0</xdr:rowOff>
    </xdr:to>
    <xdr:cxnSp macro="">
      <xdr:nvCxnSpPr>
        <xdr:cNvPr id="85" name="Straight Connector 84"/>
        <xdr:cNvCxnSpPr/>
      </xdr:nvCxnSpPr>
      <xdr:spPr>
        <a:xfrm flipV="1">
          <a:off x="8767082" y="929640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39</xdr:row>
      <xdr:rowOff>13608</xdr:rowOff>
    </xdr:from>
    <xdr:to>
      <xdr:col>12</xdr:col>
      <xdr:colOff>27214</xdr:colOff>
      <xdr:row>40</xdr:row>
      <xdr:rowOff>190502</xdr:rowOff>
    </xdr:to>
    <xdr:cxnSp macro="">
      <xdr:nvCxnSpPr>
        <xdr:cNvPr id="86" name="Straight Connector 85"/>
        <xdr:cNvCxnSpPr/>
      </xdr:nvCxnSpPr>
      <xdr:spPr>
        <a:xfrm flipV="1">
          <a:off x="9759042" y="92964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39</xdr:row>
      <xdr:rowOff>17011</xdr:rowOff>
    </xdr:from>
    <xdr:to>
      <xdr:col>12</xdr:col>
      <xdr:colOff>916780</xdr:colOff>
      <xdr:row>40</xdr:row>
      <xdr:rowOff>192201</xdr:rowOff>
    </xdr:to>
    <xdr:cxnSp macro="">
      <xdr:nvCxnSpPr>
        <xdr:cNvPr id="87" name="Straight Connector 86"/>
        <xdr:cNvCxnSpPr/>
      </xdr:nvCxnSpPr>
      <xdr:spPr>
        <a:xfrm flipV="1">
          <a:off x="10654393" y="92964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39</xdr:row>
      <xdr:rowOff>54428</xdr:rowOff>
    </xdr:from>
    <xdr:to>
      <xdr:col>14</xdr:col>
      <xdr:colOff>884463</xdr:colOff>
      <xdr:row>40</xdr:row>
      <xdr:rowOff>163285</xdr:rowOff>
    </xdr:to>
    <xdr:cxnSp macro="">
      <xdr:nvCxnSpPr>
        <xdr:cNvPr id="88" name="Straight Connector 87"/>
        <xdr:cNvCxnSpPr/>
      </xdr:nvCxnSpPr>
      <xdr:spPr>
        <a:xfrm flipV="1">
          <a:off x="12480469" y="929640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43</xdr:row>
      <xdr:rowOff>27214</xdr:rowOff>
    </xdr:from>
    <xdr:to>
      <xdr:col>15</xdr:col>
      <xdr:colOff>898072</xdr:colOff>
      <xdr:row>44</xdr:row>
      <xdr:rowOff>149678</xdr:rowOff>
    </xdr:to>
    <xdr:cxnSp macro="">
      <xdr:nvCxnSpPr>
        <xdr:cNvPr id="89" name="Straight Connector 88"/>
        <xdr:cNvCxnSpPr/>
      </xdr:nvCxnSpPr>
      <xdr:spPr>
        <a:xfrm flipV="1">
          <a:off x="13428889" y="929640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43</xdr:row>
      <xdr:rowOff>13607</xdr:rowOff>
    </xdr:from>
    <xdr:to>
      <xdr:col>10</xdr:col>
      <xdr:colOff>911677</xdr:colOff>
      <xdr:row>45</xdr:row>
      <xdr:rowOff>0</xdr:rowOff>
    </xdr:to>
    <xdr:cxnSp macro="">
      <xdr:nvCxnSpPr>
        <xdr:cNvPr id="90" name="Straight Connector 89"/>
        <xdr:cNvCxnSpPr/>
      </xdr:nvCxnSpPr>
      <xdr:spPr>
        <a:xfrm flipV="1">
          <a:off x="8767082" y="929640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43</xdr:row>
      <xdr:rowOff>13608</xdr:rowOff>
    </xdr:from>
    <xdr:to>
      <xdr:col>12</xdr:col>
      <xdr:colOff>27214</xdr:colOff>
      <xdr:row>44</xdr:row>
      <xdr:rowOff>190502</xdr:rowOff>
    </xdr:to>
    <xdr:cxnSp macro="">
      <xdr:nvCxnSpPr>
        <xdr:cNvPr id="91" name="Straight Connector 90"/>
        <xdr:cNvCxnSpPr/>
      </xdr:nvCxnSpPr>
      <xdr:spPr>
        <a:xfrm flipV="1">
          <a:off x="9759042" y="92964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43</xdr:row>
      <xdr:rowOff>17011</xdr:rowOff>
    </xdr:from>
    <xdr:to>
      <xdr:col>12</xdr:col>
      <xdr:colOff>916780</xdr:colOff>
      <xdr:row>44</xdr:row>
      <xdr:rowOff>192201</xdr:rowOff>
    </xdr:to>
    <xdr:cxnSp macro="">
      <xdr:nvCxnSpPr>
        <xdr:cNvPr id="92" name="Straight Connector 91"/>
        <xdr:cNvCxnSpPr/>
      </xdr:nvCxnSpPr>
      <xdr:spPr>
        <a:xfrm flipV="1">
          <a:off x="10654393" y="92964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43</xdr:row>
      <xdr:rowOff>54428</xdr:rowOff>
    </xdr:from>
    <xdr:to>
      <xdr:col>14</xdr:col>
      <xdr:colOff>884463</xdr:colOff>
      <xdr:row>44</xdr:row>
      <xdr:rowOff>163285</xdr:rowOff>
    </xdr:to>
    <xdr:cxnSp macro="">
      <xdr:nvCxnSpPr>
        <xdr:cNvPr id="93" name="Straight Connector 92"/>
        <xdr:cNvCxnSpPr/>
      </xdr:nvCxnSpPr>
      <xdr:spPr>
        <a:xfrm flipV="1">
          <a:off x="12480469" y="929640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41</xdr:row>
      <xdr:rowOff>27214</xdr:rowOff>
    </xdr:from>
    <xdr:to>
      <xdr:col>15</xdr:col>
      <xdr:colOff>898072</xdr:colOff>
      <xdr:row>42</xdr:row>
      <xdr:rowOff>149678</xdr:rowOff>
    </xdr:to>
    <xdr:cxnSp macro="">
      <xdr:nvCxnSpPr>
        <xdr:cNvPr id="94" name="Straight Connector 93"/>
        <xdr:cNvCxnSpPr/>
      </xdr:nvCxnSpPr>
      <xdr:spPr>
        <a:xfrm flipV="1">
          <a:off x="13428889" y="929640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41</xdr:row>
      <xdr:rowOff>13607</xdr:rowOff>
    </xdr:from>
    <xdr:to>
      <xdr:col>10</xdr:col>
      <xdr:colOff>911677</xdr:colOff>
      <xdr:row>43</xdr:row>
      <xdr:rowOff>0</xdr:rowOff>
    </xdr:to>
    <xdr:cxnSp macro="">
      <xdr:nvCxnSpPr>
        <xdr:cNvPr id="95" name="Straight Connector 94"/>
        <xdr:cNvCxnSpPr/>
      </xdr:nvCxnSpPr>
      <xdr:spPr>
        <a:xfrm flipV="1">
          <a:off x="8767082" y="929640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41</xdr:row>
      <xdr:rowOff>13608</xdr:rowOff>
    </xdr:from>
    <xdr:to>
      <xdr:col>12</xdr:col>
      <xdr:colOff>27214</xdr:colOff>
      <xdr:row>42</xdr:row>
      <xdr:rowOff>190502</xdr:rowOff>
    </xdr:to>
    <xdr:cxnSp macro="">
      <xdr:nvCxnSpPr>
        <xdr:cNvPr id="96" name="Straight Connector 95"/>
        <xdr:cNvCxnSpPr/>
      </xdr:nvCxnSpPr>
      <xdr:spPr>
        <a:xfrm flipV="1">
          <a:off x="9759042" y="92964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41</xdr:row>
      <xdr:rowOff>17011</xdr:rowOff>
    </xdr:from>
    <xdr:to>
      <xdr:col>12</xdr:col>
      <xdr:colOff>916780</xdr:colOff>
      <xdr:row>42</xdr:row>
      <xdr:rowOff>192201</xdr:rowOff>
    </xdr:to>
    <xdr:cxnSp macro="">
      <xdr:nvCxnSpPr>
        <xdr:cNvPr id="97" name="Straight Connector 96"/>
        <xdr:cNvCxnSpPr/>
      </xdr:nvCxnSpPr>
      <xdr:spPr>
        <a:xfrm flipV="1">
          <a:off x="10654393" y="92964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41</xdr:row>
      <xdr:rowOff>54428</xdr:rowOff>
    </xdr:from>
    <xdr:to>
      <xdr:col>14</xdr:col>
      <xdr:colOff>884463</xdr:colOff>
      <xdr:row>42</xdr:row>
      <xdr:rowOff>163285</xdr:rowOff>
    </xdr:to>
    <xdr:cxnSp macro="">
      <xdr:nvCxnSpPr>
        <xdr:cNvPr id="98" name="Straight Connector 97"/>
        <xdr:cNvCxnSpPr/>
      </xdr:nvCxnSpPr>
      <xdr:spPr>
        <a:xfrm flipV="1">
          <a:off x="12480469" y="929640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26</xdr:row>
      <xdr:rowOff>13608</xdr:rowOff>
    </xdr:from>
    <xdr:to>
      <xdr:col>12</xdr:col>
      <xdr:colOff>27214</xdr:colOff>
      <xdr:row>27</xdr:row>
      <xdr:rowOff>190502</xdr:rowOff>
    </xdr:to>
    <xdr:cxnSp macro="">
      <xdr:nvCxnSpPr>
        <xdr:cNvPr id="101" name="Straight Connector 100"/>
        <xdr:cNvCxnSpPr/>
      </xdr:nvCxnSpPr>
      <xdr:spPr>
        <a:xfrm flipV="1">
          <a:off x="9759042" y="65953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17011</xdr:rowOff>
    </xdr:from>
    <xdr:to>
      <xdr:col>12</xdr:col>
      <xdr:colOff>916780</xdr:colOff>
      <xdr:row>27</xdr:row>
      <xdr:rowOff>192201</xdr:rowOff>
    </xdr:to>
    <xdr:cxnSp macro="">
      <xdr:nvCxnSpPr>
        <xdr:cNvPr id="102" name="Straight Connector 101"/>
        <xdr:cNvCxnSpPr/>
      </xdr:nvCxnSpPr>
      <xdr:spPr>
        <a:xfrm flipV="1">
          <a:off x="10654393" y="65987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884464</xdr:colOff>
      <xdr:row>26</xdr:row>
      <xdr:rowOff>0</xdr:rowOff>
    </xdr:from>
    <xdr:to>
      <xdr:col>15</xdr:col>
      <xdr:colOff>0</xdr:colOff>
      <xdr:row>27</xdr:row>
      <xdr:rowOff>190501</xdr:rowOff>
    </xdr:to>
    <xdr:cxnSp macro="">
      <xdr:nvCxnSpPr>
        <xdr:cNvPr id="103" name="Straight Connector 102"/>
        <xdr:cNvCxnSpPr/>
      </xdr:nvCxnSpPr>
      <xdr:spPr>
        <a:xfrm flipV="1">
          <a:off x="12466864" y="6581775"/>
          <a:ext cx="934811" cy="390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26</xdr:row>
      <xdr:rowOff>27215</xdr:rowOff>
    </xdr:from>
    <xdr:to>
      <xdr:col>10</xdr:col>
      <xdr:colOff>911678</xdr:colOff>
      <xdr:row>28</xdr:row>
      <xdr:rowOff>0</xdr:rowOff>
    </xdr:to>
    <xdr:cxnSp macro="">
      <xdr:nvCxnSpPr>
        <xdr:cNvPr id="104" name="Straight Connector 103"/>
        <xdr:cNvCxnSpPr/>
      </xdr:nvCxnSpPr>
      <xdr:spPr>
        <a:xfrm flipV="1">
          <a:off x="8753475" y="6608990"/>
          <a:ext cx="911678" cy="37283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26</xdr:row>
      <xdr:rowOff>13607</xdr:rowOff>
    </xdr:from>
    <xdr:to>
      <xdr:col>16</xdr:col>
      <xdr:colOff>0</xdr:colOff>
      <xdr:row>28</xdr:row>
      <xdr:rowOff>0</xdr:rowOff>
    </xdr:to>
    <xdr:cxnSp macro="">
      <xdr:nvCxnSpPr>
        <xdr:cNvPr id="105" name="Straight Connector 104"/>
        <xdr:cNvCxnSpPr/>
      </xdr:nvCxnSpPr>
      <xdr:spPr>
        <a:xfrm flipV="1">
          <a:off x="13428889" y="6595382"/>
          <a:ext cx="934811" cy="38644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81642</xdr:colOff>
      <xdr:row>48</xdr:row>
      <xdr:rowOff>40821</xdr:rowOff>
    </xdr:from>
    <xdr:to>
      <xdr:col>15</xdr:col>
      <xdr:colOff>952500</xdr:colOff>
      <xdr:row>49</xdr:row>
      <xdr:rowOff>163285</xdr:rowOff>
    </xdr:to>
    <xdr:cxnSp macro="">
      <xdr:nvCxnSpPr>
        <xdr:cNvPr id="106" name="Straight Connector 105"/>
        <xdr:cNvCxnSpPr/>
      </xdr:nvCxnSpPr>
      <xdr:spPr>
        <a:xfrm flipV="1">
          <a:off x="13483317" y="929640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48</xdr:row>
      <xdr:rowOff>13607</xdr:rowOff>
    </xdr:from>
    <xdr:to>
      <xdr:col>10</xdr:col>
      <xdr:colOff>911677</xdr:colOff>
      <xdr:row>50</xdr:row>
      <xdr:rowOff>0</xdr:rowOff>
    </xdr:to>
    <xdr:cxnSp macro="">
      <xdr:nvCxnSpPr>
        <xdr:cNvPr id="107" name="Straight Connector 106"/>
        <xdr:cNvCxnSpPr/>
      </xdr:nvCxnSpPr>
      <xdr:spPr>
        <a:xfrm flipV="1">
          <a:off x="8767082" y="929640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48</xdr:row>
      <xdr:rowOff>13608</xdr:rowOff>
    </xdr:from>
    <xdr:to>
      <xdr:col>12</xdr:col>
      <xdr:colOff>27214</xdr:colOff>
      <xdr:row>49</xdr:row>
      <xdr:rowOff>190502</xdr:rowOff>
    </xdr:to>
    <xdr:cxnSp macro="">
      <xdr:nvCxnSpPr>
        <xdr:cNvPr id="108" name="Straight Connector 107"/>
        <xdr:cNvCxnSpPr/>
      </xdr:nvCxnSpPr>
      <xdr:spPr>
        <a:xfrm flipV="1">
          <a:off x="9759042" y="92964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48</xdr:row>
      <xdr:rowOff>17011</xdr:rowOff>
    </xdr:from>
    <xdr:to>
      <xdr:col>12</xdr:col>
      <xdr:colOff>916780</xdr:colOff>
      <xdr:row>49</xdr:row>
      <xdr:rowOff>192201</xdr:rowOff>
    </xdr:to>
    <xdr:cxnSp macro="">
      <xdr:nvCxnSpPr>
        <xdr:cNvPr id="109" name="Straight Connector 108"/>
        <xdr:cNvCxnSpPr/>
      </xdr:nvCxnSpPr>
      <xdr:spPr>
        <a:xfrm flipV="1">
          <a:off x="10654393" y="92964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48</xdr:row>
      <xdr:rowOff>54428</xdr:rowOff>
    </xdr:from>
    <xdr:to>
      <xdr:col>14</xdr:col>
      <xdr:colOff>884463</xdr:colOff>
      <xdr:row>49</xdr:row>
      <xdr:rowOff>163285</xdr:rowOff>
    </xdr:to>
    <xdr:cxnSp macro="">
      <xdr:nvCxnSpPr>
        <xdr:cNvPr id="110" name="Straight Connector 109"/>
        <xdr:cNvCxnSpPr/>
      </xdr:nvCxnSpPr>
      <xdr:spPr>
        <a:xfrm flipV="1">
          <a:off x="12480469" y="929640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50</xdr:row>
      <xdr:rowOff>27214</xdr:rowOff>
    </xdr:from>
    <xdr:to>
      <xdr:col>15</xdr:col>
      <xdr:colOff>898072</xdr:colOff>
      <xdr:row>51</xdr:row>
      <xdr:rowOff>149678</xdr:rowOff>
    </xdr:to>
    <xdr:cxnSp macro="">
      <xdr:nvCxnSpPr>
        <xdr:cNvPr id="111" name="Straight Connector 110"/>
        <xdr:cNvCxnSpPr/>
      </xdr:nvCxnSpPr>
      <xdr:spPr>
        <a:xfrm flipV="1">
          <a:off x="13428889" y="929640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50</xdr:row>
      <xdr:rowOff>13607</xdr:rowOff>
    </xdr:from>
    <xdr:to>
      <xdr:col>10</xdr:col>
      <xdr:colOff>911677</xdr:colOff>
      <xdr:row>52</xdr:row>
      <xdr:rowOff>0</xdr:rowOff>
    </xdr:to>
    <xdr:cxnSp macro="">
      <xdr:nvCxnSpPr>
        <xdr:cNvPr id="112" name="Straight Connector 111"/>
        <xdr:cNvCxnSpPr/>
      </xdr:nvCxnSpPr>
      <xdr:spPr>
        <a:xfrm flipV="1">
          <a:off x="8767082" y="929640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50</xdr:row>
      <xdr:rowOff>13608</xdr:rowOff>
    </xdr:from>
    <xdr:to>
      <xdr:col>12</xdr:col>
      <xdr:colOff>27214</xdr:colOff>
      <xdr:row>51</xdr:row>
      <xdr:rowOff>190502</xdr:rowOff>
    </xdr:to>
    <xdr:cxnSp macro="">
      <xdr:nvCxnSpPr>
        <xdr:cNvPr id="113" name="Straight Connector 112"/>
        <xdr:cNvCxnSpPr/>
      </xdr:nvCxnSpPr>
      <xdr:spPr>
        <a:xfrm flipV="1">
          <a:off x="9759042" y="92964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50</xdr:row>
      <xdr:rowOff>17011</xdr:rowOff>
    </xdr:from>
    <xdr:to>
      <xdr:col>12</xdr:col>
      <xdr:colOff>916780</xdr:colOff>
      <xdr:row>51</xdr:row>
      <xdr:rowOff>192201</xdr:rowOff>
    </xdr:to>
    <xdr:cxnSp macro="">
      <xdr:nvCxnSpPr>
        <xdr:cNvPr id="114" name="Straight Connector 113"/>
        <xdr:cNvCxnSpPr/>
      </xdr:nvCxnSpPr>
      <xdr:spPr>
        <a:xfrm flipV="1">
          <a:off x="10654393" y="92964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50</xdr:row>
      <xdr:rowOff>54428</xdr:rowOff>
    </xdr:from>
    <xdr:to>
      <xdr:col>14</xdr:col>
      <xdr:colOff>884463</xdr:colOff>
      <xdr:row>51</xdr:row>
      <xdr:rowOff>163285</xdr:rowOff>
    </xdr:to>
    <xdr:cxnSp macro="">
      <xdr:nvCxnSpPr>
        <xdr:cNvPr id="115" name="Straight Connector 114"/>
        <xdr:cNvCxnSpPr/>
      </xdr:nvCxnSpPr>
      <xdr:spPr>
        <a:xfrm flipV="1">
          <a:off x="12480469" y="929640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52</xdr:row>
      <xdr:rowOff>27214</xdr:rowOff>
    </xdr:from>
    <xdr:to>
      <xdr:col>15</xdr:col>
      <xdr:colOff>898072</xdr:colOff>
      <xdr:row>53</xdr:row>
      <xdr:rowOff>149678</xdr:rowOff>
    </xdr:to>
    <xdr:cxnSp macro="">
      <xdr:nvCxnSpPr>
        <xdr:cNvPr id="116" name="Straight Connector 115"/>
        <xdr:cNvCxnSpPr/>
      </xdr:nvCxnSpPr>
      <xdr:spPr>
        <a:xfrm flipV="1">
          <a:off x="13428889" y="929640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52</xdr:row>
      <xdr:rowOff>13607</xdr:rowOff>
    </xdr:from>
    <xdr:to>
      <xdr:col>10</xdr:col>
      <xdr:colOff>911677</xdr:colOff>
      <xdr:row>54</xdr:row>
      <xdr:rowOff>0</xdr:rowOff>
    </xdr:to>
    <xdr:cxnSp macro="">
      <xdr:nvCxnSpPr>
        <xdr:cNvPr id="117" name="Straight Connector 116"/>
        <xdr:cNvCxnSpPr/>
      </xdr:nvCxnSpPr>
      <xdr:spPr>
        <a:xfrm flipV="1">
          <a:off x="8767082" y="929640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52</xdr:row>
      <xdr:rowOff>13608</xdr:rowOff>
    </xdr:from>
    <xdr:to>
      <xdr:col>12</xdr:col>
      <xdr:colOff>27214</xdr:colOff>
      <xdr:row>53</xdr:row>
      <xdr:rowOff>190502</xdr:rowOff>
    </xdr:to>
    <xdr:cxnSp macro="">
      <xdr:nvCxnSpPr>
        <xdr:cNvPr id="118" name="Straight Connector 117"/>
        <xdr:cNvCxnSpPr/>
      </xdr:nvCxnSpPr>
      <xdr:spPr>
        <a:xfrm flipV="1">
          <a:off x="9759042" y="92964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52</xdr:row>
      <xdr:rowOff>17011</xdr:rowOff>
    </xdr:from>
    <xdr:to>
      <xdr:col>12</xdr:col>
      <xdr:colOff>916780</xdr:colOff>
      <xdr:row>53</xdr:row>
      <xdr:rowOff>192201</xdr:rowOff>
    </xdr:to>
    <xdr:cxnSp macro="">
      <xdr:nvCxnSpPr>
        <xdr:cNvPr id="119" name="Straight Connector 118"/>
        <xdr:cNvCxnSpPr/>
      </xdr:nvCxnSpPr>
      <xdr:spPr>
        <a:xfrm flipV="1">
          <a:off x="10654393" y="92964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52</xdr:row>
      <xdr:rowOff>54428</xdr:rowOff>
    </xdr:from>
    <xdr:to>
      <xdr:col>14</xdr:col>
      <xdr:colOff>884463</xdr:colOff>
      <xdr:row>53</xdr:row>
      <xdr:rowOff>163285</xdr:rowOff>
    </xdr:to>
    <xdr:cxnSp macro="">
      <xdr:nvCxnSpPr>
        <xdr:cNvPr id="120" name="Straight Connector 119"/>
        <xdr:cNvCxnSpPr/>
      </xdr:nvCxnSpPr>
      <xdr:spPr>
        <a:xfrm flipV="1">
          <a:off x="12480469" y="929640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27214</xdr:colOff>
      <xdr:row>54</xdr:row>
      <xdr:rowOff>27214</xdr:rowOff>
    </xdr:from>
    <xdr:to>
      <xdr:col>15</xdr:col>
      <xdr:colOff>898072</xdr:colOff>
      <xdr:row>55</xdr:row>
      <xdr:rowOff>149678</xdr:rowOff>
    </xdr:to>
    <xdr:cxnSp macro="">
      <xdr:nvCxnSpPr>
        <xdr:cNvPr id="121" name="Straight Connector 120"/>
        <xdr:cNvCxnSpPr/>
      </xdr:nvCxnSpPr>
      <xdr:spPr>
        <a:xfrm flipV="1">
          <a:off x="13428889" y="9296400"/>
          <a:ext cx="870858"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54</xdr:row>
      <xdr:rowOff>13607</xdr:rowOff>
    </xdr:from>
    <xdr:to>
      <xdr:col>10</xdr:col>
      <xdr:colOff>911677</xdr:colOff>
      <xdr:row>56</xdr:row>
      <xdr:rowOff>0</xdr:rowOff>
    </xdr:to>
    <xdr:cxnSp macro="">
      <xdr:nvCxnSpPr>
        <xdr:cNvPr id="122" name="Straight Connector 121"/>
        <xdr:cNvCxnSpPr/>
      </xdr:nvCxnSpPr>
      <xdr:spPr>
        <a:xfrm flipV="1">
          <a:off x="8767082" y="9296400"/>
          <a:ext cx="89807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54</xdr:row>
      <xdr:rowOff>13608</xdr:rowOff>
    </xdr:from>
    <xdr:to>
      <xdr:col>12</xdr:col>
      <xdr:colOff>27214</xdr:colOff>
      <xdr:row>55</xdr:row>
      <xdr:rowOff>190502</xdr:rowOff>
    </xdr:to>
    <xdr:cxnSp macro="">
      <xdr:nvCxnSpPr>
        <xdr:cNvPr id="123" name="Straight Connector 122"/>
        <xdr:cNvCxnSpPr/>
      </xdr:nvCxnSpPr>
      <xdr:spPr>
        <a:xfrm flipV="1">
          <a:off x="9759042" y="92964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54</xdr:row>
      <xdr:rowOff>17011</xdr:rowOff>
    </xdr:from>
    <xdr:to>
      <xdr:col>12</xdr:col>
      <xdr:colOff>916780</xdr:colOff>
      <xdr:row>55</xdr:row>
      <xdr:rowOff>192201</xdr:rowOff>
    </xdr:to>
    <xdr:cxnSp macro="">
      <xdr:nvCxnSpPr>
        <xdr:cNvPr id="124" name="Straight Connector 123"/>
        <xdr:cNvCxnSpPr/>
      </xdr:nvCxnSpPr>
      <xdr:spPr>
        <a:xfrm flipV="1">
          <a:off x="10654393" y="92964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898069</xdr:colOff>
      <xdr:row>54</xdr:row>
      <xdr:rowOff>54428</xdr:rowOff>
    </xdr:from>
    <xdr:to>
      <xdr:col>14</xdr:col>
      <xdr:colOff>884463</xdr:colOff>
      <xdr:row>55</xdr:row>
      <xdr:rowOff>163285</xdr:rowOff>
    </xdr:to>
    <xdr:cxnSp macro="">
      <xdr:nvCxnSpPr>
        <xdr:cNvPr id="125" name="Straight Connector 124"/>
        <xdr:cNvCxnSpPr/>
      </xdr:nvCxnSpPr>
      <xdr:spPr>
        <a:xfrm flipV="1">
          <a:off x="12480469" y="9296400"/>
          <a:ext cx="88174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39</xdr:row>
      <xdr:rowOff>27216</xdr:rowOff>
    </xdr:from>
    <xdr:to>
      <xdr:col>16</xdr:col>
      <xdr:colOff>27215</xdr:colOff>
      <xdr:row>40</xdr:row>
      <xdr:rowOff>176893</xdr:rowOff>
    </xdr:to>
    <xdr:cxnSp macro="">
      <xdr:nvCxnSpPr>
        <xdr:cNvPr id="126" name="Straight Connector 125"/>
        <xdr:cNvCxnSpPr/>
      </xdr:nvCxnSpPr>
      <xdr:spPr>
        <a:xfrm flipV="1">
          <a:off x="13456103" y="9296400"/>
          <a:ext cx="93481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22</xdr:row>
      <xdr:rowOff>13608</xdr:rowOff>
    </xdr:from>
    <xdr:to>
      <xdr:col>12</xdr:col>
      <xdr:colOff>27214</xdr:colOff>
      <xdr:row>23</xdr:row>
      <xdr:rowOff>190502</xdr:rowOff>
    </xdr:to>
    <xdr:cxnSp macro="">
      <xdr:nvCxnSpPr>
        <xdr:cNvPr id="127" name="Straight Connector 126"/>
        <xdr:cNvCxnSpPr/>
      </xdr:nvCxnSpPr>
      <xdr:spPr>
        <a:xfrm flipV="1">
          <a:off x="9759042" y="57952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17011</xdr:rowOff>
    </xdr:from>
    <xdr:to>
      <xdr:col>12</xdr:col>
      <xdr:colOff>916780</xdr:colOff>
      <xdr:row>23</xdr:row>
      <xdr:rowOff>192201</xdr:rowOff>
    </xdr:to>
    <xdr:cxnSp macro="">
      <xdr:nvCxnSpPr>
        <xdr:cNvPr id="128" name="Straight Connector 127"/>
        <xdr:cNvCxnSpPr/>
      </xdr:nvCxnSpPr>
      <xdr:spPr>
        <a:xfrm flipV="1">
          <a:off x="10654393" y="57986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22</xdr:row>
      <xdr:rowOff>40821</xdr:rowOff>
    </xdr:from>
    <xdr:to>
      <xdr:col>14</xdr:col>
      <xdr:colOff>911678</xdr:colOff>
      <xdr:row>23</xdr:row>
      <xdr:rowOff>149677</xdr:rowOff>
    </xdr:to>
    <xdr:cxnSp macro="">
      <xdr:nvCxnSpPr>
        <xdr:cNvPr id="129" name="Straight Connector 128"/>
        <xdr:cNvCxnSpPr/>
      </xdr:nvCxnSpPr>
      <xdr:spPr>
        <a:xfrm flipV="1">
          <a:off x="12504963" y="58224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22</xdr:row>
      <xdr:rowOff>13609</xdr:rowOff>
    </xdr:from>
    <xdr:to>
      <xdr:col>10</xdr:col>
      <xdr:colOff>911678</xdr:colOff>
      <xdr:row>23</xdr:row>
      <xdr:rowOff>190501</xdr:rowOff>
    </xdr:to>
    <xdr:cxnSp macro="">
      <xdr:nvCxnSpPr>
        <xdr:cNvPr id="130" name="Straight Connector 129"/>
        <xdr:cNvCxnSpPr/>
      </xdr:nvCxnSpPr>
      <xdr:spPr>
        <a:xfrm flipV="1">
          <a:off x="8767082" y="5795284"/>
          <a:ext cx="898071" cy="37691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22</xdr:row>
      <xdr:rowOff>27216</xdr:rowOff>
    </xdr:from>
    <xdr:to>
      <xdr:col>16</xdr:col>
      <xdr:colOff>27215</xdr:colOff>
      <xdr:row>23</xdr:row>
      <xdr:rowOff>176893</xdr:rowOff>
    </xdr:to>
    <xdr:cxnSp macro="">
      <xdr:nvCxnSpPr>
        <xdr:cNvPr id="131" name="Straight Connector 130"/>
        <xdr:cNvCxnSpPr/>
      </xdr:nvCxnSpPr>
      <xdr:spPr>
        <a:xfrm flipV="1">
          <a:off x="13456103" y="58088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27214</xdr:colOff>
      <xdr:row>28</xdr:row>
      <xdr:rowOff>13608</xdr:rowOff>
    </xdr:from>
    <xdr:to>
      <xdr:col>12</xdr:col>
      <xdr:colOff>27214</xdr:colOff>
      <xdr:row>29</xdr:row>
      <xdr:rowOff>190500</xdr:rowOff>
    </xdr:to>
    <xdr:cxnSp macro="">
      <xdr:nvCxnSpPr>
        <xdr:cNvPr id="132" name="Straight Connector 131"/>
        <xdr:cNvCxnSpPr/>
      </xdr:nvCxnSpPr>
      <xdr:spPr>
        <a:xfrm flipV="1">
          <a:off x="9704614" y="6995433"/>
          <a:ext cx="942975" cy="37691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17011</xdr:rowOff>
    </xdr:from>
    <xdr:to>
      <xdr:col>12</xdr:col>
      <xdr:colOff>916780</xdr:colOff>
      <xdr:row>29</xdr:row>
      <xdr:rowOff>192201</xdr:rowOff>
    </xdr:to>
    <xdr:cxnSp macro="">
      <xdr:nvCxnSpPr>
        <xdr:cNvPr id="133" name="Straight Connector 132"/>
        <xdr:cNvCxnSpPr/>
      </xdr:nvCxnSpPr>
      <xdr:spPr>
        <a:xfrm flipV="1">
          <a:off x="10654393" y="69988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27</xdr:row>
      <xdr:rowOff>190500</xdr:rowOff>
    </xdr:from>
    <xdr:to>
      <xdr:col>15</xdr:col>
      <xdr:colOff>27214</xdr:colOff>
      <xdr:row>29</xdr:row>
      <xdr:rowOff>176894</xdr:rowOff>
    </xdr:to>
    <xdr:cxnSp macro="">
      <xdr:nvCxnSpPr>
        <xdr:cNvPr id="134" name="Straight Connector 133"/>
        <xdr:cNvCxnSpPr/>
      </xdr:nvCxnSpPr>
      <xdr:spPr>
        <a:xfrm flipV="1">
          <a:off x="12504964" y="6972300"/>
          <a:ext cx="923925" cy="38644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27215</xdr:colOff>
      <xdr:row>28</xdr:row>
      <xdr:rowOff>0</xdr:rowOff>
    </xdr:from>
    <xdr:to>
      <xdr:col>11</xdr:col>
      <xdr:colOff>13607</xdr:colOff>
      <xdr:row>29</xdr:row>
      <xdr:rowOff>176892</xdr:rowOff>
    </xdr:to>
    <xdr:cxnSp macro="">
      <xdr:nvCxnSpPr>
        <xdr:cNvPr id="135" name="Straight Connector 134"/>
        <xdr:cNvCxnSpPr/>
      </xdr:nvCxnSpPr>
      <xdr:spPr>
        <a:xfrm flipV="1">
          <a:off x="8780690" y="6981825"/>
          <a:ext cx="910317" cy="37691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911679</xdr:colOff>
      <xdr:row>28</xdr:row>
      <xdr:rowOff>0</xdr:rowOff>
    </xdr:from>
    <xdr:to>
      <xdr:col>15</xdr:col>
      <xdr:colOff>952500</xdr:colOff>
      <xdr:row>29</xdr:row>
      <xdr:rowOff>190501</xdr:rowOff>
    </xdr:to>
    <xdr:cxnSp macro="">
      <xdr:nvCxnSpPr>
        <xdr:cNvPr id="136" name="Straight Connector 135"/>
        <xdr:cNvCxnSpPr/>
      </xdr:nvCxnSpPr>
      <xdr:spPr>
        <a:xfrm flipV="1">
          <a:off x="13389429" y="6981825"/>
          <a:ext cx="964746" cy="390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8</xdr:row>
      <xdr:rowOff>13608</xdr:rowOff>
    </xdr:from>
    <xdr:to>
      <xdr:col>12</xdr:col>
      <xdr:colOff>27214</xdr:colOff>
      <xdr:row>9</xdr:row>
      <xdr:rowOff>190502</xdr:rowOff>
    </xdr:to>
    <xdr:cxnSp macro="">
      <xdr:nvCxnSpPr>
        <xdr:cNvPr id="137" name="Straight Connector 136"/>
        <xdr:cNvCxnSpPr/>
      </xdr:nvCxnSpPr>
      <xdr:spPr>
        <a:xfrm flipV="1">
          <a:off x="9759042" y="2985408"/>
          <a:ext cx="888547" cy="38644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17011</xdr:rowOff>
    </xdr:from>
    <xdr:to>
      <xdr:col>12</xdr:col>
      <xdr:colOff>916780</xdr:colOff>
      <xdr:row>9</xdr:row>
      <xdr:rowOff>192201</xdr:rowOff>
    </xdr:to>
    <xdr:cxnSp macro="">
      <xdr:nvCxnSpPr>
        <xdr:cNvPr id="138" name="Straight Connector 137"/>
        <xdr:cNvCxnSpPr/>
      </xdr:nvCxnSpPr>
      <xdr:spPr>
        <a:xfrm flipV="1">
          <a:off x="10654393" y="2988811"/>
          <a:ext cx="882762" cy="384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8</xdr:row>
      <xdr:rowOff>40821</xdr:rowOff>
    </xdr:from>
    <xdr:to>
      <xdr:col>14</xdr:col>
      <xdr:colOff>911678</xdr:colOff>
      <xdr:row>9</xdr:row>
      <xdr:rowOff>149677</xdr:rowOff>
    </xdr:to>
    <xdr:cxnSp macro="">
      <xdr:nvCxnSpPr>
        <xdr:cNvPr id="139" name="Straight Connector 138"/>
        <xdr:cNvCxnSpPr/>
      </xdr:nvCxnSpPr>
      <xdr:spPr>
        <a:xfrm flipV="1">
          <a:off x="12504963" y="3012621"/>
          <a:ext cx="884465" cy="3184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8</xdr:row>
      <xdr:rowOff>2</xdr:rowOff>
    </xdr:from>
    <xdr:to>
      <xdr:col>11</xdr:col>
      <xdr:colOff>40820</xdr:colOff>
      <xdr:row>9</xdr:row>
      <xdr:rowOff>176893</xdr:rowOff>
    </xdr:to>
    <xdr:cxnSp macro="">
      <xdr:nvCxnSpPr>
        <xdr:cNvPr id="140" name="Straight Connector 139"/>
        <xdr:cNvCxnSpPr/>
      </xdr:nvCxnSpPr>
      <xdr:spPr>
        <a:xfrm flipV="1">
          <a:off x="8821510" y="2971802"/>
          <a:ext cx="896710" cy="3864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8</xdr:row>
      <xdr:rowOff>27216</xdr:rowOff>
    </xdr:from>
    <xdr:to>
      <xdr:col>16</xdr:col>
      <xdr:colOff>27215</xdr:colOff>
      <xdr:row>9</xdr:row>
      <xdr:rowOff>176893</xdr:rowOff>
    </xdr:to>
    <xdr:cxnSp macro="">
      <xdr:nvCxnSpPr>
        <xdr:cNvPr id="141" name="Straight Connector 140"/>
        <xdr:cNvCxnSpPr/>
      </xdr:nvCxnSpPr>
      <xdr:spPr>
        <a:xfrm flipV="1">
          <a:off x="13456103" y="2999016"/>
          <a:ext cx="934812" cy="35922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xdr:row>
      <xdr:rowOff>13608</xdr:rowOff>
    </xdr:from>
    <xdr:to>
      <xdr:col>12</xdr:col>
      <xdr:colOff>27214</xdr:colOff>
      <xdr:row>5</xdr:row>
      <xdr:rowOff>190502</xdr:rowOff>
    </xdr:to>
    <xdr:cxnSp macro="">
      <xdr:nvCxnSpPr>
        <xdr:cNvPr id="142" name="Straight Connector 141"/>
        <xdr:cNvCxnSpPr/>
      </xdr:nvCxnSpPr>
      <xdr:spPr>
        <a:xfrm flipV="1">
          <a:off x="9759042" y="21757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xdr:row>
      <xdr:rowOff>0</xdr:rowOff>
    </xdr:from>
    <xdr:to>
      <xdr:col>13</xdr:col>
      <xdr:colOff>13607</xdr:colOff>
      <xdr:row>5</xdr:row>
      <xdr:rowOff>192202</xdr:rowOff>
    </xdr:to>
    <xdr:cxnSp macro="">
      <xdr:nvCxnSpPr>
        <xdr:cNvPr id="143" name="Straight Connector 142"/>
        <xdr:cNvCxnSpPr/>
      </xdr:nvCxnSpPr>
      <xdr:spPr>
        <a:xfrm flipV="1">
          <a:off x="10654393" y="2162175"/>
          <a:ext cx="941614" cy="39222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4</xdr:row>
      <xdr:rowOff>40821</xdr:rowOff>
    </xdr:from>
    <xdr:to>
      <xdr:col>14</xdr:col>
      <xdr:colOff>911678</xdr:colOff>
      <xdr:row>5</xdr:row>
      <xdr:rowOff>149677</xdr:rowOff>
    </xdr:to>
    <xdr:cxnSp macro="">
      <xdr:nvCxnSpPr>
        <xdr:cNvPr id="144" name="Straight Connector 143"/>
        <xdr:cNvCxnSpPr/>
      </xdr:nvCxnSpPr>
      <xdr:spPr>
        <a:xfrm flipV="1">
          <a:off x="12504963" y="22029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40821</xdr:colOff>
      <xdr:row>4</xdr:row>
      <xdr:rowOff>13609</xdr:rowOff>
    </xdr:from>
    <xdr:to>
      <xdr:col>11</xdr:col>
      <xdr:colOff>13606</xdr:colOff>
      <xdr:row>5</xdr:row>
      <xdr:rowOff>190500</xdr:rowOff>
    </xdr:to>
    <xdr:cxnSp macro="">
      <xdr:nvCxnSpPr>
        <xdr:cNvPr id="145" name="Straight Connector 144"/>
        <xdr:cNvCxnSpPr/>
      </xdr:nvCxnSpPr>
      <xdr:spPr>
        <a:xfrm flipV="1">
          <a:off x="8794296" y="2175784"/>
          <a:ext cx="896710" cy="3769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4</xdr:row>
      <xdr:rowOff>27216</xdr:rowOff>
    </xdr:from>
    <xdr:to>
      <xdr:col>16</xdr:col>
      <xdr:colOff>27215</xdr:colOff>
      <xdr:row>5</xdr:row>
      <xdr:rowOff>176893</xdr:rowOff>
    </xdr:to>
    <xdr:cxnSp macro="">
      <xdr:nvCxnSpPr>
        <xdr:cNvPr id="146" name="Straight Connector 145"/>
        <xdr:cNvCxnSpPr/>
      </xdr:nvCxnSpPr>
      <xdr:spPr>
        <a:xfrm flipV="1">
          <a:off x="13456103" y="21893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20</xdr:row>
      <xdr:rowOff>13609</xdr:rowOff>
    </xdr:from>
    <xdr:to>
      <xdr:col>12</xdr:col>
      <xdr:colOff>27214</xdr:colOff>
      <xdr:row>22</xdr:row>
      <xdr:rowOff>0</xdr:rowOff>
    </xdr:to>
    <xdr:cxnSp macro="">
      <xdr:nvCxnSpPr>
        <xdr:cNvPr id="147" name="Straight Connector 146"/>
        <xdr:cNvCxnSpPr/>
      </xdr:nvCxnSpPr>
      <xdr:spPr>
        <a:xfrm flipV="1">
          <a:off x="9691007" y="5395234"/>
          <a:ext cx="956582" cy="3864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17011</xdr:rowOff>
    </xdr:from>
    <xdr:to>
      <xdr:col>12</xdr:col>
      <xdr:colOff>916780</xdr:colOff>
      <xdr:row>21</xdr:row>
      <xdr:rowOff>192201</xdr:rowOff>
    </xdr:to>
    <xdr:cxnSp macro="">
      <xdr:nvCxnSpPr>
        <xdr:cNvPr id="148" name="Straight Connector 147"/>
        <xdr:cNvCxnSpPr/>
      </xdr:nvCxnSpPr>
      <xdr:spPr>
        <a:xfrm flipV="1">
          <a:off x="10654393" y="53986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20</xdr:row>
      <xdr:rowOff>40821</xdr:rowOff>
    </xdr:from>
    <xdr:to>
      <xdr:col>14</xdr:col>
      <xdr:colOff>911678</xdr:colOff>
      <xdr:row>21</xdr:row>
      <xdr:rowOff>149677</xdr:rowOff>
    </xdr:to>
    <xdr:cxnSp macro="">
      <xdr:nvCxnSpPr>
        <xdr:cNvPr id="149" name="Straight Connector 148"/>
        <xdr:cNvCxnSpPr/>
      </xdr:nvCxnSpPr>
      <xdr:spPr>
        <a:xfrm flipV="1">
          <a:off x="12504963" y="542244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20</xdr:row>
      <xdr:rowOff>2</xdr:rowOff>
    </xdr:from>
    <xdr:to>
      <xdr:col>11</xdr:col>
      <xdr:colOff>40820</xdr:colOff>
      <xdr:row>22</xdr:row>
      <xdr:rowOff>0</xdr:rowOff>
    </xdr:to>
    <xdr:cxnSp macro="">
      <xdr:nvCxnSpPr>
        <xdr:cNvPr id="150" name="Straight Connector 149"/>
        <xdr:cNvCxnSpPr/>
      </xdr:nvCxnSpPr>
      <xdr:spPr>
        <a:xfrm flipV="1">
          <a:off x="8767082" y="5381627"/>
          <a:ext cx="951138" cy="4000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20</xdr:row>
      <xdr:rowOff>27216</xdr:rowOff>
    </xdr:from>
    <xdr:to>
      <xdr:col>16</xdr:col>
      <xdr:colOff>27215</xdr:colOff>
      <xdr:row>21</xdr:row>
      <xdr:rowOff>176893</xdr:rowOff>
    </xdr:to>
    <xdr:cxnSp macro="">
      <xdr:nvCxnSpPr>
        <xdr:cNvPr id="151" name="Straight Connector 150"/>
        <xdr:cNvCxnSpPr/>
      </xdr:nvCxnSpPr>
      <xdr:spPr>
        <a:xfrm flipV="1">
          <a:off x="13456103" y="540884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10</xdr:row>
      <xdr:rowOff>13609</xdr:rowOff>
    </xdr:from>
    <xdr:to>
      <xdr:col>12</xdr:col>
      <xdr:colOff>27214</xdr:colOff>
      <xdr:row>12</xdr:row>
      <xdr:rowOff>0</xdr:rowOff>
    </xdr:to>
    <xdr:cxnSp macro="">
      <xdr:nvCxnSpPr>
        <xdr:cNvPr id="152" name="Straight Connector 151"/>
        <xdr:cNvCxnSpPr/>
      </xdr:nvCxnSpPr>
      <xdr:spPr>
        <a:xfrm flipV="1">
          <a:off x="9691007" y="3394984"/>
          <a:ext cx="956582" cy="38644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17011</xdr:rowOff>
    </xdr:from>
    <xdr:to>
      <xdr:col>12</xdr:col>
      <xdr:colOff>916780</xdr:colOff>
      <xdr:row>11</xdr:row>
      <xdr:rowOff>192201</xdr:rowOff>
    </xdr:to>
    <xdr:cxnSp macro="">
      <xdr:nvCxnSpPr>
        <xdr:cNvPr id="153" name="Straight Connector 152"/>
        <xdr:cNvCxnSpPr/>
      </xdr:nvCxnSpPr>
      <xdr:spPr>
        <a:xfrm flipV="1">
          <a:off x="10654393" y="3398386"/>
          <a:ext cx="882762" cy="375215"/>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10</xdr:row>
      <xdr:rowOff>40821</xdr:rowOff>
    </xdr:from>
    <xdr:to>
      <xdr:col>14</xdr:col>
      <xdr:colOff>911678</xdr:colOff>
      <xdr:row>11</xdr:row>
      <xdr:rowOff>149677</xdr:rowOff>
    </xdr:to>
    <xdr:cxnSp macro="">
      <xdr:nvCxnSpPr>
        <xdr:cNvPr id="154" name="Straight Connector 153"/>
        <xdr:cNvCxnSpPr/>
      </xdr:nvCxnSpPr>
      <xdr:spPr>
        <a:xfrm flipV="1">
          <a:off x="12504963" y="3422196"/>
          <a:ext cx="884465" cy="308881"/>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10</xdr:row>
      <xdr:rowOff>2</xdr:rowOff>
    </xdr:from>
    <xdr:to>
      <xdr:col>11</xdr:col>
      <xdr:colOff>40820</xdr:colOff>
      <xdr:row>12</xdr:row>
      <xdr:rowOff>0</xdr:rowOff>
    </xdr:to>
    <xdr:cxnSp macro="">
      <xdr:nvCxnSpPr>
        <xdr:cNvPr id="155" name="Straight Connector 154"/>
        <xdr:cNvCxnSpPr/>
      </xdr:nvCxnSpPr>
      <xdr:spPr>
        <a:xfrm flipV="1">
          <a:off x="8767082" y="3381377"/>
          <a:ext cx="951138" cy="400048"/>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10</xdr:row>
      <xdr:rowOff>27216</xdr:rowOff>
    </xdr:from>
    <xdr:to>
      <xdr:col>16</xdr:col>
      <xdr:colOff>27215</xdr:colOff>
      <xdr:row>11</xdr:row>
      <xdr:rowOff>176893</xdr:rowOff>
    </xdr:to>
    <xdr:cxnSp macro="">
      <xdr:nvCxnSpPr>
        <xdr:cNvPr id="156" name="Straight Connector 155"/>
        <xdr:cNvCxnSpPr/>
      </xdr:nvCxnSpPr>
      <xdr:spPr>
        <a:xfrm flipV="1">
          <a:off x="13456103" y="3408591"/>
          <a:ext cx="934812" cy="349702"/>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36</xdr:row>
      <xdr:rowOff>13608</xdr:rowOff>
    </xdr:from>
    <xdr:to>
      <xdr:col>12</xdr:col>
      <xdr:colOff>27214</xdr:colOff>
      <xdr:row>37</xdr:row>
      <xdr:rowOff>190502</xdr:rowOff>
    </xdr:to>
    <xdr:cxnSp macro="">
      <xdr:nvCxnSpPr>
        <xdr:cNvPr id="157" name="Straight Connector 156"/>
        <xdr:cNvCxnSpPr/>
      </xdr:nvCxnSpPr>
      <xdr:spPr>
        <a:xfrm flipV="1">
          <a:off x="9759042" y="859563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17011</xdr:rowOff>
    </xdr:from>
    <xdr:to>
      <xdr:col>12</xdr:col>
      <xdr:colOff>916780</xdr:colOff>
      <xdr:row>37</xdr:row>
      <xdr:rowOff>192201</xdr:rowOff>
    </xdr:to>
    <xdr:cxnSp macro="">
      <xdr:nvCxnSpPr>
        <xdr:cNvPr id="158" name="Straight Connector 157"/>
        <xdr:cNvCxnSpPr/>
      </xdr:nvCxnSpPr>
      <xdr:spPr>
        <a:xfrm flipV="1">
          <a:off x="10654393" y="85990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36</xdr:row>
      <xdr:rowOff>40821</xdr:rowOff>
    </xdr:from>
    <xdr:to>
      <xdr:col>14</xdr:col>
      <xdr:colOff>911678</xdr:colOff>
      <xdr:row>37</xdr:row>
      <xdr:rowOff>149677</xdr:rowOff>
    </xdr:to>
    <xdr:cxnSp macro="">
      <xdr:nvCxnSpPr>
        <xdr:cNvPr id="159" name="Straight Connector 158"/>
        <xdr:cNvCxnSpPr/>
      </xdr:nvCxnSpPr>
      <xdr:spPr>
        <a:xfrm flipV="1">
          <a:off x="12504963" y="862284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36</xdr:row>
      <xdr:rowOff>27215</xdr:rowOff>
    </xdr:from>
    <xdr:to>
      <xdr:col>10</xdr:col>
      <xdr:colOff>911678</xdr:colOff>
      <xdr:row>38</xdr:row>
      <xdr:rowOff>0</xdr:rowOff>
    </xdr:to>
    <xdr:cxnSp macro="">
      <xdr:nvCxnSpPr>
        <xdr:cNvPr id="160" name="Straight Connector 159"/>
        <xdr:cNvCxnSpPr/>
      </xdr:nvCxnSpPr>
      <xdr:spPr>
        <a:xfrm flipV="1">
          <a:off x="8753475" y="8609240"/>
          <a:ext cx="911678" cy="37283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36</xdr:row>
      <xdr:rowOff>27216</xdr:rowOff>
    </xdr:from>
    <xdr:to>
      <xdr:col>16</xdr:col>
      <xdr:colOff>27215</xdr:colOff>
      <xdr:row>37</xdr:row>
      <xdr:rowOff>176893</xdr:rowOff>
    </xdr:to>
    <xdr:cxnSp macro="">
      <xdr:nvCxnSpPr>
        <xdr:cNvPr id="161" name="Straight Connector 160"/>
        <xdr:cNvCxnSpPr/>
      </xdr:nvCxnSpPr>
      <xdr:spPr>
        <a:xfrm flipV="1">
          <a:off x="13456103" y="860924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46</xdr:row>
      <xdr:rowOff>13608</xdr:rowOff>
    </xdr:from>
    <xdr:to>
      <xdr:col>12</xdr:col>
      <xdr:colOff>27214</xdr:colOff>
      <xdr:row>47</xdr:row>
      <xdr:rowOff>190502</xdr:rowOff>
    </xdr:to>
    <xdr:cxnSp macro="">
      <xdr:nvCxnSpPr>
        <xdr:cNvPr id="162" name="Straight Connector 161"/>
        <xdr:cNvCxnSpPr/>
      </xdr:nvCxnSpPr>
      <xdr:spPr>
        <a:xfrm flipV="1">
          <a:off x="9759042" y="9296400"/>
          <a:ext cx="888547"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46</xdr:row>
      <xdr:rowOff>17011</xdr:rowOff>
    </xdr:from>
    <xdr:to>
      <xdr:col>12</xdr:col>
      <xdr:colOff>916780</xdr:colOff>
      <xdr:row>47</xdr:row>
      <xdr:rowOff>192201</xdr:rowOff>
    </xdr:to>
    <xdr:cxnSp macro="">
      <xdr:nvCxnSpPr>
        <xdr:cNvPr id="163" name="Straight Connector 162"/>
        <xdr:cNvCxnSpPr/>
      </xdr:nvCxnSpPr>
      <xdr:spPr>
        <a:xfrm flipV="1">
          <a:off x="10654393" y="9296400"/>
          <a:ext cx="882762"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30</xdr:row>
      <xdr:rowOff>13608</xdr:rowOff>
    </xdr:from>
    <xdr:to>
      <xdr:col>12</xdr:col>
      <xdr:colOff>27214</xdr:colOff>
      <xdr:row>31</xdr:row>
      <xdr:rowOff>190502</xdr:rowOff>
    </xdr:to>
    <xdr:cxnSp macro="">
      <xdr:nvCxnSpPr>
        <xdr:cNvPr id="164" name="Straight Connector 163"/>
        <xdr:cNvCxnSpPr/>
      </xdr:nvCxnSpPr>
      <xdr:spPr>
        <a:xfrm flipV="1">
          <a:off x="9759042" y="73954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17011</xdr:rowOff>
    </xdr:from>
    <xdr:to>
      <xdr:col>12</xdr:col>
      <xdr:colOff>916780</xdr:colOff>
      <xdr:row>31</xdr:row>
      <xdr:rowOff>192201</xdr:rowOff>
    </xdr:to>
    <xdr:cxnSp macro="">
      <xdr:nvCxnSpPr>
        <xdr:cNvPr id="165" name="Straight Connector 164"/>
        <xdr:cNvCxnSpPr/>
      </xdr:nvCxnSpPr>
      <xdr:spPr>
        <a:xfrm flipV="1">
          <a:off x="10654393" y="73988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30</xdr:row>
      <xdr:rowOff>40821</xdr:rowOff>
    </xdr:from>
    <xdr:to>
      <xdr:col>14</xdr:col>
      <xdr:colOff>911678</xdr:colOff>
      <xdr:row>31</xdr:row>
      <xdr:rowOff>149677</xdr:rowOff>
    </xdr:to>
    <xdr:cxnSp macro="">
      <xdr:nvCxnSpPr>
        <xdr:cNvPr id="166" name="Straight Connector 165"/>
        <xdr:cNvCxnSpPr/>
      </xdr:nvCxnSpPr>
      <xdr:spPr>
        <a:xfrm flipV="1">
          <a:off x="12504963" y="74226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30</xdr:row>
      <xdr:rowOff>27215</xdr:rowOff>
    </xdr:from>
    <xdr:to>
      <xdr:col>10</xdr:col>
      <xdr:colOff>911678</xdr:colOff>
      <xdr:row>32</xdr:row>
      <xdr:rowOff>0</xdr:rowOff>
    </xdr:to>
    <xdr:cxnSp macro="">
      <xdr:nvCxnSpPr>
        <xdr:cNvPr id="167" name="Straight Connector 166"/>
        <xdr:cNvCxnSpPr/>
      </xdr:nvCxnSpPr>
      <xdr:spPr>
        <a:xfrm flipV="1">
          <a:off x="8753475" y="7409090"/>
          <a:ext cx="911678" cy="37283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30</xdr:row>
      <xdr:rowOff>27216</xdr:rowOff>
    </xdr:from>
    <xdr:to>
      <xdr:col>16</xdr:col>
      <xdr:colOff>27215</xdr:colOff>
      <xdr:row>31</xdr:row>
      <xdr:rowOff>176893</xdr:rowOff>
    </xdr:to>
    <xdr:cxnSp macro="">
      <xdr:nvCxnSpPr>
        <xdr:cNvPr id="168" name="Straight Connector 167"/>
        <xdr:cNvCxnSpPr/>
      </xdr:nvCxnSpPr>
      <xdr:spPr>
        <a:xfrm flipV="1">
          <a:off x="13456103" y="74090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24</xdr:row>
      <xdr:rowOff>13608</xdr:rowOff>
    </xdr:from>
    <xdr:to>
      <xdr:col>12</xdr:col>
      <xdr:colOff>27214</xdr:colOff>
      <xdr:row>25</xdr:row>
      <xdr:rowOff>190502</xdr:rowOff>
    </xdr:to>
    <xdr:cxnSp macro="">
      <xdr:nvCxnSpPr>
        <xdr:cNvPr id="169" name="Straight Connector 168"/>
        <xdr:cNvCxnSpPr/>
      </xdr:nvCxnSpPr>
      <xdr:spPr>
        <a:xfrm flipV="1">
          <a:off x="9759042" y="619533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17011</xdr:rowOff>
    </xdr:from>
    <xdr:to>
      <xdr:col>12</xdr:col>
      <xdr:colOff>916780</xdr:colOff>
      <xdr:row>25</xdr:row>
      <xdr:rowOff>192201</xdr:rowOff>
    </xdr:to>
    <xdr:cxnSp macro="">
      <xdr:nvCxnSpPr>
        <xdr:cNvPr id="170" name="Straight Connector 169"/>
        <xdr:cNvCxnSpPr/>
      </xdr:nvCxnSpPr>
      <xdr:spPr>
        <a:xfrm flipV="1">
          <a:off x="10654393" y="61987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24</xdr:row>
      <xdr:rowOff>40821</xdr:rowOff>
    </xdr:from>
    <xdr:to>
      <xdr:col>14</xdr:col>
      <xdr:colOff>911678</xdr:colOff>
      <xdr:row>25</xdr:row>
      <xdr:rowOff>149677</xdr:rowOff>
    </xdr:to>
    <xdr:cxnSp macro="">
      <xdr:nvCxnSpPr>
        <xdr:cNvPr id="171" name="Straight Connector 170"/>
        <xdr:cNvCxnSpPr/>
      </xdr:nvCxnSpPr>
      <xdr:spPr>
        <a:xfrm flipV="1">
          <a:off x="12504963" y="622254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24</xdr:row>
      <xdr:rowOff>27216</xdr:rowOff>
    </xdr:from>
    <xdr:to>
      <xdr:col>10</xdr:col>
      <xdr:colOff>898071</xdr:colOff>
      <xdr:row>26</xdr:row>
      <xdr:rowOff>0</xdr:rowOff>
    </xdr:to>
    <xdr:cxnSp macro="">
      <xdr:nvCxnSpPr>
        <xdr:cNvPr id="172" name="Straight Connector 171"/>
        <xdr:cNvCxnSpPr/>
      </xdr:nvCxnSpPr>
      <xdr:spPr>
        <a:xfrm flipV="1">
          <a:off x="8753475" y="6208941"/>
          <a:ext cx="898071" cy="37283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24</xdr:row>
      <xdr:rowOff>27216</xdr:rowOff>
    </xdr:from>
    <xdr:to>
      <xdr:col>16</xdr:col>
      <xdr:colOff>27215</xdr:colOff>
      <xdr:row>25</xdr:row>
      <xdr:rowOff>176893</xdr:rowOff>
    </xdr:to>
    <xdr:cxnSp macro="">
      <xdr:nvCxnSpPr>
        <xdr:cNvPr id="173" name="Straight Connector 172"/>
        <xdr:cNvCxnSpPr/>
      </xdr:nvCxnSpPr>
      <xdr:spPr>
        <a:xfrm flipV="1">
          <a:off x="13456103" y="620894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32</xdr:row>
      <xdr:rowOff>13608</xdr:rowOff>
    </xdr:from>
    <xdr:to>
      <xdr:col>12</xdr:col>
      <xdr:colOff>27214</xdr:colOff>
      <xdr:row>33</xdr:row>
      <xdr:rowOff>190502</xdr:rowOff>
    </xdr:to>
    <xdr:cxnSp macro="">
      <xdr:nvCxnSpPr>
        <xdr:cNvPr id="174" name="Straight Connector 173"/>
        <xdr:cNvCxnSpPr/>
      </xdr:nvCxnSpPr>
      <xdr:spPr>
        <a:xfrm flipV="1">
          <a:off x="9759042" y="779553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17011</xdr:rowOff>
    </xdr:from>
    <xdr:to>
      <xdr:col>12</xdr:col>
      <xdr:colOff>916780</xdr:colOff>
      <xdr:row>33</xdr:row>
      <xdr:rowOff>192201</xdr:rowOff>
    </xdr:to>
    <xdr:cxnSp macro="">
      <xdr:nvCxnSpPr>
        <xdr:cNvPr id="175" name="Straight Connector 174"/>
        <xdr:cNvCxnSpPr/>
      </xdr:nvCxnSpPr>
      <xdr:spPr>
        <a:xfrm flipV="1">
          <a:off x="10654393" y="77989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32</xdr:row>
      <xdr:rowOff>40821</xdr:rowOff>
    </xdr:from>
    <xdr:to>
      <xdr:col>14</xdr:col>
      <xdr:colOff>911678</xdr:colOff>
      <xdr:row>33</xdr:row>
      <xdr:rowOff>149677</xdr:rowOff>
    </xdr:to>
    <xdr:cxnSp macro="">
      <xdr:nvCxnSpPr>
        <xdr:cNvPr id="176" name="Straight Connector 175"/>
        <xdr:cNvCxnSpPr/>
      </xdr:nvCxnSpPr>
      <xdr:spPr>
        <a:xfrm flipV="1">
          <a:off x="12504963" y="782274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32</xdr:row>
      <xdr:rowOff>27215</xdr:rowOff>
    </xdr:from>
    <xdr:to>
      <xdr:col>10</xdr:col>
      <xdr:colOff>911678</xdr:colOff>
      <xdr:row>34</xdr:row>
      <xdr:rowOff>0</xdr:rowOff>
    </xdr:to>
    <xdr:cxnSp macro="">
      <xdr:nvCxnSpPr>
        <xdr:cNvPr id="177" name="Straight Connector 176"/>
        <xdr:cNvCxnSpPr/>
      </xdr:nvCxnSpPr>
      <xdr:spPr>
        <a:xfrm flipV="1">
          <a:off x="8753475" y="7809140"/>
          <a:ext cx="911678" cy="37283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32</xdr:row>
      <xdr:rowOff>27216</xdr:rowOff>
    </xdr:from>
    <xdr:to>
      <xdr:col>16</xdr:col>
      <xdr:colOff>27215</xdr:colOff>
      <xdr:row>33</xdr:row>
      <xdr:rowOff>176893</xdr:rowOff>
    </xdr:to>
    <xdr:cxnSp macro="">
      <xdr:nvCxnSpPr>
        <xdr:cNvPr id="178" name="Straight Connector 177"/>
        <xdr:cNvCxnSpPr/>
      </xdr:nvCxnSpPr>
      <xdr:spPr>
        <a:xfrm flipV="1">
          <a:off x="13456103" y="780914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14</xdr:row>
      <xdr:rowOff>13609</xdr:rowOff>
    </xdr:from>
    <xdr:to>
      <xdr:col>12</xdr:col>
      <xdr:colOff>27214</xdr:colOff>
      <xdr:row>16</xdr:row>
      <xdr:rowOff>0</xdr:rowOff>
    </xdr:to>
    <xdr:cxnSp macro="">
      <xdr:nvCxnSpPr>
        <xdr:cNvPr id="179" name="Straight Connector 178"/>
        <xdr:cNvCxnSpPr/>
      </xdr:nvCxnSpPr>
      <xdr:spPr>
        <a:xfrm flipV="1">
          <a:off x="9691007" y="4195084"/>
          <a:ext cx="956582" cy="3864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17011</xdr:rowOff>
    </xdr:from>
    <xdr:to>
      <xdr:col>12</xdr:col>
      <xdr:colOff>916780</xdr:colOff>
      <xdr:row>15</xdr:row>
      <xdr:rowOff>192201</xdr:rowOff>
    </xdr:to>
    <xdr:cxnSp macro="">
      <xdr:nvCxnSpPr>
        <xdr:cNvPr id="180" name="Straight Connector 179"/>
        <xdr:cNvCxnSpPr/>
      </xdr:nvCxnSpPr>
      <xdr:spPr>
        <a:xfrm flipV="1">
          <a:off x="10654393" y="41984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14</xdr:row>
      <xdr:rowOff>40821</xdr:rowOff>
    </xdr:from>
    <xdr:to>
      <xdr:col>14</xdr:col>
      <xdr:colOff>911678</xdr:colOff>
      <xdr:row>15</xdr:row>
      <xdr:rowOff>149677</xdr:rowOff>
    </xdr:to>
    <xdr:cxnSp macro="">
      <xdr:nvCxnSpPr>
        <xdr:cNvPr id="181" name="Straight Connector 180"/>
        <xdr:cNvCxnSpPr/>
      </xdr:nvCxnSpPr>
      <xdr:spPr>
        <a:xfrm flipV="1">
          <a:off x="12504963" y="42222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14</xdr:row>
      <xdr:rowOff>2</xdr:rowOff>
    </xdr:from>
    <xdr:to>
      <xdr:col>11</xdr:col>
      <xdr:colOff>40820</xdr:colOff>
      <xdr:row>16</xdr:row>
      <xdr:rowOff>0</xdr:rowOff>
    </xdr:to>
    <xdr:cxnSp macro="">
      <xdr:nvCxnSpPr>
        <xdr:cNvPr id="182" name="Straight Connector 181"/>
        <xdr:cNvCxnSpPr/>
      </xdr:nvCxnSpPr>
      <xdr:spPr>
        <a:xfrm flipV="1">
          <a:off x="8767082" y="4181477"/>
          <a:ext cx="951138" cy="4000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14</xdr:row>
      <xdr:rowOff>27216</xdr:rowOff>
    </xdr:from>
    <xdr:to>
      <xdr:col>16</xdr:col>
      <xdr:colOff>27215</xdr:colOff>
      <xdr:row>15</xdr:row>
      <xdr:rowOff>176893</xdr:rowOff>
    </xdr:to>
    <xdr:cxnSp macro="">
      <xdr:nvCxnSpPr>
        <xdr:cNvPr id="183" name="Straight Connector 182"/>
        <xdr:cNvCxnSpPr/>
      </xdr:nvCxnSpPr>
      <xdr:spPr>
        <a:xfrm flipV="1">
          <a:off x="13456103" y="42086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6</xdr:row>
      <xdr:rowOff>13608</xdr:rowOff>
    </xdr:from>
    <xdr:to>
      <xdr:col>12</xdr:col>
      <xdr:colOff>27214</xdr:colOff>
      <xdr:row>7</xdr:row>
      <xdr:rowOff>190502</xdr:rowOff>
    </xdr:to>
    <xdr:cxnSp macro="">
      <xdr:nvCxnSpPr>
        <xdr:cNvPr id="184" name="Straight Connector 183"/>
        <xdr:cNvCxnSpPr/>
      </xdr:nvCxnSpPr>
      <xdr:spPr>
        <a:xfrm flipV="1">
          <a:off x="9759042" y="2575833"/>
          <a:ext cx="888547" cy="38644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17011</xdr:rowOff>
    </xdr:from>
    <xdr:to>
      <xdr:col>12</xdr:col>
      <xdr:colOff>916780</xdr:colOff>
      <xdr:row>7</xdr:row>
      <xdr:rowOff>192201</xdr:rowOff>
    </xdr:to>
    <xdr:cxnSp macro="">
      <xdr:nvCxnSpPr>
        <xdr:cNvPr id="185" name="Straight Connector 184"/>
        <xdr:cNvCxnSpPr/>
      </xdr:nvCxnSpPr>
      <xdr:spPr>
        <a:xfrm flipV="1">
          <a:off x="10654393" y="2579236"/>
          <a:ext cx="882762" cy="384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6</xdr:row>
      <xdr:rowOff>40821</xdr:rowOff>
    </xdr:from>
    <xdr:to>
      <xdr:col>14</xdr:col>
      <xdr:colOff>911678</xdr:colOff>
      <xdr:row>7</xdr:row>
      <xdr:rowOff>149677</xdr:rowOff>
    </xdr:to>
    <xdr:cxnSp macro="">
      <xdr:nvCxnSpPr>
        <xdr:cNvPr id="186" name="Straight Connector 185"/>
        <xdr:cNvCxnSpPr/>
      </xdr:nvCxnSpPr>
      <xdr:spPr>
        <a:xfrm flipV="1">
          <a:off x="12504963" y="2603046"/>
          <a:ext cx="884465" cy="3184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68035</xdr:colOff>
      <xdr:row>6</xdr:row>
      <xdr:rowOff>2</xdr:rowOff>
    </xdr:from>
    <xdr:to>
      <xdr:col>11</xdr:col>
      <xdr:colOff>40820</xdr:colOff>
      <xdr:row>7</xdr:row>
      <xdr:rowOff>176893</xdr:rowOff>
    </xdr:to>
    <xdr:cxnSp macro="">
      <xdr:nvCxnSpPr>
        <xdr:cNvPr id="187" name="Straight Connector 186"/>
        <xdr:cNvCxnSpPr/>
      </xdr:nvCxnSpPr>
      <xdr:spPr>
        <a:xfrm flipV="1">
          <a:off x="8821510" y="2562227"/>
          <a:ext cx="896710" cy="3864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6</xdr:row>
      <xdr:rowOff>27216</xdr:rowOff>
    </xdr:from>
    <xdr:to>
      <xdr:col>16</xdr:col>
      <xdr:colOff>27215</xdr:colOff>
      <xdr:row>7</xdr:row>
      <xdr:rowOff>176893</xdr:rowOff>
    </xdr:to>
    <xdr:cxnSp macro="">
      <xdr:nvCxnSpPr>
        <xdr:cNvPr id="188" name="Straight Connector 187"/>
        <xdr:cNvCxnSpPr/>
      </xdr:nvCxnSpPr>
      <xdr:spPr>
        <a:xfrm flipV="1">
          <a:off x="13456103" y="2589441"/>
          <a:ext cx="934812" cy="35922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66</xdr:row>
      <xdr:rowOff>13608</xdr:rowOff>
    </xdr:from>
    <xdr:to>
      <xdr:col>11</xdr:col>
      <xdr:colOff>898071</xdr:colOff>
      <xdr:row>67</xdr:row>
      <xdr:rowOff>190502</xdr:rowOff>
    </xdr:to>
    <xdr:cxnSp macro="">
      <xdr:nvCxnSpPr>
        <xdr:cNvPr id="189" name="Straight Connector 188"/>
        <xdr:cNvCxnSpPr/>
      </xdr:nvCxnSpPr>
      <xdr:spPr>
        <a:xfrm flipV="1">
          <a:off x="9691007" y="11862708"/>
          <a:ext cx="884464" cy="4054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66</xdr:row>
      <xdr:rowOff>40824</xdr:rowOff>
    </xdr:from>
    <xdr:to>
      <xdr:col>12</xdr:col>
      <xdr:colOff>898072</xdr:colOff>
      <xdr:row>67</xdr:row>
      <xdr:rowOff>190500</xdr:rowOff>
    </xdr:to>
    <xdr:cxnSp macro="">
      <xdr:nvCxnSpPr>
        <xdr:cNvPr id="190" name="Straight Connector 189"/>
        <xdr:cNvCxnSpPr/>
      </xdr:nvCxnSpPr>
      <xdr:spPr>
        <a:xfrm flipV="1">
          <a:off x="10620375" y="11889924"/>
          <a:ext cx="898072" cy="3782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xdr:colOff>
      <xdr:row>66</xdr:row>
      <xdr:rowOff>40824</xdr:rowOff>
    </xdr:from>
    <xdr:to>
      <xdr:col>14</xdr:col>
      <xdr:colOff>884465</xdr:colOff>
      <xdr:row>67</xdr:row>
      <xdr:rowOff>176893</xdr:rowOff>
    </xdr:to>
    <xdr:cxnSp macro="">
      <xdr:nvCxnSpPr>
        <xdr:cNvPr id="191" name="Straight Connector 190"/>
        <xdr:cNvCxnSpPr/>
      </xdr:nvCxnSpPr>
      <xdr:spPr>
        <a:xfrm flipV="1">
          <a:off x="12504964" y="11889924"/>
          <a:ext cx="857251" cy="3646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1020536</xdr:colOff>
      <xdr:row>66</xdr:row>
      <xdr:rowOff>13608</xdr:rowOff>
    </xdr:from>
    <xdr:to>
      <xdr:col>10</xdr:col>
      <xdr:colOff>884464</xdr:colOff>
      <xdr:row>68</xdr:row>
      <xdr:rowOff>0</xdr:rowOff>
    </xdr:to>
    <xdr:cxnSp macro="">
      <xdr:nvCxnSpPr>
        <xdr:cNvPr id="192" name="Straight Connector 191"/>
        <xdr:cNvCxnSpPr/>
      </xdr:nvCxnSpPr>
      <xdr:spPr>
        <a:xfrm flipV="1">
          <a:off x="8707211" y="11862708"/>
          <a:ext cx="930728" cy="43406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66</xdr:row>
      <xdr:rowOff>27217</xdr:rowOff>
    </xdr:from>
    <xdr:to>
      <xdr:col>15</xdr:col>
      <xdr:colOff>938894</xdr:colOff>
      <xdr:row>67</xdr:row>
      <xdr:rowOff>201084</xdr:rowOff>
    </xdr:to>
    <xdr:cxnSp macro="">
      <xdr:nvCxnSpPr>
        <xdr:cNvPr id="193" name="Straight Connector 192"/>
        <xdr:cNvCxnSpPr/>
      </xdr:nvCxnSpPr>
      <xdr:spPr>
        <a:xfrm flipV="1">
          <a:off x="13412259" y="11876317"/>
          <a:ext cx="928310" cy="40246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12</xdr:row>
      <xdr:rowOff>13609</xdr:rowOff>
    </xdr:from>
    <xdr:to>
      <xdr:col>12</xdr:col>
      <xdr:colOff>27214</xdr:colOff>
      <xdr:row>14</xdr:row>
      <xdr:rowOff>0</xdr:rowOff>
    </xdr:to>
    <xdr:cxnSp macro="">
      <xdr:nvCxnSpPr>
        <xdr:cNvPr id="194" name="Straight Connector 193"/>
        <xdr:cNvCxnSpPr/>
      </xdr:nvCxnSpPr>
      <xdr:spPr>
        <a:xfrm flipV="1">
          <a:off x="9691007" y="3795034"/>
          <a:ext cx="956582" cy="3864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17011</xdr:rowOff>
    </xdr:from>
    <xdr:to>
      <xdr:col>12</xdr:col>
      <xdr:colOff>916780</xdr:colOff>
      <xdr:row>13</xdr:row>
      <xdr:rowOff>192201</xdr:rowOff>
    </xdr:to>
    <xdr:cxnSp macro="">
      <xdr:nvCxnSpPr>
        <xdr:cNvPr id="195" name="Straight Connector 194"/>
        <xdr:cNvCxnSpPr/>
      </xdr:nvCxnSpPr>
      <xdr:spPr>
        <a:xfrm flipV="1">
          <a:off x="10654393" y="37984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12</xdr:row>
      <xdr:rowOff>40821</xdr:rowOff>
    </xdr:from>
    <xdr:to>
      <xdr:col>14</xdr:col>
      <xdr:colOff>911678</xdr:colOff>
      <xdr:row>13</xdr:row>
      <xdr:rowOff>149677</xdr:rowOff>
    </xdr:to>
    <xdr:cxnSp macro="">
      <xdr:nvCxnSpPr>
        <xdr:cNvPr id="196" name="Straight Connector 195"/>
        <xdr:cNvCxnSpPr/>
      </xdr:nvCxnSpPr>
      <xdr:spPr>
        <a:xfrm flipV="1">
          <a:off x="12504963" y="382224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12</xdr:row>
      <xdr:rowOff>2</xdr:rowOff>
    </xdr:from>
    <xdr:to>
      <xdr:col>11</xdr:col>
      <xdr:colOff>40820</xdr:colOff>
      <xdr:row>14</xdr:row>
      <xdr:rowOff>0</xdr:rowOff>
    </xdr:to>
    <xdr:cxnSp macro="">
      <xdr:nvCxnSpPr>
        <xdr:cNvPr id="197" name="Straight Connector 196"/>
        <xdr:cNvCxnSpPr/>
      </xdr:nvCxnSpPr>
      <xdr:spPr>
        <a:xfrm flipV="1">
          <a:off x="8767082" y="3781427"/>
          <a:ext cx="951138" cy="4000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12</xdr:row>
      <xdr:rowOff>27216</xdr:rowOff>
    </xdr:from>
    <xdr:to>
      <xdr:col>16</xdr:col>
      <xdr:colOff>27215</xdr:colOff>
      <xdr:row>13</xdr:row>
      <xdr:rowOff>176893</xdr:rowOff>
    </xdr:to>
    <xdr:cxnSp macro="">
      <xdr:nvCxnSpPr>
        <xdr:cNvPr id="198" name="Straight Connector 197"/>
        <xdr:cNvCxnSpPr/>
      </xdr:nvCxnSpPr>
      <xdr:spPr>
        <a:xfrm flipV="1">
          <a:off x="13456103" y="380864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10584</xdr:colOff>
      <xdr:row>68</xdr:row>
      <xdr:rowOff>27219</xdr:rowOff>
    </xdr:from>
    <xdr:to>
      <xdr:col>15</xdr:col>
      <xdr:colOff>938894</xdr:colOff>
      <xdr:row>70</xdr:row>
      <xdr:rowOff>10583</xdr:rowOff>
    </xdr:to>
    <xdr:cxnSp macro="">
      <xdr:nvCxnSpPr>
        <xdr:cNvPr id="199" name="Straight Connector 198"/>
        <xdr:cNvCxnSpPr/>
      </xdr:nvCxnSpPr>
      <xdr:spPr>
        <a:xfrm flipV="1">
          <a:off x="13412259" y="12296775"/>
          <a:ext cx="928310" cy="10583"/>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16</xdr:row>
      <xdr:rowOff>13609</xdr:rowOff>
    </xdr:from>
    <xdr:to>
      <xdr:col>12</xdr:col>
      <xdr:colOff>27214</xdr:colOff>
      <xdr:row>18</xdr:row>
      <xdr:rowOff>0</xdr:rowOff>
    </xdr:to>
    <xdr:cxnSp macro="">
      <xdr:nvCxnSpPr>
        <xdr:cNvPr id="200" name="Straight Connector 199"/>
        <xdr:cNvCxnSpPr/>
      </xdr:nvCxnSpPr>
      <xdr:spPr>
        <a:xfrm flipV="1">
          <a:off x="9691007" y="4595134"/>
          <a:ext cx="956582" cy="3864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17011</xdr:rowOff>
    </xdr:from>
    <xdr:to>
      <xdr:col>12</xdr:col>
      <xdr:colOff>916780</xdr:colOff>
      <xdr:row>17</xdr:row>
      <xdr:rowOff>192201</xdr:rowOff>
    </xdr:to>
    <xdr:cxnSp macro="">
      <xdr:nvCxnSpPr>
        <xdr:cNvPr id="201" name="Straight Connector 200"/>
        <xdr:cNvCxnSpPr/>
      </xdr:nvCxnSpPr>
      <xdr:spPr>
        <a:xfrm flipV="1">
          <a:off x="10654393" y="459853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16</xdr:row>
      <xdr:rowOff>40821</xdr:rowOff>
    </xdr:from>
    <xdr:to>
      <xdr:col>14</xdr:col>
      <xdr:colOff>911678</xdr:colOff>
      <xdr:row>17</xdr:row>
      <xdr:rowOff>149677</xdr:rowOff>
    </xdr:to>
    <xdr:cxnSp macro="">
      <xdr:nvCxnSpPr>
        <xdr:cNvPr id="202" name="Straight Connector 201"/>
        <xdr:cNvCxnSpPr/>
      </xdr:nvCxnSpPr>
      <xdr:spPr>
        <a:xfrm flipV="1">
          <a:off x="12504963" y="462234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16</xdr:row>
      <xdr:rowOff>2</xdr:rowOff>
    </xdr:from>
    <xdr:to>
      <xdr:col>11</xdr:col>
      <xdr:colOff>40820</xdr:colOff>
      <xdr:row>18</xdr:row>
      <xdr:rowOff>0</xdr:rowOff>
    </xdr:to>
    <xdr:cxnSp macro="">
      <xdr:nvCxnSpPr>
        <xdr:cNvPr id="203" name="Straight Connector 202"/>
        <xdr:cNvCxnSpPr/>
      </xdr:nvCxnSpPr>
      <xdr:spPr>
        <a:xfrm flipV="1">
          <a:off x="8767082" y="4581527"/>
          <a:ext cx="951138" cy="4000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16</xdr:row>
      <xdr:rowOff>27216</xdr:rowOff>
    </xdr:from>
    <xdr:to>
      <xdr:col>16</xdr:col>
      <xdr:colOff>27215</xdr:colOff>
      <xdr:row>17</xdr:row>
      <xdr:rowOff>176893</xdr:rowOff>
    </xdr:to>
    <xdr:cxnSp macro="">
      <xdr:nvCxnSpPr>
        <xdr:cNvPr id="204" name="Straight Connector 203"/>
        <xdr:cNvCxnSpPr/>
      </xdr:nvCxnSpPr>
      <xdr:spPr>
        <a:xfrm flipV="1">
          <a:off x="13456103" y="460874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13607</xdr:colOff>
      <xdr:row>18</xdr:row>
      <xdr:rowOff>13609</xdr:rowOff>
    </xdr:from>
    <xdr:to>
      <xdr:col>12</xdr:col>
      <xdr:colOff>27214</xdr:colOff>
      <xdr:row>20</xdr:row>
      <xdr:rowOff>0</xdr:rowOff>
    </xdr:to>
    <xdr:cxnSp macro="">
      <xdr:nvCxnSpPr>
        <xdr:cNvPr id="205" name="Straight Connector 204"/>
        <xdr:cNvCxnSpPr/>
      </xdr:nvCxnSpPr>
      <xdr:spPr>
        <a:xfrm flipV="1">
          <a:off x="9691007" y="4995184"/>
          <a:ext cx="956582" cy="3864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17011</xdr:rowOff>
    </xdr:from>
    <xdr:to>
      <xdr:col>12</xdr:col>
      <xdr:colOff>916780</xdr:colOff>
      <xdr:row>19</xdr:row>
      <xdr:rowOff>192201</xdr:rowOff>
    </xdr:to>
    <xdr:cxnSp macro="">
      <xdr:nvCxnSpPr>
        <xdr:cNvPr id="206" name="Straight Connector 205"/>
        <xdr:cNvCxnSpPr/>
      </xdr:nvCxnSpPr>
      <xdr:spPr>
        <a:xfrm flipV="1">
          <a:off x="10654393" y="49985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18</xdr:row>
      <xdr:rowOff>40821</xdr:rowOff>
    </xdr:from>
    <xdr:to>
      <xdr:col>14</xdr:col>
      <xdr:colOff>911678</xdr:colOff>
      <xdr:row>19</xdr:row>
      <xdr:rowOff>149677</xdr:rowOff>
    </xdr:to>
    <xdr:cxnSp macro="">
      <xdr:nvCxnSpPr>
        <xdr:cNvPr id="207" name="Straight Connector 206"/>
        <xdr:cNvCxnSpPr/>
      </xdr:nvCxnSpPr>
      <xdr:spPr>
        <a:xfrm flipV="1">
          <a:off x="12504963" y="50223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13607</xdr:colOff>
      <xdr:row>18</xdr:row>
      <xdr:rowOff>2</xdr:rowOff>
    </xdr:from>
    <xdr:to>
      <xdr:col>11</xdr:col>
      <xdr:colOff>40820</xdr:colOff>
      <xdr:row>20</xdr:row>
      <xdr:rowOff>0</xdr:rowOff>
    </xdr:to>
    <xdr:cxnSp macro="">
      <xdr:nvCxnSpPr>
        <xdr:cNvPr id="208" name="Straight Connector 207"/>
        <xdr:cNvCxnSpPr/>
      </xdr:nvCxnSpPr>
      <xdr:spPr>
        <a:xfrm flipV="1">
          <a:off x="8767082" y="4981577"/>
          <a:ext cx="951138" cy="4000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18</xdr:row>
      <xdr:rowOff>27216</xdr:rowOff>
    </xdr:from>
    <xdr:to>
      <xdr:col>16</xdr:col>
      <xdr:colOff>27215</xdr:colOff>
      <xdr:row>19</xdr:row>
      <xdr:rowOff>176893</xdr:rowOff>
    </xdr:to>
    <xdr:cxnSp macro="">
      <xdr:nvCxnSpPr>
        <xdr:cNvPr id="209" name="Straight Connector 208"/>
        <xdr:cNvCxnSpPr/>
      </xdr:nvCxnSpPr>
      <xdr:spPr>
        <a:xfrm flipV="1">
          <a:off x="13456103" y="50087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81642</xdr:colOff>
      <xdr:row>34</xdr:row>
      <xdr:rowOff>13608</xdr:rowOff>
    </xdr:from>
    <xdr:to>
      <xdr:col>12</xdr:col>
      <xdr:colOff>27214</xdr:colOff>
      <xdr:row>35</xdr:row>
      <xdr:rowOff>190502</xdr:rowOff>
    </xdr:to>
    <xdr:cxnSp macro="">
      <xdr:nvCxnSpPr>
        <xdr:cNvPr id="210" name="Straight Connector 209"/>
        <xdr:cNvCxnSpPr/>
      </xdr:nvCxnSpPr>
      <xdr:spPr>
        <a:xfrm flipV="1">
          <a:off x="9759042" y="8195583"/>
          <a:ext cx="888547" cy="37691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17011</xdr:rowOff>
    </xdr:from>
    <xdr:to>
      <xdr:col>12</xdr:col>
      <xdr:colOff>916780</xdr:colOff>
      <xdr:row>35</xdr:row>
      <xdr:rowOff>192201</xdr:rowOff>
    </xdr:to>
    <xdr:cxnSp macro="">
      <xdr:nvCxnSpPr>
        <xdr:cNvPr id="211" name="Straight Connector 210"/>
        <xdr:cNvCxnSpPr/>
      </xdr:nvCxnSpPr>
      <xdr:spPr>
        <a:xfrm flipV="1">
          <a:off x="10654393" y="8198986"/>
          <a:ext cx="882762" cy="37521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27213</xdr:colOff>
      <xdr:row>34</xdr:row>
      <xdr:rowOff>40821</xdr:rowOff>
    </xdr:from>
    <xdr:to>
      <xdr:col>14</xdr:col>
      <xdr:colOff>911678</xdr:colOff>
      <xdr:row>35</xdr:row>
      <xdr:rowOff>149677</xdr:rowOff>
    </xdr:to>
    <xdr:cxnSp macro="">
      <xdr:nvCxnSpPr>
        <xdr:cNvPr id="212" name="Straight Connector 211"/>
        <xdr:cNvCxnSpPr/>
      </xdr:nvCxnSpPr>
      <xdr:spPr>
        <a:xfrm flipV="1">
          <a:off x="12504963" y="8222796"/>
          <a:ext cx="884465" cy="3088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34</xdr:row>
      <xdr:rowOff>27215</xdr:rowOff>
    </xdr:from>
    <xdr:to>
      <xdr:col>10</xdr:col>
      <xdr:colOff>911678</xdr:colOff>
      <xdr:row>36</xdr:row>
      <xdr:rowOff>0</xdr:rowOff>
    </xdr:to>
    <xdr:cxnSp macro="">
      <xdr:nvCxnSpPr>
        <xdr:cNvPr id="213" name="Straight Connector 212"/>
        <xdr:cNvCxnSpPr/>
      </xdr:nvCxnSpPr>
      <xdr:spPr>
        <a:xfrm flipV="1">
          <a:off x="8753475" y="8209190"/>
          <a:ext cx="911678" cy="37283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xdr:colOff>
      <xdr:row>34</xdr:row>
      <xdr:rowOff>27216</xdr:rowOff>
    </xdr:from>
    <xdr:to>
      <xdr:col>16</xdr:col>
      <xdr:colOff>27215</xdr:colOff>
      <xdr:row>35</xdr:row>
      <xdr:rowOff>176893</xdr:rowOff>
    </xdr:to>
    <xdr:cxnSp macro="">
      <xdr:nvCxnSpPr>
        <xdr:cNvPr id="214" name="Straight Connector 213"/>
        <xdr:cNvCxnSpPr/>
      </xdr:nvCxnSpPr>
      <xdr:spPr>
        <a:xfrm flipV="1">
          <a:off x="13456103" y="8209191"/>
          <a:ext cx="934812" cy="349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xdr:row>
      <xdr:rowOff>0</xdr:rowOff>
    </xdr:from>
    <xdr:to>
      <xdr:col>13</xdr:col>
      <xdr:colOff>13607</xdr:colOff>
      <xdr:row>7</xdr:row>
      <xdr:rowOff>192202</xdr:rowOff>
    </xdr:to>
    <xdr:cxnSp macro="">
      <xdr:nvCxnSpPr>
        <xdr:cNvPr id="215" name="Straight Connector 142"/>
        <xdr:cNvCxnSpPr/>
      </xdr:nvCxnSpPr>
      <xdr:spPr>
        <a:xfrm flipV="1">
          <a:off x="9776732" y="2329543"/>
          <a:ext cx="861332" cy="38814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8</xdr:row>
      <xdr:rowOff>0</xdr:rowOff>
    </xdr:from>
    <xdr:to>
      <xdr:col>13</xdr:col>
      <xdr:colOff>13607</xdr:colOff>
      <xdr:row>9</xdr:row>
      <xdr:rowOff>192202</xdr:rowOff>
    </xdr:to>
    <xdr:cxnSp macro="">
      <xdr:nvCxnSpPr>
        <xdr:cNvPr id="216" name="Straight Connector 142"/>
        <xdr:cNvCxnSpPr/>
      </xdr:nvCxnSpPr>
      <xdr:spPr>
        <a:xfrm flipV="1">
          <a:off x="9776732" y="2721429"/>
          <a:ext cx="861332" cy="3990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10</xdr:row>
      <xdr:rowOff>0</xdr:rowOff>
    </xdr:from>
    <xdr:to>
      <xdr:col>13</xdr:col>
      <xdr:colOff>13607</xdr:colOff>
      <xdr:row>11</xdr:row>
      <xdr:rowOff>192202</xdr:rowOff>
    </xdr:to>
    <xdr:cxnSp macro="">
      <xdr:nvCxnSpPr>
        <xdr:cNvPr id="217"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12</xdr:row>
      <xdr:rowOff>0</xdr:rowOff>
    </xdr:from>
    <xdr:to>
      <xdr:col>13</xdr:col>
      <xdr:colOff>13607</xdr:colOff>
      <xdr:row>13</xdr:row>
      <xdr:rowOff>192202</xdr:rowOff>
    </xdr:to>
    <xdr:cxnSp macro="">
      <xdr:nvCxnSpPr>
        <xdr:cNvPr id="218"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14</xdr:row>
      <xdr:rowOff>0</xdr:rowOff>
    </xdr:from>
    <xdr:to>
      <xdr:col>13</xdr:col>
      <xdr:colOff>13607</xdr:colOff>
      <xdr:row>15</xdr:row>
      <xdr:rowOff>192202</xdr:rowOff>
    </xdr:to>
    <xdr:cxnSp macro="">
      <xdr:nvCxnSpPr>
        <xdr:cNvPr id="219"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16</xdr:row>
      <xdr:rowOff>0</xdr:rowOff>
    </xdr:from>
    <xdr:to>
      <xdr:col>13</xdr:col>
      <xdr:colOff>13607</xdr:colOff>
      <xdr:row>17</xdr:row>
      <xdr:rowOff>192202</xdr:rowOff>
    </xdr:to>
    <xdr:cxnSp macro="">
      <xdr:nvCxnSpPr>
        <xdr:cNvPr id="220"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18</xdr:row>
      <xdr:rowOff>0</xdr:rowOff>
    </xdr:from>
    <xdr:to>
      <xdr:col>13</xdr:col>
      <xdr:colOff>13607</xdr:colOff>
      <xdr:row>19</xdr:row>
      <xdr:rowOff>192202</xdr:rowOff>
    </xdr:to>
    <xdr:cxnSp macro="">
      <xdr:nvCxnSpPr>
        <xdr:cNvPr id="221"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20</xdr:row>
      <xdr:rowOff>0</xdr:rowOff>
    </xdr:from>
    <xdr:to>
      <xdr:col>13</xdr:col>
      <xdr:colOff>13607</xdr:colOff>
      <xdr:row>21</xdr:row>
      <xdr:rowOff>192202</xdr:rowOff>
    </xdr:to>
    <xdr:cxnSp macro="">
      <xdr:nvCxnSpPr>
        <xdr:cNvPr id="222"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22</xdr:row>
      <xdr:rowOff>0</xdr:rowOff>
    </xdr:from>
    <xdr:to>
      <xdr:col>13</xdr:col>
      <xdr:colOff>13607</xdr:colOff>
      <xdr:row>23</xdr:row>
      <xdr:rowOff>192202</xdr:rowOff>
    </xdr:to>
    <xdr:cxnSp macro="">
      <xdr:nvCxnSpPr>
        <xdr:cNvPr id="223"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24</xdr:row>
      <xdr:rowOff>0</xdr:rowOff>
    </xdr:from>
    <xdr:to>
      <xdr:col>13</xdr:col>
      <xdr:colOff>13607</xdr:colOff>
      <xdr:row>25</xdr:row>
      <xdr:rowOff>192202</xdr:rowOff>
    </xdr:to>
    <xdr:cxnSp macro="">
      <xdr:nvCxnSpPr>
        <xdr:cNvPr id="224"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26</xdr:row>
      <xdr:rowOff>0</xdr:rowOff>
    </xdr:from>
    <xdr:to>
      <xdr:col>13</xdr:col>
      <xdr:colOff>13607</xdr:colOff>
      <xdr:row>27</xdr:row>
      <xdr:rowOff>192202</xdr:rowOff>
    </xdr:to>
    <xdr:cxnSp macro="">
      <xdr:nvCxnSpPr>
        <xdr:cNvPr id="225"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28</xdr:row>
      <xdr:rowOff>0</xdr:rowOff>
    </xdr:from>
    <xdr:to>
      <xdr:col>13</xdr:col>
      <xdr:colOff>13607</xdr:colOff>
      <xdr:row>29</xdr:row>
      <xdr:rowOff>192202</xdr:rowOff>
    </xdr:to>
    <xdr:cxnSp macro="">
      <xdr:nvCxnSpPr>
        <xdr:cNvPr id="226"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30</xdr:row>
      <xdr:rowOff>0</xdr:rowOff>
    </xdr:from>
    <xdr:to>
      <xdr:col>13</xdr:col>
      <xdr:colOff>13607</xdr:colOff>
      <xdr:row>31</xdr:row>
      <xdr:rowOff>192202</xdr:rowOff>
    </xdr:to>
    <xdr:cxnSp macro="">
      <xdr:nvCxnSpPr>
        <xdr:cNvPr id="227"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32</xdr:row>
      <xdr:rowOff>0</xdr:rowOff>
    </xdr:from>
    <xdr:to>
      <xdr:col>13</xdr:col>
      <xdr:colOff>13607</xdr:colOff>
      <xdr:row>33</xdr:row>
      <xdr:rowOff>192202</xdr:rowOff>
    </xdr:to>
    <xdr:cxnSp macro="">
      <xdr:nvCxnSpPr>
        <xdr:cNvPr id="228"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34</xdr:row>
      <xdr:rowOff>0</xdr:rowOff>
    </xdr:from>
    <xdr:to>
      <xdr:col>13</xdr:col>
      <xdr:colOff>13607</xdr:colOff>
      <xdr:row>35</xdr:row>
      <xdr:rowOff>192202</xdr:rowOff>
    </xdr:to>
    <xdr:cxnSp macro="">
      <xdr:nvCxnSpPr>
        <xdr:cNvPr id="229"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36</xdr:row>
      <xdr:rowOff>0</xdr:rowOff>
    </xdr:from>
    <xdr:to>
      <xdr:col>13</xdr:col>
      <xdr:colOff>13607</xdr:colOff>
      <xdr:row>37</xdr:row>
      <xdr:rowOff>192202</xdr:rowOff>
    </xdr:to>
    <xdr:cxnSp macro="">
      <xdr:nvCxnSpPr>
        <xdr:cNvPr id="230" name="Straight Connector 142"/>
        <xdr:cNvCxnSpPr/>
      </xdr:nvCxnSpPr>
      <xdr:spPr>
        <a:xfrm flipV="1">
          <a:off x="9776732" y="3124200"/>
          <a:ext cx="861332" cy="3990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34018</xdr:colOff>
      <xdr:row>66</xdr:row>
      <xdr:rowOff>0</xdr:rowOff>
    </xdr:from>
    <xdr:to>
      <xdr:col>13</xdr:col>
      <xdr:colOff>13607</xdr:colOff>
      <xdr:row>67</xdr:row>
      <xdr:rowOff>192202</xdr:rowOff>
    </xdr:to>
    <xdr:cxnSp macro="">
      <xdr:nvCxnSpPr>
        <xdr:cNvPr id="231" name="Straight Connector 142"/>
        <xdr:cNvCxnSpPr/>
      </xdr:nvCxnSpPr>
      <xdr:spPr>
        <a:xfrm flipV="1">
          <a:off x="9776732" y="8621486"/>
          <a:ext cx="861332" cy="38814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97972</xdr:colOff>
      <xdr:row>116</xdr:row>
      <xdr:rowOff>31623</xdr:rowOff>
    </xdr:from>
    <xdr:to>
      <xdr:col>12</xdr:col>
      <xdr:colOff>587829</xdr:colOff>
      <xdr:row>127</xdr:row>
      <xdr:rowOff>65552</xdr:rowOff>
    </xdr:to>
    <xdr:pic>
      <xdr:nvPicPr>
        <xdr:cNvPr id="232" name="圖片 231"/>
        <xdr:cNvPicPr>
          <a:picLocks noChangeAspect="1"/>
        </xdr:cNvPicPr>
      </xdr:nvPicPr>
      <xdr:blipFill>
        <a:blip xmlns:r="http://schemas.openxmlformats.org/officeDocument/2006/relationships" r:embed="rId1"/>
        <a:stretch>
          <a:fillRect/>
        </a:stretch>
      </xdr:blipFill>
      <xdr:spPr>
        <a:xfrm>
          <a:off x="97972" y="16403737"/>
          <a:ext cx="10232571" cy="199335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VF\VF%20Pride%20Audit\CAP\Pride%20Audit%20CAP%20on%20May%20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CHAN17\AppData\Local\Microsoft\Windows\Temporary%20Internet%20Files\Content.Outlook\GIASDVAN\STD%20CORREO%20DE%20COMUNICACION%20ISMAEL%20fw%20PP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arel.view.summary"/>
      <sheetName val="SQL"/>
      <sheetName val="Name"/>
      <sheetName val="mapping"/>
      <sheetName val="Data"/>
      <sheetName val="apparel.factory_list"/>
      <sheetName val="PPA"/>
      <sheetName val="apparel.model"/>
      <sheetName val="apparel.controller"/>
      <sheetName val="Unique formula"/>
      <sheetName val="apparel.view.input"/>
      <sheetName val="apparel.view.cap"/>
      <sheetName val="Email Cover"/>
      <sheetName val="log"/>
      <sheetName val="中文"/>
      <sheetName val="工作表1"/>
      <sheetName val="Sheet1-B9"/>
      <sheetName val="Sheet 2-D4"/>
      <sheetName val="Sheet 3-F6"/>
      <sheetName val="Sheet4-P2"/>
      <sheetName val="舊Garment Moisture Control"/>
      <sheetName val="工作表2"/>
    </sheetNames>
    <sheetDataSet>
      <sheetData sheetId="0">
        <row r="2">
          <cell r="B2" t="str">
            <v>KWANG VIET GARMENT CO. LTD.</v>
          </cell>
        </row>
        <row r="4">
          <cell r="B4" t="str">
            <v>Outdoor Apparel</v>
          </cell>
        </row>
        <row r="5">
          <cell r="B5">
            <v>15140</v>
          </cell>
        </row>
        <row r="6">
          <cell r="B6" t="str">
            <v>ASO</v>
          </cell>
          <cell r="D6">
            <v>8.6999999999999994E-3</v>
          </cell>
        </row>
        <row r="7">
          <cell r="B7" t="str">
            <v>Cyrus Ko</v>
          </cell>
        </row>
      </sheetData>
      <sheetData sheetId="1">
        <row r="11">
          <cell r="B11">
            <v>0.1</v>
          </cell>
        </row>
      </sheetData>
      <sheetData sheetId="2">
        <row r="5">
          <cell r="F5" t="str">
            <v>NA</v>
          </cell>
        </row>
        <row r="11">
          <cell r="C11">
            <v>0.69538461538461538</v>
          </cell>
        </row>
        <row r="17">
          <cell r="H17">
            <v>1</v>
          </cell>
        </row>
        <row r="22">
          <cell r="D22" t="b">
            <v>0</v>
          </cell>
        </row>
      </sheetData>
      <sheetData sheetId="3"/>
      <sheetData sheetId="4"/>
      <sheetData sheetId="5">
        <row r="1">
          <cell r="B1" t="str">
            <v>--Select Factory Name--</v>
          </cell>
          <cell r="C1" t="e">
            <v>#N/A</v>
          </cell>
          <cell r="D1" t="e">
            <v>#N/A</v>
          </cell>
          <cell r="E1" t="e">
            <v>#N/A</v>
          </cell>
          <cell r="I1" t="str">
            <v>bas</v>
          </cell>
        </row>
        <row r="2">
          <cell r="B2" t="str">
            <v xml:space="preserve">AFRICA APPARELS EPZ LTD.      </v>
          </cell>
          <cell r="C2">
            <v>52123</v>
          </cell>
          <cell r="D2" t="str">
            <v>AFRICA APPARELS EPZ LTD.</v>
          </cell>
          <cell r="E2" t="str">
            <v>KENYA</v>
          </cell>
        </row>
        <row r="3">
          <cell r="B3" t="str">
            <v>ALENA VIETNAM FOOTWEAR LIMITED</v>
          </cell>
          <cell r="C3">
            <v>71185</v>
          </cell>
          <cell r="D3" t="str">
            <v>VITAL POWERHOUSE LIMITED</v>
          </cell>
          <cell r="E3" t="str">
            <v>VIETNAM</v>
          </cell>
          <cell r="I3" t="str">
            <v/>
          </cell>
        </row>
        <row r="4">
          <cell r="B4" t="str">
            <v>ALLIED FASHION GLOVE (ZHANGPU)</v>
          </cell>
          <cell r="C4">
            <v>25072</v>
          </cell>
          <cell r="D4" t="str">
            <v>FOWNES BROTHERS &amp; CO INCORPO</v>
          </cell>
          <cell r="E4" t="str">
            <v>CHINA (SOUTH)</v>
          </cell>
          <cell r="I4" t="str">
            <v/>
          </cell>
        </row>
        <row r="5">
          <cell r="B5" t="str">
            <v>AMARA (VIETNAM) FOOTWEAR COMPANY LIMITED</v>
          </cell>
          <cell r="C5">
            <v>72337</v>
          </cell>
          <cell r="D5" t="str">
            <v>TIME PROFIT VENTURES LIMITED</v>
          </cell>
          <cell r="E5" t="str">
            <v>VIETNAM</v>
          </cell>
          <cell r="I5" t="str">
            <v/>
          </cell>
        </row>
        <row r="6">
          <cell r="B6" t="str">
            <v>ANHUI MINGNIU LOTO GMT CO., LTD</v>
          </cell>
          <cell r="C6">
            <v>71970</v>
          </cell>
          <cell r="D6" t="str">
            <v>HANGZHOU LOTO GARMENTS CO. LTD</v>
          </cell>
          <cell r="E6" t="str">
            <v>CHINA (NORTH)</v>
          </cell>
          <cell r="I6" t="str">
            <v/>
          </cell>
        </row>
        <row r="7">
          <cell r="B7" t="str">
            <v>ANXING (CAMBO) GARMENT FACTORY LTD</v>
          </cell>
          <cell r="C7">
            <v>58238</v>
          </cell>
          <cell r="D7" t="str">
            <v>SKY FAIR GARMENT LTD</v>
          </cell>
          <cell r="E7" t="str">
            <v>CAMBODIA</v>
          </cell>
          <cell r="I7" t="str">
            <v/>
          </cell>
        </row>
        <row r="8">
          <cell r="B8" t="str">
            <v>APPARELS GALLERY LIMITED</v>
          </cell>
          <cell r="C8">
            <v>29102</v>
          </cell>
          <cell r="D8" t="str">
            <v>REFAT GARMENTS LTD</v>
          </cell>
          <cell r="E8" t="str">
            <v>BANGLADESH</v>
          </cell>
          <cell r="I8" t="str">
            <v/>
          </cell>
        </row>
        <row r="9">
          <cell r="B9" t="str">
            <v>APPARELTECH VINH LOC GARMENT E</v>
          </cell>
          <cell r="C9">
            <v>57032</v>
          </cell>
          <cell r="D9" t="str">
            <v>APPARELTECH CO LTD</v>
          </cell>
          <cell r="E9" t="str">
            <v>VIETNAM</v>
          </cell>
          <cell r="I9" t="str">
            <v/>
          </cell>
        </row>
        <row r="10">
          <cell r="B10" t="str">
            <v>ARTISTIC GARMENT INDUSTRIES (PVT) LTD</v>
          </cell>
          <cell r="C10">
            <v>44787</v>
          </cell>
          <cell r="D10" t="str">
            <v>ARTISTIC FABRIC AND GARMENT IN</v>
          </cell>
          <cell r="E10" t="str">
            <v>PAKISTAN</v>
          </cell>
          <cell r="I10" t="str">
            <v/>
          </cell>
          <cell r="L10" t="e">
            <v>#VALUE!</v>
          </cell>
        </row>
        <row r="11">
          <cell r="B11" t="str">
            <v>ARUNIMA SPORTSWEAR LIMITED</v>
          </cell>
          <cell r="C11">
            <v>16151</v>
          </cell>
          <cell r="D11" t="str">
            <v>DMC APPARELS LTD</v>
          </cell>
          <cell r="E11" t="str">
            <v>BANGLADESH</v>
          </cell>
          <cell r="I11" t="str">
            <v/>
          </cell>
        </row>
        <row r="12">
          <cell r="B12" t="str">
            <v>ATLANTA GARMENT</v>
          </cell>
          <cell r="C12">
            <v>66288</v>
          </cell>
          <cell r="D12" t="str">
            <v>Quang Viet Enterprise Co., Ltd</v>
          </cell>
          <cell r="E12" t="str">
            <v>JORDAN</v>
          </cell>
          <cell r="I12" t="str">
            <v/>
          </cell>
        </row>
        <row r="13">
          <cell r="B13" t="str">
            <v>BABYLON GARMENTS LTD</v>
          </cell>
          <cell r="C13">
            <v>16219</v>
          </cell>
          <cell r="D13" t="str">
            <v>BABYLON GARMENTS LTD</v>
          </cell>
          <cell r="E13" t="str">
            <v>BANGLADESH</v>
          </cell>
          <cell r="I13" t="str">
            <v/>
          </cell>
        </row>
        <row r="14">
          <cell r="B14" t="str">
            <v>BANGKOK RUBBER PUBLIC CO LIMITED</v>
          </cell>
          <cell r="C14">
            <v>31174</v>
          </cell>
          <cell r="D14" t="str">
            <v>BANGKOK RUBBER PUBLIC CO LIMITED</v>
          </cell>
          <cell r="E14" t="str">
            <v>THAILAND</v>
          </cell>
          <cell r="I14" t="str">
            <v/>
          </cell>
        </row>
        <row r="15">
          <cell r="B15" t="str">
            <v>BANGLADESH POU HUNG INDUSTRIAL LIMITED</v>
          </cell>
          <cell r="C15">
            <v>47057</v>
          </cell>
          <cell r="D15" t="str">
            <v>SKY HIGH TRADING LIMITED</v>
          </cell>
          <cell r="E15" t="str">
            <v>BANGLADESH</v>
          </cell>
          <cell r="I15" t="str">
            <v/>
          </cell>
        </row>
        <row r="16">
          <cell r="B16" t="str">
            <v>BANGLADESH SPINNERS &amp; KNITTERS</v>
          </cell>
          <cell r="C16">
            <v>43965</v>
          </cell>
          <cell r="D16" t="str">
            <v>SOUTH OCEAN GROUP</v>
          </cell>
          <cell r="E16" t="str">
            <v>BANGLADESH</v>
          </cell>
          <cell r="I16" t="str">
            <v/>
          </cell>
        </row>
        <row r="17">
          <cell r="B17" t="str">
            <v>Basic Apparel S DE RL (Atlanco)</v>
          </cell>
          <cell r="C17">
            <v>16251</v>
          </cell>
          <cell r="D17" t="str">
            <v>ATLANCO</v>
          </cell>
          <cell r="E17" t="str">
            <v>HONDURAS</v>
          </cell>
          <cell r="I17" t="str">
            <v/>
          </cell>
        </row>
        <row r="18">
          <cell r="B18" t="str">
            <v>BAY FOOTWEAR LIMITED</v>
          </cell>
          <cell r="C18">
            <v>60027</v>
          </cell>
          <cell r="D18" t="str">
            <v>STELLA INTERNATIONAL LIMITED</v>
          </cell>
          <cell r="E18" t="str">
            <v>CHINA (SOUTH)</v>
          </cell>
          <cell r="I18" t="str">
            <v/>
          </cell>
        </row>
        <row r="19">
          <cell r="B19" t="str">
            <v>BESTON ACTION UTILITY WEAR (LIANYUNGANG) CO., LTD.</v>
          </cell>
          <cell r="C19">
            <v>73077</v>
          </cell>
          <cell r="D19" t="str">
            <v>BESTON ACTION UTILITY WEAR (LIANYUNGANG) CO., LTD.</v>
          </cell>
          <cell r="E19" t="str">
            <v>CHINA (NORTH)</v>
          </cell>
          <cell r="I19" t="str">
            <v/>
          </cell>
        </row>
        <row r="20">
          <cell r="B20" t="str">
            <v>BOSIDENG CO LTD CHANGSHU GARMENT FACTORY</v>
          </cell>
          <cell r="C20">
            <v>23936</v>
          </cell>
          <cell r="D20" t="str">
            <v>CHANGSHU BOSIDENG IMPORT &amp; EXPORT CO LTD</v>
          </cell>
          <cell r="E20" t="str">
            <v>CHINA (NORTH)</v>
          </cell>
          <cell r="I20" t="str">
            <v/>
          </cell>
        </row>
        <row r="21">
          <cell r="B21" t="str">
            <v>BRIGHT SKY PTE LTD</v>
          </cell>
          <cell r="C21">
            <v>35548</v>
          </cell>
          <cell r="D21" t="str">
            <v>LUEN THAI HOLDING LTD</v>
          </cell>
          <cell r="E21" t="str">
            <v>CAMBODIA</v>
          </cell>
          <cell r="I21" t="str">
            <v/>
          </cell>
        </row>
        <row r="22">
          <cell r="B22" t="str">
            <v>Brooklyn S.A. de C.V.</v>
          </cell>
          <cell r="C22">
            <v>17154</v>
          </cell>
          <cell r="D22" t="str">
            <v>Cannon Country Knitting Mills</v>
          </cell>
          <cell r="E22" t="str">
            <v>EL SALVADOR</v>
          </cell>
          <cell r="I22" t="str">
            <v/>
          </cell>
        </row>
        <row r="23">
          <cell r="B23" t="str">
            <v>CAM TAEKANG SPORTECH CO LTD</v>
          </cell>
          <cell r="C23">
            <v>57917</v>
          </cell>
          <cell r="D23" t="str">
            <v>SEES GLOBAL INC</v>
          </cell>
          <cell r="E23" t="str">
            <v>Cambodia</v>
          </cell>
          <cell r="I23" t="str">
            <v/>
          </cell>
        </row>
        <row r="24">
          <cell r="B24" t="str">
            <v>CARLINGTON (CAMBODIA) CO, LIMITED</v>
          </cell>
          <cell r="C24">
            <v>59381</v>
          </cell>
          <cell r="D24" t="str">
            <v>CARLINGTON INDUSTRIES LIMITED</v>
          </cell>
          <cell r="E24" t="str">
            <v>CAMBODIA</v>
          </cell>
          <cell r="I24" t="str">
            <v/>
          </cell>
        </row>
        <row r="25">
          <cell r="B25" t="str">
            <v>CARTINA ENTERPRISES VIETNAM LTD</v>
          </cell>
          <cell r="C25">
            <v>28184</v>
          </cell>
          <cell r="D25" t="str">
            <v>CASUAL TIME LTD.</v>
          </cell>
          <cell r="E25" t="str">
            <v>VIETNAM</v>
          </cell>
          <cell r="I25" t="str">
            <v/>
          </cell>
        </row>
        <row r="26">
          <cell r="B26" t="str">
            <v>CELEBRITY FASHIONS LIMITED [MEPZ]</v>
          </cell>
          <cell r="C26">
            <v>16659</v>
          </cell>
          <cell r="D26" t="str">
            <v>CELEBRITY FASHIONS LTD</v>
          </cell>
          <cell r="E26" t="str">
            <v>INDIA</v>
          </cell>
          <cell r="I26" t="str">
            <v/>
          </cell>
        </row>
        <row r="27">
          <cell r="B27" t="str">
            <v>CELEBRITY FASHIONS LTD. (NARAYANAPURAM)</v>
          </cell>
          <cell r="C27">
            <v>24367</v>
          </cell>
          <cell r="D27" t="str">
            <v>CELEBRITY FASHIONS LTD</v>
          </cell>
          <cell r="E27" t="str">
            <v>INDIA</v>
          </cell>
          <cell r="I27" t="str">
            <v/>
          </cell>
        </row>
        <row r="28">
          <cell r="B28" t="str">
            <v>CENTURY MIRACLE</v>
          </cell>
          <cell r="C28">
            <v>11925</v>
          </cell>
          <cell r="D28" t="str">
            <v>YEE TUNG GARMENT CO LTD</v>
          </cell>
          <cell r="E28" t="str">
            <v>JORDAN</v>
          </cell>
          <cell r="I28" t="str">
            <v/>
          </cell>
        </row>
        <row r="29">
          <cell r="B29" t="str">
            <v>CHAITANYA IMAGES [UNIT 2)</v>
          </cell>
          <cell r="C29">
            <v>64068</v>
          </cell>
          <cell r="D29" t="str">
            <v>KABADI SHANKARSA &amp; CO,</v>
          </cell>
          <cell r="E29" t="str">
            <v>INDIA</v>
          </cell>
          <cell r="I29" t="str">
            <v/>
          </cell>
        </row>
        <row r="30">
          <cell r="B30" t="str">
            <v>CHANGZHOU DONGHENG GARMENT CO LTD [NEW LOCATION]
DBA: CHANGZHOU DONGHENG DREE CO LTD</v>
          </cell>
          <cell r="C30">
            <v>56282</v>
          </cell>
          <cell r="D30" t="str">
            <v>CHANGZHOU XINYUZHAN INTERNATIONAL CO. LTD</v>
          </cell>
          <cell r="E30" t="str">
            <v>CHINA (NORTH)</v>
          </cell>
          <cell r="I30" t="str">
            <v/>
          </cell>
        </row>
        <row r="31">
          <cell r="B31" t="str">
            <v>CHENGDU JOY SHINE FOOTWEAR CO</v>
          </cell>
          <cell r="C31">
            <v>57739</v>
          </cell>
          <cell r="D31" t="str">
            <v>SHYANG HO GROUP</v>
          </cell>
          <cell r="E31" t="str">
            <v>CHINA (NORTH)</v>
          </cell>
          <cell r="I31" t="str">
            <v/>
          </cell>
        </row>
        <row r="32">
          <cell r="B32" t="str">
            <v>CHINA SILK ENTERPRISE LTD.</v>
          </cell>
          <cell r="C32">
            <v>48849</v>
          </cell>
          <cell r="D32" t="str">
            <v>CHINAMINE TRADING LTD</v>
          </cell>
          <cell r="E32" t="str">
            <v>CHINA (SOUTH)</v>
          </cell>
          <cell r="I32" t="str">
            <v/>
          </cell>
        </row>
        <row r="33">
          <cell r="B33" t="str">
            <v>CK SHOES (THAILAND) CO., LTD.</v>
          </cell>
          <cell r="C33">
            <v>69262</v>
          </cell>
          <cell r="D33" t="str">
            <v>CK SHOES (THAILAND) CO., LTD.</v>
          </cell>
          <cell r="E33" t="str">
            <v>THAILAND</v>
          </cell>
          <cell r="I33" t="str">
            <v/>
          </cell>
        </row>
        <row r="34">
          <cell r="B34" t="str">
            <v>COMPAC JAPAN LTD</v>
          </cell>
          <cell r="C34">
            <v>25859</v>
          </cell>
          <cell r="D34" t="str">
            <v>COMPAC JAPAN LTD</v>
          </cell>
          <cell r="E34" t="str">
            <v>Japan</v>
          </cell>
          <cell r="I34" t="str">
            <v/>
          </cell>
        </row>
        <row r="35">
          <cell r="B35" t="str">
            <v>Confecciones Juraidini SA de CV</v>
          </cell>
          <cell r="C35">
            <v>16571</v>
          </cell>
          <cell r="D35" t="str">
            <v>HARBOR GROUP LLC</v>
          </cell>
          <cell r="E35" t="str">
            <v>MEXICO</v>
          </cell>
          <cell r="I35" t="str">
            <v/>
          </cell>
        </row>
        <row r="36">
          <cell r="B36" t="str">
            <v>CORONATION PREMIUM MFG. INC.</v>
          </cell>
          <cell r="C36">
            <v>73176</v>
          </cell>
          <cell r="D36" t="str">
            <v xml:space="preserve">STELLA INTERNATIONAL TRADING (MACAO COMMERCIAL OFFSHORE) LIMITED </v>
          </cell>
          <cell r="E36" t="str">
            <v>Philippines</v>
          </cell>
          <cell r="I36" t="str">
            <v/>
          </cell>
        </row>
        <row r="37">
          <cell r="B37" t="str">
            <v>Corporacion Indyknit, S.A.</v>
          </cell>
          <cell r="C37">
            <v>14274</v>
          </cell>
          <cell r="D37" t="str">
            <v>Indiana Knitwear Corporation</v>
          </cell>
          <cell r="E37" t="str">
            <v>GUATEMALA</v>
          </cell>
          <cell r="I37" t="str">
            <v/>
          </cell>
        </row>
        <row r="38">
          <cell r="B38" t="str">
            <v>COSMOPOLITAN INDUSTRIES (PVT)</v>
          </cell>
          <cell r="C38">
            <v>24067</v>
          </cell>
          <cell r="D38" t="str">
            <v>EPIC DESIGNERS LTD</v>
          </cell>
          <cell r="E38" t="str">
            <v>BANGLADESH</v>
          </cell>
          <cell r="I38" t="str">
            <v/>
          </cell>
        </row>
        <row r="39">
          <cell r="B39" t="str">
            <v>COTTON CLUB (BD) LTD.</v>
          </cell>
          <cell r="C39">
            <v>58598</v>
          </cell>
          <cell r="D39" t="str">
            <v xml:space="preserve">COTTON CLUB (BD) LTD.         </v>
          </cell>
          <cell r="E39" t="str">
            <v>BANGLADESH</v>
          </cell>
          <cell r="I39" t="str">
            <v/>
          </cell>
        </row>
        <row r="40">
          <cell r="B40" t="str">
            <v>CPCG INTERNATIONAL CO., LTD</v>
          </cell>
          <cell r="C40">
            <v>71094</v>
          </cell>
          <cell r="D40" t="str">
            <v>PALACE GROUP CO LTD</v>
          </cell>
          <cell r="E40" t="str">
            <v>CAMBODIA</v>
          </cell>
          <cell r="I40" t="str">
            <v/>
          </cell>
        </row>
        <row r="41">
          <cell r="B41" t="str">
            <v>CPPC OUTDOOR WEAR (VIETNAM) CO., LTD</v>
          </cell>
          <cell r="C41">
            <v>72510</v>
          </cell>
          <cell r="D41" t="str">
            <v>CPPC OUTDOOR WEAR (VIETNAM) CO.,LTD</v>
          </cell>
          <cell r="E41" t="str">
            <v>VIETNAM</v>
          </cell>
          <cell r="I41" t="str">
            <v/>
          </cell>
        </row>
        <row r="42">
          <cell r="B42" t="str">
            <v xml:space="preserve">CREATIVE COLLECTION LTD       </v>
          </cell>
          <cell r="C42">
            <v>64392</v>
          </cell>
          <cell r="D42" t="str">
            <v>REFAT GARMENTS LTD</v>
          </cell>
          <cell r="E42" t="str">
            <v>BANGLADESH</v>
          </cell>
          <cell r="I42" t="str">
            <v/>
          </cell>
        </row>
        <row r="43">
          <cell r="B43" t="str">
            <v>CUTTING EDGE INDUSTRIES LTD.</v>
          </cell>
          <cell r="C43">
            <v>59855</v>
          </cell>
          <cell r="D43" t="str">
            <v>MBM GARMENTS LTD</v>
          </cell>
          <cell r="E43" t="str">
            <v>BANGLADESH</v>
          </cell>
          <cell r="I43" t="str">
            <v/>
          </cell>
        </row>
        <row r="44">
          <cell r="B44" t="str">
            <v>DATIAN PHILIPPINES</v>
          </cell>
          <cell r="D44" t="str">
            <v>DATIAN</v>
          </cell>
          <cell r="I44" t="str">
            <v/>
          </cell>
        </row>
        <row r="45">
          <cell r="B45" t="str">
            <v>DATIAN SUBIC SHOES INC.</v>
          </cell>
          <cell r="C45">
            <v>77014</v>
          </cell>
          <cell r="D45" t="str">
            <v>KEY TRADE CO., LTD</v>
          </cell>
          <cell r="E45" t="str">
            <v>PHILIPPINES</v>
          </cell>
          <cell r="I45" t="str">
            <v/>
          </cell>
        </row>
        <row r="46">
          <cell r="B46" t="str">
            <v>DELTA CORTES HONDURAS, S.A.</v>
          </cell>
          <cell r="C46">
            <v>16917</v>
          </cell>
          <cell r="D46" t="str">
            <v>DELTA APPAREL</v>
          </cell>
          <cell r="E46" t="str">
            <v>HONDURAS</v>
          </cell>
          <cell r="I46" t="str">
            <v/>
          </cell>
        </row>
        <row r="47">
          <cell r="B47" t="str">
            <v>DHAKAREA LIMITED (YUPOONG INC.)</v>
          </cell>
          <cell r="C47">
            <v>13842</v>
          </cell>
          <cell r="D47" t="str">
            <v>FLEXFIT LLC</v>
          </cell>
          <cell r="E47" t="str">
            <v>BANGLADESH</v>
          </cell>
          <cell r="I47" t="str">
            <v/>
          </cell>
        </row>
        <row r="48">
          <cell r="B48" t="str">
            <v>DIN SEN VIETNAM ENTERPRISE CO., LTD. [TAN PHU DISTRICT]</v>
          </cell>
          <cell r="C48">
            <v>58740</v>
          </cell>
          <cell r="D48" t="str">
            <v>FAITH YEAR INVESTMENTS LIMITED</v>
          </cell>
          <cell r="E48" t="str">
            <v>VIETNAM</v>
          </cell>
          <cell r="I48" t="str">
            <v/>
          </cell>
        </row>
        <row r="49">
          <cell r="B49" t="str">
            <v>DONGGUAN ANXING FASHION FACTOR</v>
          </cell>
          <cell r="C49">
            <v>17002</v>
          </cell>
          <cell r="D49" t="str">
            <v>SKY FAIR GARMENT LIMITED</v>
          </cell>
          <cell r="E49" t="str">
            <v>CHINA (SOUTH)</v>
          </cell>
          <cell r="I49" t="str">
            <v/>
          </cell>
        </row>
        <row r="50">
          <cell r="B50" t="str">
            <v>DONGGUAN BAOSING GMT CO LTD</v>
          </cell>
          <cell r="C50">
            <v>17004</v>
          </cell>
          <cell r="D50" t="str">
            <v>BOND APPARELS INTL LTD</v>
          </cell>
          <cell r="E50" t="str">
            <v>CHINA (SOUTH)</v>
          </cell>
          <cell r="I50" t="str">
            <v/>
          </cell>
        </row>
        <row r="51">
          <cell r="B51" t="str">
            <v>DONGGUAN CARLINGTON SHOES CO</v>
          </cell>
          <cell r="C51">
            <v>36171</v>
          </cell>
          <cell r="D51" t="str">
            <v>CARLINGTON INDUSTRIES LIMITED</v>
          </cell>
          <cell r="E51" t="str">
            <v>CHINA (SOUTH)</v>
          </cell>
          <cell r="I51" t="str">
            <v/>
          </cell>
        </row>
        <row r="52">
          <cell r="B52" t="str">
            <v>DONGGUAN CHANGAN XIAOBIAN XING</v>
          </cell>
          <cell r="C52">
            <v>15844</v>
          </cell>
          <cell r="D52" t="str">
            <v>STELLA INTERNATIONAL LIMITED</v>
          </cell>
          <cell r="E52" t="str">
            <v>CHINA (SOUTH)</v>
          </cell>
          <cell r="I52" t="str">
            <v/>
          </cell>
        </row>
        <row r="53">
          <cell r="B53" t="str">
            <v>DONGGUAN CHANGPING GANGZI XING</v>
          </cell>
          <cell r="C53">
            <v>66837</v>
          </cell>
          <cell r="D53" t="str">
            <v>DA YANG KNITTING FACTORY LIMITED</v>
          </cell>
          <cell r="E53" t="str">
            <v>CHINA (SOUTH)</v>
          </cell>
          <cell r="I53" t="str">
            <v/>
          </cell>
        </row>
        <row r="54">
          <cell r="B54" t="str">
            <v>DONGGUAN DATIAN SHOES CO LIMITED</v>
          </cell>
          <cell r="C54">
            <v>17019</v>
          </cell>
          <cell r="D54" t="str">
            <v>EXHIBITION LIMITED</v>
          </cell>
          <cell r="E54" t="str">
            <v>CHINA (SOUTH)</v>
          </cell>
          <cell r="I54" t="str">
            <v/>
          </cell>
        </row>
        <row r="55">
          <cell r="B55" t="str">
            <v>DONGGUAN GOLDEN PRENE SPORTING GOODS CO., LIMITED</v>
          </cell>
          <cell r="C55">
            <v>21278</v>
          </cell>
          <cell r="D55" t="str">
            <v>SUMMITOP (HK) IND. CO., LTD.</v>
          </cell>
          <cell r="E55" t="str">
            <v>CHINA (SOUTH)</v>
          </cell>
          <cell r="I55" t="str">
            <v/>
          </cell>
        </row>
        <row r="56">
          <cell r="B56" t="str">
            <v>DONGGUAN HONGDING LEATHERWARE CO LTD</v>
          </cell>
          <cell r="C56">
            <v>58370</v>
          </cell>
          <cell r="D56" t="str">
            <v>DONGGUAN HONGDING LEATHERWARE CO LTD</v>
          </cell>
          <cell r="E56" t="str">
            <v>CHINA (SOUTH)</v>
          </cell>
          <cell r="I56" t="str">
            <v/>
          </cell>
        </row>
        <row r="57">
          <cell r="B57" t="str">
            <v>DONGGUAN JINJIA LEATHER PRODUC</v>
          </cell>
          <cell r="C57">
            <v>26482</v>
          </cell>
          <cell r="D57" t="str">
            <v>GIN WATT INTERNATIONAL HOLDINGS LIMITED</v>
          </cell>
          <cell r="E57" t="str">
            <v>CHINA (SOUTH)</v>
          </cell>
          <cell r="I57" t="str">
            <v/>
          </cell>
        </row>
        <row r="58">
          <cell r="B58" t="str">
            <v>DONGGUAN JUNYI CAP MANUFACTURING CO LTD</v>
          </cell>
          <cell r="C58">
            <v>11808</v>
          </cell>
          <cell r="D58" t="str">
            <v>UNIQUE MANUFACTURING LTD</v>
          </cell>
          <cell r="E58" t="str">
            <v>CHINA (SOUTH)</v>
          </cell>
          <cell r="I58" t="str">
            <v/>
          </cell>
        </row>
        <row r="59">
          <cell r="B59" t="str">
            <v>DONGGUAN MEIHAO INDUSTRIAL CO</v>
          </cell>
          <cell r="C59">
            <v>46825</v>
          </cell>
          <cell r="D59" t="str">
            <v>HATHOR INTERNATIONAL CO LIMITED</v>
          </cell>
          <cell r="E59" t="str">
            <v>CHINA (SOUTH)</v>
          </cell>
          <cell r="I59" t="str">
            <v/>
          </cell>
        </row>
        <row r="60">
          <cell r="B60" t="str">
            <v>DONGGUAN MULUN KNITTING FACTORY LIMITED</v>
          </cell>
          <cell r="C60">
            <v>11826</v>
          </cell>
          <cell r="D60" t="str">
            <v>SOUTH OCEAN KNITTERS LIMITED</v>
          </cell>
          <cell r="E60" t="str">
            <v>CHINA (SOUTH)</v>
          </cell>
          <cell r="I60" t="str">
            <v/>
          </cell>
        </row>
        <row r="61">
          <cell r="B61" t="str">
            <v>DONGGUAN SHIPAI JIANYE BAGS &amp; CAPS MANUFACTURING CO LTD</v>
          </cell>
          <cell r="C61">
            <v>16739</v>
          </cell>
          <cell r="D61" t="str">
            <v>YIKO BAGS MANUFACTURING (HK) LTD.</v>
          </cell>
          <cell r="E61" t="str">
            <v>CHINA (SOUTH)</v>
          </cell>
          <cell r="I61" t="str">
            <v/>
          </cell>
        </row>
        <row r="62">
          <cell r="B62" t="str">
            <v>DONGGUAN TUNGTEX FASHIONS COMPANY LIMITED</v>
          </cell>
          <cell r="C62">
            <v>72821</v>
          </cell>
          <cell r="D62" t="str">
            <v>DODO FASHION LIMITED</v>
          </cell>
          <cell r="E62" t="str">
            <v>CHINA (SOUTH)</v>
          </cell>
          <cell r="I62" t="str">
            <v/>
          </cell>
        </row>
        <row r="63">
          <cell r="B63" t="str">
            <v>DONGGUAN WEIGANG TEXTILES CO L</v>
          </cell>
          <cell r="C63">
            <v>34069</v>
          </cell>
          <cell r="D63" t="str">
            <v xml:space="preserve">HUGO KING LIMITED   </v>
          </cell>
          <cell r="E63" t="str">
            <v>CHINA (SOUTH)</v>
          </cell>
          <cell r="I63" t="str">
            <v/>
          </cell>
        </row>
        <row r="64">
          <cell r="B64" t="str">
            <v>DONGGUAN WENLI GARMENT CO., LT
DONGGUAN WENLI EMBROIDERY FACTORY [GARMENT UNIT]</v>
          </cell>
          <cell r="C64">
            <v>18525</v>
          </cell>
          <cell r="D64" t="str">
            <v>YUK LAM ENTERPRISES LTD</v>
          </cell>
          <cell r="E64" t="str">
            <v>CHINA (SOUTH)</v>
          </cell>
          <cell r="I64" t="str">
            <v/>
          </cell>
        </row>
        <row r="65">
          <cell r="B65" t="str">
            <v>DONGGUAN YILI GARMENT MANUFACT</v>
          </cell>
          <cell r="C65">
            <v>17025</v>
          </cell>
          <cell r="D65" t="str">
            <v>YEE TUNG GARMENT CO LTD</v>
          </cell>
          <cell r="E65" t="str">
            <v>CHINA (SOUTH)</v>
          </cell>
          <cell r="I65" t="str">
            <v/>
          </cell>
        </row>
        <row r="66">
          <cell r="B66" t="str">
            <v>DONGGUAN YINGLONG LEATHERWARES</v>
          </cell>
          <cell r="C66">
            <v>21273</v>
          </cell>
          <cell r="D66" t="str">
            <v>GIGANTIC INTERNATIONAL LTD</v>
          </cell>
          <cell r="E66" t="str">
            <v>CHINA (SOUTH)</v>
          </cell>
          <cell r="I66" t="str">
            <v/>
          </cell>
        </row>
        <row r="67">
          <cell r="B67" t="str">
            <v>DONGGUAN YONGBANG LUGGAGE FTY</v>
          </cell>
          <cell r="C67">
            <v>21275</v>
          </cell>
          <cell r="D67" t="str">
            <v>WINNER (FAR EAST) LIMITED</v>
          </cell>
          <cell r="E67" t="str">
            <v>CHINA (SOUTH)</v>
          </cell>
          <cell r="I67" t="str">
            <v/>
          </cell>
        </row>
        <row r="68">
          <cell r="B68" t="str">
            <v>DONGGUAN ZERONG BAG LTD</v>
          </cell>
          <cell r="C68">
            <v>21281</v>
          </cell>
          <cell r="D68" t="str">
            <v>STARITE INTERNATIONAL LTD</v>
          </cell>
          <cell r="E68" t="str">
            <v>CHINA (SOUTH)</v>
          </cell>
          <cell r="I68" t="str">
            <v/>
          </cell>
        </row>
        <row r="69">
          <cell r="B69" t="str">
            <v xml:space="preserve">Duc Giang Corporation </v>
          </cell>
          <cell r="C69">
            <v>33535</v>
          </cell>
          <cell r="D69" t="str">
            <v>FOCUS HK COMPANY LTD</v>
          </cell>
          <cell r="E69" t="str">
            <v>VIETNAM</v>
          </cell>
          <cell r="I69" t="str">
            <v/>
          </cell>
        </row>
        <row r="70">
          <cell r="B70" t="str">
            <v xml:space="preserve">EASTERN GARMENTS (PVT) LTD    </v>
          </cell>
          <cell r="C70">
            <v>21352</v>
          </cell>
          <cell r="D70" t="str">
            <v xml:space="preserve">EASTERN GARMENTS (PVT) LTD    </v>
          </cell>
          <cell r="E70" t="str">
            <v>PAKISTAN</v>
          </cell>
          <cell r="I70" t="str">
            <v/>
          </cell>
        </row>
        <row r="71">
          <cell r="B71" t="str">
            <v>EASTERN GARMENTS UNIT # 2</v>
          </cell>
          <cell r="C71">
            <v>26073</v>
          </cell>
          <cell r="D71" t="str">
            <v>EASTERN GARMENTS (PVT) LTD</v>
          </cell>
          <cell r="E71" t="str">
            <v>PAKISTAN</v>
          </cell>
          <cell r="I71" t="str">
            <v/>
          </cell>
        </row>
        <row r="72">
          <cell r="B72" t="str">
            <v>EASTERN GARMENTS UNIT # 4</v>
          </cell>
          <cell r="C72">
            <v>71972</v>
          </cell>
          <cell r="D72" t="str">
            <v>EASTERN GARMENTS (PVT) LTD</v>
          </cell>
          <cell r="E72" t="str">
            <v>PAKISTAN</v>
          </cell>
          <cell r="I72" t="str">
            <v/>
          </cell>
        </row>
        <row r="73">
          <cell r="B73" t="str">
            <v>ELITE MERCHANDISING CORP.</v>
          </cell>
          <cell r="C73">
            <v>27579</v>
          </cell>
          <cell r="D73" t="str">
            <v xml:space="preserve">ELITE MERCHANDISING CORP.     </v>
          </cell>
          <cell r="E73" t="str">
            <v>EGYPT</v>
          </cell>
          <cell r="I73" t="str">
            <v/>
          </cell>
        </row>
        <row r="74">
          <cell r="B74" t="str">
            <v>EMEI KVE SPORTS CO., LTD.</v>
          </cell>
          <cell r="C74">
            <v>34720</v>
          </cell>
          <cell r="D74" t="str">
            <v>K.V.E. (VIRGIN) TRADING CO,LT</v>
          </cell>
          <cell r="E74" t="str">
            <v>CHINA (NORTH)</v>
          </cell>
          <cell r="I74" t="str">
            <v/>
          </cell>
        </row>
        <row r="75">
          <cell r="B75" t="str">
            <v>EPIC GARMENTS MANUFACTURING CO  LIMITED (UNIT-2)</v>
          </cell>
          <cell r="C75">
            <v>68416</v>
          </cell>
          <cell r="D75" t="str">
            <v>EPIC DESIGNERS LTD</v>
          </cell>
          <cell r="E75" t="str">
            <v>BANGLADESH</v>
          </cell>
          <cell r="I75" t="str">
            <v/>
          </cell>
        </row>
        <row r="76">
          <cell r="B76" t="str">
            <v>ESPRINTA (VIETNAM) CO., LTD</v>
          </cell>
          <cell r="C76">
            <v>25196</v>
          </cell>
          <cell r="D76" t="str">
            <v>SINTEX INTERNATIONAL LTD</v>
          </cell>
          <cell r="E76" t="str">
            <v>VIETNAM</v>
          </cell>
          <cell r="I76" t="str">
            <v/>
          </cell>
        </row>
        <row r="77">
          <cell r="B77" t="str">
            <v>ESQUEL (MAURITIUS) LTD</v>
          </cell>
          <cell r="C77">
            <v>20403</v>
          </cell>
          <cell r="D77" t="str">
            <v>ESQUEL ENTERPRISES LIMITED</v>
          </cell>
          <cell r="E77" t="str">
            <v>MAURITIUS</v>
          </cell>
          <cell r="I77" t="str">
            <v/>
          </cell>
        </row>
        <row r="78">
          <cell r="B78" t="str">
            <v>ESQUEL GARMENT MANUFACTURING</v>
          </cell>
          <cell r="C78">
            <v>16764</v>
          </cell>
          <cell r="D78" t="str">
            <v>ESQUEL ENTERPRISES LIMITED</v>
          </cell>
          <cell r="E78" t="str">
            <v>VIETNAM</v>
          </cell>
          <cell r="I78" t="str">
            <v/>
          </cell>
        </row>
        <row r="79">
          <cell r="B79" t="str">
            <v>ESQUEL GARMENT MANUFACTURING VIETNAM - HOA BINH CO LTD</v>
          </cell>
          <cell r="C79">
            <v>66660</v>
          </cell>
          <cell r="D79" t="str">
            <v>ESQUEL ENTERPRISES LIMITED</v>
          </cell>
          <cell r="E79" t="str">
            <v>VIETNAM</v>
          </cell>
          <cell r="I79" t="str">
            <v/>
          </cell>
        </row>
        <row r="80">
          <cell r="B80" t="str">
            <v>EVER GRACE SHOES VN CO, LIMITED</v>
          </cell>
          <cell r="C80">
            <v>43976</v>
          </cell>
          <cell r="D80" t="str">
            <v>CITY LIGHT CORP</v>
          </cell>
          <cell r="E80" t="str">
            <v>VIETNAM</v>
          </cell>
          <cell r="I80" t="str">
            <v/>
          </cell>
        </row>
        <row r="81">
          <cell r="B81" t="str">
            <v>EVERBEST VIETNAM LIMITED</v>
          </cell>
          <cell r="C81">
            <v>16790</v>
          </cell>
          <cell r="D81" t="str">
            <v>RICHDAY HOLDINGS LIMITED</v>
          </cell>
          <cell r="E81" t="str">
            <v>VIETNAM</v>
          </cell>
          <cell r="I81" t="str">
            <v/>
          </cell>
        </row>
        <row r="82">
          <cell r="B82" t="str">
            <v>Everest Textile Co Ltd [Garment Unit]</v>
          </cell>
          <cell r="C82">
            <v>72365</v>
          </cell>
          <cell r="D82" t="str">
            <v>EVEREST TEXTILE CO LTD</v>
          </cell>
          <cell r="E82" t="str">
            <v>TAIWAN</v>
          </cell>
          <cell r="I82" t="str">
            <v/>
          </cell>
        </row>
        <row r="83">
          <cell r="B83" t="str">
            <v xml:space="preserve">EVINCE GARMENTS LTD.          </v>
          </cell>
          <cell r="C83">
            <v>17263</v>
          </cell>
          <cell r="D83" t="str">
            <v>EVINCE LIMITED</v>
          </cell>
          <cell r="E83" t="str">
            <v>BANGLADESH</v>
          </cell>
          <cell r="I83" t="str">
            <v/>
          </cell>
        </row>
        <row r="84">
          <cell r="B84" t="str">
            <v>EVOLV CLOTHING CO. PVT. LTD. [PERUNGUDI]</v>
          </cell>
          <cell r="C84">
            <v>63941</v>
          </cell>
          <cell r="D84" t="str">
            <v>EVOLV CLOTHING CO PVT LTD</v>
          </cell>
          <cell r="E84" t="str">
            <v>INDIA</v>
          </cell>
          <cell r="I84" t="str">
            <v/>
          </cell>
        </row>
        <row r="85">
          <cell r="B85" t="str">
            <v>Fairdon (Cambodia) Limited</v>
          </cell>
          <cell r="C85">
            <v>56084</v>
          </cell>
          <cell r="D85" t="str">
            <v>AML UNITED LIMITED</v>
          </cell>
          <cell r="E85" t="str">
            <v>Cambodia</v>
          </cell>
          <cell r="I85" t="str">
            <v/>
          </cell>
        </row>
        <row r="86">
          <cell r="B86" t="str">
            <v>Feng Yi Outdoor Leisure Equipment Enterprise Co, LTD</v>
          </cell>
          <cell r="C86">
            <v>43721</v>
          </cell>
          <cell r="D86" t="str">
            <v>FENG YI OUTDOOR LEISURE EQUIPM</v>
          </cell>
          <cell r="E86" t="str">
            <v>TAIWAN</v>
          </cell>
          <cell r="I86" t="str">
            <v/>
          </cell>
        </row>
        <row r="87">
          <cell r="B87" t="str">
            <v>Formosa Textil (NICA) S.A.</v>
          </cell>
          <cell r="C87">
            <v>17407</v>
          </cell>
          <cell r="D87" t="str">
            <v>Great King Garment Co., LTD</v>
          </cell>
          <cell r="E87" t="str">
            <v>NICARAGUA</v>
          </cell>
          <cell r="I87" t="str">
            <v/>
          </cell>
        </row>
        <row r="88">
          <cell r="B88" t="str">
            <v>FOUNTAIN GARMENTS MANUFACTURING LTD</v>
          </cell>
          <cell r="C88">
            <v>64264</v>
          </cell>
          <cell r="D88" t="str">
            <v>RABAB FASHION IND LTD</v>
          </cell>
          <cell r="E88" t="str">
            <v>BANGLADESH</v>
          </cell>
          <cell r="I88" t="str">
            <v/>
          </cell>
        </row>
        <row r="89">
          <cell r="B89" t="str">
            <v>FUH CHUEN CO LTD</v>
          </cell>
          <cell r="C89">
            <v>64515</v>
          </cell>
          <cell r="D89" t="str">
            <v>STARRIGHT CO., LTD.</v>
          </cell>
          <cell r="E89" t="str">
            <v>VIETNAM</v>
          </cell>
          <cell r="I89" t="str">
            <v/>
          </cell>
        </row>
        <row r="90">
          <cell r="B90" t="str">
            <v>FUJIAN SUNSHINE  FOOTWEAR CO. LTD.</v>
          </cell>
          <cell r="C90">
            <v>26250</v>
          </cell>
          <cell r="D90" t="str">
            <v xml:space="preserve">CAPITAL CONCORD ENTERPRISES LIMITED </v>
          </cell>
          <cell r="E90" t="str">
            <v>CHINA (SOUTH)</v>
          </cell>
          <cell r="I90" t="str">
            <v/>
          </cell>
        </row>
        <row r="91">
          <cell r="B91" t="str">
            <v>FULGENT SUN FOOTWEAR CO., LTD</v>
          </cell>
          <cell r="C91">
            <v>56820</v>
          </cell>
          <cell r="D91" t="str">
            <v xml:space="preserve">CAPITAL CONCORD ENTERPRISES LIMITED </v>
          </cell>
          <cell r="E91" t="str">
            <v>VIETNAM</v>
          </cell>
          <cell r="I91" t="str">
            <v/>
          </cell>
        </row>
        <row r="92">
          <cell r="B92" t="str">
            <v xml:space="preserve">FULLYEAR BROTHER ENTERPRISE CO LTD </v>
          </cell>
          <cell r="C92">
            <v>25839</v>
          </cell>
          <cell r="D92" t="str">
            <v xml:space="preserve">FULLYEAR BROTHER ENTERPRISE CO LTD </v>
          </cell>
          <cell r="E92" t="str">
            <v>TAIWAN</v>
          </cell>
          <cell r="I92" t="str">
            <v/>
          </cell>
        </row>
        <row r="93">
          <cell r="B93" t="str">
            <v>GARTEX INSTA APPARELS PVT LTD</v>
          </cell>
          <cell r="C93">
            <v>32174</v>
          </cell>
          <cell r="D93" t="str">
            <v>GARTEX INSTA APPARELS</v>
          </cell>
          <cell r="E93" t="str">
            <v>INDIA</v>
          </cell>
          <cell r="I93" t="str">
            <v/>
          </cell>
        </row>
        <row r="94">
          <cell r="B94" t="str">
            <v>GENERAL FOOTWEAR LIMITED</v>
          </cell>
          <cell r="C94">
            <v>8932</v>
          </cell>
          <cell r="D94" t="str">
            <v>GENFORTUNE INTERNATIONAL CORP</v>
          </cell>
          <cell r="E94" t="str">
            <v>CHINA (SOUTH)</v>
          </cell>
          <cell r="I94" t="str">
            <v/>
          </cell>
        </row>
        <row r="95">
          <cell r="B95" t="str">
            <v>GENERAL SHOES CO. LTD.</v>
          </cell>
          <cell r="C95">
            <v>14010</v>
          </cell>
          <cell r="D95" t="str">
            <v>GENWELL INTERNATIONAL CORP.</v>
          </cell>
          <cell r="E95" t="str">
            <v>VIETNAM</v>
          </cell>
          <cell r="I95" t="str">
            <v/>
          </cell>
        </row>
        <row r="96">
          <cell r="B96" t="str">
            <v>GH HAEWAE CO. LTD.</v>
          </cell>
          <cell r="C96">
            <v>14966</v>
          </cell>
          <cell r="D96" t="str">
            <v>HAEWAE APPAREL INC</v>
          </cell>
          <cell r="E96" t="str">
            <v>BANGLADESH</v>
          </cell>
          <cell r="I96" t="str">
            <v/>
          </cell>
        </row>
        <row r="97">
          <cell r="B97" t="str">
            <v>GLOBAL GARMENTS COMPANY (PTY)L</v>
          </cell>
          <cell r="C97">
            <v>33468</v>
          </cell>
          <cell r="D97" t="str">
            <v>NIEN HSING TEXTILE CO LTD</v>
          </cell>
          <cell r="E97" t="str">
            <v>LESOTHO</v>
          </cell>
          <cell r="I97" t="str">
            <v/>
          </cell>
        </row>
        <row r="98">
          <cell r="B98" t="str">
            <v xml:space="preserve">GOLDEN HILL VIETNAM CO., LTD  </v>
          </cell>
          <cell r="C98">
            <v>66925</v>
          </cell>
          <cell r="D98" t="str">
            <v>QUEENSWAY ASIA LIMITED (GOLDEN HILL)</v>
          </cell>
          <cell r="E98" t="str">
            <v>VIETNAM</v>
          </cell>
          <cell r="I98" t="str">
            <v/>
          </cell>
        </row>
        <row r="99">
          <cell r="B99" t="str">
            <v>GOLDEN MOUNTAIN TEXTILE PRODUC</v>
          </cell>
          <cell r="C99">
            <v>58828</v>
          </cell>
          <cell r="D99" t="str">
            <v>GOLDEN GROUP TEXTILE INC</v>
          </cell>
          <cell r="E99" t="str">
            <v>CHINA (NORTH)</v>
          </cell>
          <cell r="I99" t="str">
            <v/>
          </cell>
        </row>
        <row r="100">
          <cell r="B100" t="str">
            <v>GOLDEN STAR CO, LIMITED</v>
          </cell>
          <cell r="C100">
            <v>8954</v>
          </cell>
          <cell r="D100" t="str">
            <v>STELLA INTERNATIONAL LIMITED</v>
          </cell>
          <cell r="E100" t="str">
            <v>VIETNAM</v>
          </cell>
          <cell r="I100" t="str">
            <v/>
          </cell>
        </row>
        <row r="101">
          <cell r="B101" t="str">
            <v xml:space="preserve">GOODTIME ENTERPRISE CO. LTD   </v>
          </cell>
          <cell r="C101">
            <v>25018</v>
          </cell>
          <cell r="D101" t="str">
            <v>TEXRAY INDUSTRIAL CO LTD</v>
          </cell>
          <cell r="E101" t="str">
            <v>VIETNAM</v>
          </cell>
          <cell r="I101" t="str">
            <v/>
          </cell>
        </row>
        <row r="102">
          <cell r="B102" t="str">
            <v>Grupo Beta Index</v>
          </cell>
          <cell r="C102">
            <v>17911</v>
          </cell>
          <cell r="D102" t="str">
            <v>INDUSTRIAS DE EXPORTACION S.A DE CV</v>
          </cell>
          <cell r="E102" t="str">
            <v>HONDURAS</v>
          </cell>
          <cell r="I102" t="str">
            <v/>
          </cell>
        </row>
        <row r="103">
          <cell r="B103" t="str">
            <v xml:space="preserve">Guang Zhou Panyu Lian He Enterprises Stationery Co Ltd </v>
          </cell>
          <cell r="C103">
            <v>58416</v>
          </cell>
          <cell r="D103" t="str">
            <v>Union Paper Box &amp; Printing Press Ltd.</v>
          </cell>
          <cell r="E103" t="str">
            <v>CHINA (SOUTH)</v>
          </cell>
          <cell r="I103" t="str">
            <v/>
          </cell>
        </row>
        <row r="104">
          <cell r="B104" t="str">
            <v>GUANGDONG ESQUEL TEXTILES CO L</v>
          </cell>
          <cell r="C104">
            <v>17622</v>
          </cell>
          <cell r="D104" t="str">
            <v>ESQUEL ENTERPRISES LIMITED</v>
          </cell>
          <cell r="E104" t="str">
            <v>CHINA (SOUTH)</v>
          </cell>
          <cell r="I104" t="str">
            <v/>
          </cell>
        </row>
        <row r="105">
          <cell r="B105" t="str">
            <v>GUANGXI SEVILLE FOOTWEAR COMPANY LIMITED</v>
          </cell>
          <cell r="C105">
            <v>69100</v>
          </cell>
          <cell r="D105" t="str">
            <v xml:space="preserve">STELLA INTERNATIONAL TRADING (MACAO COMMERCIAL OFFSHORE) LIMITED </v>
          </cell>
          <cell r="E105" t="str">
            <v>CHINA</v>
          </cell>
          <cell r="I105" t="str">
            <v/>
          </cell>
        </row>
        <row r="106">
          <cell r="B106" t="str">
            <v xml:space="preserve">GUANGZHOU HONGMA FASHION LIMITED </v>
          </cell>
          <cell r="C106">
            <v>17071</v>
          </cell>
          <cell r="D106" t="str">
            <v>TOWNCROSS LIMITED</v>
          </cell>
          <cell r="E106" t="str">
            <v>CHINA (SOUTH)</v>
          </cell>
          <cell r="I106" t="str">
            <v/>
          </cell>
        </row>
        <row r="107">
          <cell r="B107" t="str">
            <v>GUANGZHOU IROFA SHOES CO., LTD / GUANGZHOU GUANGHONG SHOES CO. LTD</v>
          </cell>
          <cell r="C107">
            <v>17633</v>
          </cell>
          <cell r="D107" t="str">
            <v>IFC</v>
          </cell>
          <cell r="E107" t="str">
            <v>CHINA (SOUTH)</v>
          </cell>
          <cell r="I107" t="str">
            <v/>
          </cell>
        </row>
        <row r="108">
          <cell r="B108" t="str">
            <v>GUANGZHOU JIEJIN GARMENT MANUF</v>
          </cell>
          <cell r="C108">
            <v>35895</v>
          </cell>
          <cell r="D108" t="str">
            <v>LUEN THAI HOLDINGS LTD</v>
          </cell>
          <cell r="E108" t="str">
            <v>CHINA (SOUTH)</v>
          </cell>
          <cell r="I108" t="str">
            <v/>
          </cell>
        </row>
        <row r="109">
          <cell r="B109" t="str">
            <v>Guangzhou Panyu Dongchong Chong Ming Glove Factory</v>
          </cell>
          <cell r="C109">
            <v>17651</v>
          </cell>
          <cell r="D109" t="str">
            <v>AML UNITED LIMITED</v>
          </cell>
          <cell r="E109" t="str">
            <v>CHINA (SOUTH)</v>
          </cell>
          <cell r="I109" t="str">
            <v/>
          </cell>
        </row>
        <row r="110">
          <cell r="B110" t="str">
            <v>GUANGZHOU WANJIE GARMENT CO LT</v>
          </cell>
          <cell r="C110">
            <v>18511</v>
          </cell>
          <cell r="D110" t="str">
            <v>JANNING LIMITED</v>
          </cell>
          <cell r="E110" t="str">
            <v>CHINA (SOUTH)</v>
          </cell>
          <cell r="I110" t="str">
            <v/>
          </cell>
        </row>
        <row r="111">
          <cell r="B111" t="str">
            <v>HA-MEEM DESIGN LTD.</v>
          </cell>
          <cell r="C111">
            <v>72561</v>
          </cell>
          <cell r="D111" t="str">
            <v>REFAT GARMENTS LTD</v>
          </cell>
          <cell r="E111" t="str">
            <v>BANGLADESH</v>
          </cell>
          <cell r="I111" t="str">
            <v/>
          </cell>
        </row>
        <row r="112">
          <cell r="B112" t="str">
            <v>HANGZHOU HONG KING FASHION CO., LTD.</v>
          </cell>
          <cell r="C112">
            <v>71701</v>
          </cell>
          <cell r="D112" t="str">
            <v>SUN ON - SUNNEX INT'L HOLDINGS LTD</v>
          </cell>
          <cell r="E112" t="str">
            <v>CHINA (NORTH)</v>
          </cell>
          <cell r="I112" t="str">
            <v/>
          </cell>
        </row>
        <row r="113">
          <cell r="B113" t="str">
            <v>HANGZHOU SHANGTAI TEXTILE LTD</v>
          </cell>
          <cell r="C113">
            <v>62943</v>
          </cell>
          <cell r="D113" t="str">
            <v>HANGZHOU SUNTEN APP (ACCESSORI</v>
          </cell>
          <cell r="E113" t="str">
            <v>CHINA (NORTH)</v>
          </cell>
          <cell r="I113" t="str">
            <v/>
          </cell>
        </row>
        <row r="114">
          <cell r="B114" t="str">
            <v>HANGZHOU U-JUMP ART &amp; CRAFTS C</v>
          </cell>
          <cell r="C114">
            <v>26034</v>
          </cell>
          <cell r="D114" t="str">
            <v>MADISON 88 LTD</v>
          </cell>
          <cell r="E114" t="str">
            <v>CHINA (NORTH)</v>
          </cell>
          <cell r="I114" t="str">
            <v/>
          </cell>
        </row>
        <row r="115">
          <cell r="B115" t="str">
            <v>HANGZHOU WENCHENG GARMENT CO. LTD</v>
          </cell>
          <cell r="C115">
            <v>68244</v>
          </cell>
          <cell r="D115" t="str">
            <v>HANGZHOU WENCHENG GARMENT CO. LTF</v>
          </cell>
          <cell r="E115" t="str">
            <v>CHINA (NORTH)</v>
          </cell>
          <cell r="I115" t="str">
            <v/>
          </cell>
        </row>
        <row r="116">
          <cell r="B116" t="str">
            <v>HENAN HONGFU FOOTWEAR CO LIMITED</v>
          </cell>
          <cell r="C116">
            <v>55081</v>
          </cell>
          <cell r="D116" t="str">
            <v>TOP UP GROUP LIMITED</v>
          </cell>
          <cell r="E116" t="str">
            <v>CHINA (NORTH)</v>
          </cell>
          <cell r="I116" t="str">
            <v/>
          </cell>
        </row>
        <row r="117">
          <cell r="B117" t="str">
            <v>Hong Duong International Company Ltd</v>
          </cell>
          <cell r="C117">
            <v>74868</v>
          </cell>
          <cell r="D117" t="str">
            <v>NEW LEVEL GLOBAL LIMITED</v>
          </cell>
          <cell r="E117" t="str">
            <v>Vietnam</v>
          </cell>
          <cell r="I117" t="str">
            <v/>
          </cell>
        </row>
        <row r="118">
          <cell r="B118" t="str">
            <v>HONGS ONE (CAMBODIA) GARMENT C</v>
          </cell>
          <cell r="C118">
            <v>55554</v>
          </cell>
          <cell r="D118" t="str">
            <v>LUEN THAI HOLDINGS LTD</v>
          </cell>
          <cell r="E118" t="str">
            <v>CAMBODIA</v>
          </cell>
          <cell r="I118" t="str">
            <v/>
          </cell>
        </row>
        <row r="119">
          <cell r="B119" t="str">
            <v>HONGSHENG LEATHERWARE (DONGGUA</v>
          </cell>
          <cell r="C119">
            <v>20872</v>
          </cell>
          <cell r="D119" t="str">
            <v>WILSON GROUP HOLDINGS LIMITED</v>
          </cell>
          <cell r="E119" t="str">
            <v>CHINA (SOUTH)</v>
          </cell>
          <cell r="I119" t="str">
            <v/>
          </cell>
        </row>
        <row r="120">
          <cell r="B120" t="str">
            <v xml:space="preserve">HONGYING GARMENT FACTORY LTD  </v>
          </cell>
          <cell r="C120">
            <v>17803</v>
          </cell>
          <cell r="D120" t="str">
            <v>EXCELLENT ASIA PACIFIC LIMITED</v>
          </cell>
          <cell r="E120" t="str">
            <v>CHINA (SOUTH)</v>
          </cell>
          <cell r="I120" t="str">
            <v/>
          </cell>
        </row>
        <row r="121">
          <cell r="B121" t="str">
            <v>HORIZON OUTDOOR (CAMBODIA) CO. LTD.</v>
          </cell>
          <cell r="C121">
            <v>63503</v>
          </cell>
          <cell r="D121" t="str">
            <v>GALAXY INTERNATIONAL TRADING COMPANY</v>
          </cell>
          <cell r="E121" t="str">
            <v>CAMBODIA</v>
          </cell>
          <cell r="I121" t="str">
            <v/>
          </cell>
        </row>
        <row r="122">
          <cell r="B122" t="str">
            <v>HUAI AN YUAN TONG HEADWEAR MFG. CO., LTD.</v>
          </cell>
          <cell r="C122">
            <v>43605</v>
          </cell>
          <cell r="D122" t="str">
            <v xml:space="preserve">NC ACCESSORY MFG CO LTD   </v>
          </cell>
          <cell r="E122" t="str">
            <v>CHINA (NORTH)</v>
          </cell>
          <cell r="I122" t="str">
            <v/>
          </cell>
        </row>
        <row r="123">
          <cell r="B123" t="str">
            <v>HUAIAN XINFANGJIE TECHNOLOGY GARMENT LTD</v>
          </cell>
          <cell r="C123">
            <v>57502</v>
          </cell>
          <cell r="D123" t="str">
            <v>JANNING LIMITED</v>
          </cell>
          <cell r="E123" t="str">
            <v>CHINA (NORTH)</v>
          </cell>
          <cell r="I123" t="str">
            <v/>
          </cell>
        </row>
        <row r="124">
          <cell r="B124" t="str">
            <v>HUBEI SUNSMILE FOOTWEAR CO., LTD</v>
          </cell>
          <cell r="C124">
            <v>55530</v>
          </cell>
          <cell r="D124" t="str">
            <v xml:space="preserve">CAPITAL CONCORD ENTERPRISES LIMITED </v>
          </cell>
          <cell r="E124" t="str">
            <v>CHINA (NORTH)</v>
          </cell>
          <cell r="I124" t="str">
            <v/>
          </cell>
        </row>
        <row r="125">
          <cell r="B125" t="str">
            <v>HUNG DAT SHOES COMPANY LIMITED</v>
          </cell>
          <cell r="C125">
            <v>53904</v>
          </cell>
          <cell r="D125" t="str">
            <v xml:space="preserve">TRIPOS ENTERPRISES INC. </v>
          </cell>
          <cell r="E125" t="str">
            <v>VIETNAM</v>
          </cell>
          <cell r="I125" t="str">
            <v/>
          </cell>
        </row>
        <row r="126">
          <cell r="B126" t="str">
            <v>HUNG WAY CO., LTD</v>
          </cell>
          <cell r="C126">
            <v>29064</v>
          </cell>
          <cell r="D126" t="str">
            <v>PALACE GROUP CO LTD</v>
          </cell>
          <cell r="E126" t="str">
            <v>VIETNAM</v>
          </cell>
          <cell r="I126" t="str">
            <v/>
          </cell>
        </row>
        <row r="127">
          <cell r="B127" t="str">
            <v>Hwa In International, S.A.</v>
          </cell>
          <cell r="C127">
            <v>72498</v>
          </cell>
          <cell r="D127" t="str">
            <v>IMPERIAL FASHION, SOCIEDAD ANÓNIMA</v>
          </cell>
          <cell r="E127" t="str">
            <v>GUATEMALA</v>
          </cell>
          <cell r="I127" t="str">
            <v/>
          </cell>
        </row>
        <row r="128">
          <cell r="B128" t="str">
            <v>Hyun Jin S.A. (Providence Industries Inc.) MyDyer</v>
          </cell>
          <cell r="C128">
            <v>58615</v>
          </cell>
          <cell r="D128" t="str">
            <v>Providence Industries Inc.</v>
          </cell>
          <cell r="E128" t="str">
            <v>GUATEMALA</v>
          </cell>
          <cell r="I128" t="str">
            <v/>
          </cell>
        </row>
        <row r="129">
          <cell r="B129" t="str">
            <v>I APPAREL LTD</v>
          </cell>
          <cell r="C129">
            <v>52064</v>
          </cell>
          <cell r="D129" t="str">
            <v>I APPAREL INTERNATIONAL (HK) PRIVATE LIMITED</v>
          </cell>
          <cell r="E129" t="str">
            <v>CAMBODIA</v>
          </cell>
          <cell r="I129" t="str">
            <v/>
          </cell>
        </row>
        <row r="130">
          <cell r="B130" t="str">
            <v>IDEAS (JIANGXI) ENTERPRISES LT</v>
          </cell>
          <cell r="C130">
            <v>34216</v>
          </cell>
          <cell r="D130" t="str">
            <v>PENINSULA KNITTERS LIMITED</v>
          </cell>
          <cell r="E130" t="str">
            <v>CHINA (SOUTH)</v>
          </cell>
          <cell r="I130" t="str">
            <v/>
          </cell>
        </row>
        <row r="131">
          <cell r="B131" t="str">
            <v>Industrial Mafer SA de CV</v>
          </cell>
          <cell r="C131">
            <v>17905</v>
          </cell>
          <cell r="D131" t="str">
            <v>INDUSTRIAS JM, S.A de CV</v>
          </cell>
          <cell r="E131" t="str">
            <v>MEXICO</v>
          </cell>
          <cell r="I131" t="str">
            <v/>
          </cell>
        </row>
        <row r="132">
          <cell r="B132" t="str">
            <v>Istmo Textil Nicaragua, S.A. (Masaya)</v>
          </cell>
          <cell r="C132">
            <v>63817</v>
          </cell>
          <cell r="D132" t="str">
            <v>SHINSUNG TONGSANG CO</v>
          </cell>
          <cell r="E132" t="str">
            <v>NICARAGUA</v>
          </cell>
          <cell r="I132" t="str">
            <v/>
          </cell>
        </row>
        <row r="133">
          <cell r="B133" t="str">
            <v>JEANS EXPORT GARMENT FACTORY</v>
          </cell>
          <cell r="C133">
            <v>52760</v>
          </cell>
          <cell r="D133" t="str">
            <v xml:space="preserve">PHONG PHU INTERNATIONAL JOINT STOCK CO. </v>
          </cell>
          <cell r="E133" t="str">
            <v>VIETNAM</v>
          </cell>
          <cell r="I133" t="str">
            <v/>
          </cell>
        </row>
        <row r="134">
          <cell r="B134" t="str">
            <v>JEANS KNIT PRIVATE LTD [JKPL 1]</v>
          </cell>
          <cell r="C134">
            <v>62191</v>
          </cell>
          <cell r="D134" t="str">
            <v>JEANS KNIT PRIVATE LIMITED</v>
          </cell>
          <cell r="E134" t="str">
            <v>INDIA</v>
          </cell>
          <cell r="I134" t="str">
            <v/>
          </cell>
        </row>
        <row r="135">
          <cell r="B135" t="str">
            <v>JERASH GARMENTS &amp; FASHIONS MAN</v>
          </cell>
          <cell r="C135">
            <v>17984</v>
          </cell>
          <cell r="D135" t="str">
            <v>FORD GLORY INTERNATIONAL LIMITED</v>
          </cell>
          <cell r="E135" t="str">
            <v>JORDAN</v>
          </cell>
          <cell r="I135" t="str">
            <v/>
          </cell>
        </row>
        <row r="136">
          <cell r="B136" t="str">
            <v>JIA HSIN CO., LTD</v>
          </cell>
          <cell r="C136">
            <v>43598</v>
          </cell>
          <cell r="D136" t="str">
            <v>SUN KUAN (BVI) ENTERPRISES LTD</v>
          </cell>
          <cell r="E136" t="str">
            <v>VIETNAM</v>
          </cell>
          <cell r="I136" t="str">
            <v/>
          </cell>
        </row>
        <row r="137">
          <cell r="B137" t="str">
            <v>JIANG SU ASIAN SOURCING HEADWA</v>
          </cell>
          <cell r="C137">
            <v>26988</v>
          </cell>
          <cell r="D137" t="str">
            <v>SHANGHAI ASIAN SOURCING INTERNATIONAL LTD</v>
          </cell>
          <cell r="E137" t="str">
            <v>CHINA (NORTH)</v>
          </cell>
          <cell r="I137" t="str">
            <v/>
          </cell>
        </row>
        <row r="138">
          <cell r="B138" t="str">
            <v>JIANGSU SAINTY EAGLE (LONG SHAN) CO LTD</v>
          </cell>
          <cell r="C138">
            <v>18021</v>
          </cell>
          <cell r="D138" t="str">
            <v>JIANGSU SAINTY CORP LTD</v>
          </cell>
          <cell r="E138" t="str">
            <v>CHINA (NORTH)</v>
          </cell>
          <cell r="I138" t="str">
            <v/>
          </cell>
        </row>
        <row r="139">
          <cell r="B139" t="str">
            <v>JIANGSU WILSON BAG INTERNATION</v>
          </cell>
          <cell r="C139">
            <v>26553</v>
          </cell>
          <cell r="D139" t="str">
            <v>WILSON GROUP HOLDINGS LIMITED</v>
          </cell>
          <cell r="E139" t="str">
            <v>CHINA (NORTH)</v>
          </cell>
          <cell r="I139" t="str">
            <v/>
          </cell>
        </row>
        <row r="140">
          <cell r="B140" t="str">
            <v>JiangSu XueZhongFei Garment Co Ltd</v>
          </cell>
          <cell r="C140">
            <v>60047</v>
          </cell>
          <cell r="D140" t="str">
            <v>CHANGSHU BOSIDENG IMPORT &amp; EXPORT CO LTD</v>
          </cell>
          <cell r="E140" t="str">
            <v>CHINA (NORTH)</v>
          </cell>
          <cell r="I140" t="str">
            <v/>
          </cell>
        </row>
        <row r="141">
          <cell r="B141" t="str">
            <v>JIANGYIN TIANYUN KNITTING &amp; TE</v>
          </cell>
          <cell r="C141">
            <v>18036</v>
          </cell>
          <cell r="D141" t="str">
            <v>EAST BAY TEXTILES LIMITED</v>
          </cell>
          <cell r="E141" t="str">
            <v>CHINA (NORTH)</v>
          </cell>
          <cell r="I141" t="str">
            <v/>
          </cell>
        </row>
        <row r="142">
          <cell r="B142" t="str">
            <v>JINJIANG XINGHUA KNITTING INDU</v>
          </cell>
          <cell r="C142">
            <v>26741</v>
          </cell>
          <cell r="D142" t="str">
            <v>QUICK FEAT INTERNATIONAL LTD</v>
          </cell>
          <cell r="E142" t="str">
            <v>CHINA (NORTH)</v>
          </cell>
          <cell r="I142" t="str">
            <v/>
          </cell>
        </row>
        <row r="143">
          <cell r="B143" t="str">
            <v>JMS TRADING CO.</v>
          </cell>
          <cell r="C143">
            <v>40380</v>
          </cell>
          <cell r="D143" t="str">
            <v>JMS TRADING CO.</v>
          </cell>
          <cell r="E143" t="str">
            <v>PAKISTAN</v>
          </cell>
          <cell r="I143" t="str">
            <v/>
          </cell>
        </row>
        <row r="144">
          <cell r="B144" t="str">
            <v>JOON SAIGON CO LTD</v>
          </cell>
          <cell r="C144">
            <v>23922</v>
          </cell>
          <cell r="D144" t="str">
            <v>PUNGKOOK CORPORATION</v>
          </cell>
          <cell r="E144" t="str">
            <v>VIETNAM</v>
          </cell>
          <cell r="I144" t="str">
            <v/>
          </cell>
        </row>
        <row r="145">
          <cell r="B145" t="str">
            <v>K MOHAN &amp; COMPANY (EXPORTS) PRIVATE LIMITED [NB2 UNIT]</v>
          </cell>
          <cell r="C145">
            <v>56262</v>
          </cell>
          <cell r="D145" t="str">
            <v>K MOHAN &amp; COMPANY (EXPORTS) PVT LTD</v>
          </cell>
          <cell r="E145" t="str">
            <v>INDIA</v>
          </cell>
          <cell r="I145" t="str">
            <v/>
          </cell>
        </row>
        <row r="146">
          <cell r="B146" t="str">
            <v>K MOHAN &amp; COMPANY (EXPORTS) PVT LTD (HULIMAVU UNIT)</v>
          </cell>
          <cell r="C146">
            <v>64777</v>
          </cell>
          <cell r="D146" t="str">
            <v>K MOHAN &amp; CO (EXPORTS) PVT LTD</v>
          </cell>
          <cell r="E146" t="str">
            <v>INDIA</v>
          </cell>
          <cell r="I146" t="str">
            <v/>
          </cell>
        </row>
        <row r="147">
          <cell r="B147" t="str">
            <v>K. MOHAN &amp; CO. (EXPORTS) PVT. LTD. (SLV UNIT)</v>
          </cell>
          <cell r="C147">
            <v>30763</v>
          </cell>
          <cell r="D147" t="str">
            <v>K MOHAN &amp; CO (EXPORTS) PVT LTD</v>
          </cell>
          <cell r="E147" t="str">
            <v>INDIA</v>
          </cell>
          <cell r="I147" t="str">
            <v/>
          </cell>
        </row>
        <row r="148">
          <cell r="B148" t="str">
            <v>KANAAN SAIGON CO LTD - FACTORY 3</v>
          </cell>
          <cell r="C148">
            <v>56291</v>
          </cell>
          <cell r="D148" t="str">
            <v xml:space="preserve">KANAAN CO LTD                </v>
          </cell>
          <cell r="E148" t="str">
            <v>VIETNAM</v>
          </cell>
          <cell r="I148" t="str">
            <v/>
          </cell>
        </row>
        <row r="149">
          <cell r="B149" t="str">
            <v>KANAAN SAIGON CO. LTD - FACTORY 1</v>
          </cell>
          <cell r="C149">
            <v>18147</v>
          </cell>
          <cell r="D149" t="str">
            <v xml:space="preserve">KANAAN CO LTD                </v>
          </cell>
          <cell r="E149" t="str">
            <v>VIETNAM</v>
          </cell>
          <cell r="I149" t="str">
            <v/>
          </cell>
        </row>
        <row r="150">
          <cell r="B150" t="str">
            <v xml:space="preserve">KARNAPHULI SHOES INDUSTRIES LIMITED </v>
          </cell>
          <cell r="C150">
            <v>63744</v>
          </cell>
          <cell r="D150" t="str">
            <v>YOUNGONE CORPORATION</v>
          </cell>
          <cell r="E150" t="str">
            <v>BANGLADESH</v>
          </cell>
          <cell r="I150" t="str">
            <v/>
          </cell>
        </row>
        <row r="151">
          <cell r="B151" t="str">
            <v>KARNAPHULI SPORTSWEAR IND. LTD</v>
          </cell>
          <cell r="C151">
            <v>18159</v>
          </cell>
          <cell r="D151" t="str">
            <v>YOUNGONE CORPORATION</v>
          </cell>
          <cell r="E151" t="str">
            <v>BANGLADESH</v>
          </cell>
          <cell r="I151" t="str">
            <v/>
          </cell>
        </row>
        <row r="152">
          <cell r="B152" t="str">
            <v>KENPARK BANGLADESH APPAREL (PVT) LTD. [69-85 KEPZ - UNIT 2/LAUNDRY]</v>
          </cell>
          <cell r="C152">
            <v>56207</v>
          </cell>
          <cell r="D152" t="str">
            <v>KENPARK TRADING LIMITED (JLT)</v>
          </cell>
          <cell r="E152" t="str">
            <v>BANGLADESH</v>
          </cell>
          <cell r="I152" t="str">
            <v/>
          </cell>
        </row>
        <row r="153">
          <cell r="B153" t="str">
            <v>KENPARK BANGLADESH PVT LTD - K5</v>
          </cell>
          <cell r="C153">
            <v>66089</v>
          </cell>
          <cell r="D153" t="str">
            <v>KENPARK TRADING LIMITED (JLT)</v>
          </cell>
          <cell r="E153" t="str">
            <v>BANGLADESH</v>
          </cell>
          <cell r="I153" t="str">
            <v/>
          </cell>
        </row>
        <row r="154">
          <cell r="B154" t="str">
            <v>KENPARK BANGLADESH PVT LTD - K6</v>
          </cell>
          <cell r="C154">
            <v>71230</v>
          </cell>
          <cell r="D154" t="str">
            <v>KENPARK TRADING LIMITED (JLT)</v>
          </cell>
          <cell r="E154" t="str">
            <v>BANGLADESH</v>
          </cell>
          <cell r="I154" t="str">
            <v/>
          </cell>
        </row>
        <row r="155">
          <cell r="B155" t="str">
            <v>KINGTAI INDUSTRIAL (XIAMEN) CO</v>
          </cell>
          <cell r="C155">
            <v>26510</v>
          </cell>
          <cell r="D155" t="str">
            <v>GREATEX INTERNATIONAL (HK) CO</v>
          </cell>
          <cell r="E155" t="str">
            <v>CHINA (SOUTH)</v>
          </cell>
          <cell r="I155" t="str">
            <v/>
          </cell>
        </row>
        <row r="156">
          <cell r="B156" t="str">
            <v>KP APPAREL TRADING JLT</v>
          </cell>
          <cell r="C156">
            <v>29891</v>
          </cell>
          <cell r="D156" t="str">
            <v>KENPARK TRADING LIMITED (JLT)</v>
          </cell>
          <cell r="E156" t="str">
            <v>BANGLADESH</v>
          </cell>
          <cell r="I156" t="str">
            <v/>
          </cell>
        </row>
        <row r="157">
          <cell r="B157" t="str">
            <v>KUNSHAN SABRINA CLOTHES MAKING</v>
          </cell>
          <cell r="C157">
            <v>30785</v>
          </cell>
          <cell r="D157" t="str">
            <v>SABRINA FASHION INDUSTRIAL CORP</v>
          </cell>
          <cell r="E157" t="str">
            <v>CHINA (NORTH)</v>
          </cell>
          <cell r="I157" t="str">
            <v/>
          </cell>
        </row>
        <row r="158">
          <cell r="B158" t="str">
            <v>KWANG VIET GARMENT CO. LTD.</v>
          </cell>
          <cell r="C158">
            <v>15140</v>
          </cell>
          <cell r="D158" t="str">
            <v>QUANG VIET ENTERPRISE CO, LIMITED</v>
          </cell>
          <cell r="E158" t="str">
            <v>VIETNAM</v>
          </cell>
          <cell r="I158" t="str">
            <v/>
          </cell>
        </row>
        <row r="159">
          <cell r="B159" t="str">
            <v>LAJ EXPORTS LIMITED</v>
          </cell>
          <cell r="C159">
            <v>58812</v>
          </cell>
          <cell r="D159" t="str">
            <v>LAJ EXPORTS LIMITED [UNIT 1]</v>
          </cell>
          <cell r="E159" t="str">
            <v>INDIA</v>
          </cell>
          <cell r="I159" t="str">
            <v/>
          </cell>
        </row>
        <row r="160">
          <cell r="B160" t="str">
            <v>LANGHAM GARMENT CO.,LTD</v>
          </cell>
          <cell r="C160">
            <v>29770</v>
          </cell>
          <cell r="D160" t="str">
            <v>YEE TUNG GARMENT CO LTD</v>
          </cell>
          <cell r="E160" t="str">
            <v>VIETNAM</v>
          </cell>
          <cell r="I160" t="str">
            <v/>
          </cell>
        </row>
        <row r="161">
          <cell r="B161" t="str">
            <v>LEACHENG GROUP XINYI CO., LTD</v>
          </cell>
          <cell r="C161">
            <v>42481</v>
          </cell>
          <cell r="D161" t="str">
            <v>LEACHENG CROUP HONG KONG LIMITED</v>
          </cell>
          <cell r="E161" t="str">
            <v>CHINA (NORTH)</v>
          </cell>
          <cell r="I161" t="str">
            <v/>
          </cell>
        </row>
        <row r="162">
          <cell r="B162" t="str">
            <v>LESOTHO PRECIOUS GARMENTS</v>
          </cell>
          <cell r="C162">
            <v>24774</v>
          </cell>
          <cell r="D162" t="str">
            <v>YUNG SHENG TRADING CO LTD</v>
          </cell>
          <cell r="E162" t="str">
            <v>LESOTHO</v>
          </cell>
          <cell r="I162" t="str">
            <v/>
          </cell>
        </row>
        <row r="163">
          <cell r="B163" t="str">
            <v>LIN WEN CHIH SUNBOW ENTERPRISES CO., LTD.</v>
          </cell>
          <cell r="C163">
            <v>68152</v>
          </cell>
          <cell r="D163" t="str">
            <v xml:space="preserve">CAPITAL CONCORD ENTERPRISES LIMITED </v>
          </cell>
          <cell r="E163" t="str">
            <v>CAMBODIA</v>
          </cell>
          <cell r="I163" t="str">
            <v/>
          </cell>
        </row>
        <row r="164">
          <cell r="B164" t="str">
            <v>Liwaco Outdoor Sporting Goods (Hubei) Company Limited</v>
          </cell>
          <cell r="C164">
            <v>52665</v>
          </cell>
          <cell r="D164" t="str">
            <v>LIWACO OVERSEAS MARKETING LTD.</v>
          </cell>
          <cell r="E164" t="str">
            <v>CHINA (NORTH)</v>
          </cell>
          <cell r="I164" t="str">
            <v/>
          </cell>
        </row>
        <row r="165">
          <cell r="B165" t="str">
            <v>LIZ APPARELS LTD</v>
          </cell>
          <cell r="C165">
            <v>48976</v>
          </cell>
          <cell r="D165" t="str">
            <v>NASSA APPARELS LTD</v>
          </cell>
          <cell r="E165" t="str">
            <v>BANGLADESH</v>
          </cell>
          <cell r="I165" t="str">
            <v/>
          </cell>
        </row>
        <row r="166">
          <cell r="B166" t="str">
            <v>LONGAN EXPORT GARMENT JOINT ST</v>
          </cell>
          <cell r="C166">
            <v>57747</v>
          </cell>
          <cell r="D166" t="str">
            <v>PHONG PHU INTERNATIONAL JOINT  SOTCK COMPANY (PPJ)</v>
          </cell>
          <cell r="E166" t="str">
            <v>VIETNAM</v>
          </cell>
          <cell r="I166" t="str">
            <v/>
          </cell>
        </row>
        <row r="167">
          <cell r="B167" t="str">
            <v>LOTUS GARMENT CO</v>
          </cell>
          <cell r="C167">
            <v>30199</v>
          </cell>
          <cell r="D167" t="str">
            <v>LOTUS GARMENTS CO</v>
          </cell>
          <cell r="E167" t="str">
            <v>EGYPT</v>
          </cell>
          <cell r="I167" t="str">
            <v/>
          </cell>
        </row>
        <row r="168">
          <cell r="B168" t="str">
            <v>LOTUS GARMENTS CO (MISR - B5-6)</v>
          </cell>
          <cell r="C168">
            <v>72636</v>
          </cell>
          <cell r="D168" t="str">
            <v>LOTUS GARMENTS CO</v>
          </cell>
          <cell r="E168" t="str">
            <v>EGYPT</v>
          </cell>
          <cell r="I168" t="str">
            <v/>
          </cell>
        </row>
        <row r="169">
          <cell r="B169" t="str">
            <v>LOTUS GARMENTS CO (QUILTING FACTORY - D13-14)</v>
          </cell>
          <cell r="C169">
            <v>72635</v>
          </cell>
          <cell r="D169" t="str">
            <v>LOTUS GARMENTS CO</v>
          </cell>
          <cell r="E169" t="str">
            <v>EGYPT</v>
          </cell>
          <cell r="I169" t="str">
            <v/>
          </cell>
        </row>
        <row r="170">
          <cell r="B170" t="str">
            <v>LUCKY FASHION CO., LIMITED</v>
          </cell>
          <cell r="C170">
            <v>59622</v>
          </cell>
          <cell r="D170" t="str">
            <v>TRI-TOP APPAREL MANUFACTURING LIMITED</v>
          </cell>
          <cell r="E170" t="str">
            <v>CHINA (NORTH)</v>
          </cell>
          <cell r="I170" t="str">
            <v/>
          </cell>
        </row>
        <row r="171">
          <cell r="B171" t="str">
            <v>LUCKY KNITS (PRIVATE) LIMITED</v>
          </cell>
          <cell r="C171">
            <v>43523</v>
          </cell>
          <cell r="D171" t="str">
            <v>AMERICAN TEXTILE &amp; APPAREL INC</v>
          </cell>
          <cell r="E171" t="str">
            <v>PAKISTAN</v>
          </cell>
          <cell r="I171" t="str">
            <v/>
          </cell>
        </row>
        <row r="172">
          <cell r="B172" t="str">
            <v>LUCKY KNITS UNIT # 3</v>
          </cell>
          <cell r="C172">
            <v>47926</v>
          </cell>
          <cell r="D172">
            <v>0</v>
          </cell>
          <cell r="E172" t="str">
            <v>PAKISTAN</v>
          </cell>
          <cell r="I172" t="str">
            <v/>
          </cell>
        </row>
        <row r="173">
          <cell r="B173" t="str">
            <v>MACTAN APPARELS, INC.</v>
          </cell>
          <cell r="C173">
            <v>23985</v>
          </cell>
          <cell r="D173" t="str">
            <v>SINTEX INTERNATIONAL LTD</v>
          </cell>
          <cell r="E173" t="str">
            <v>PHILIPPINES</v>
          </cell>
          <cell r="I173" t="str">
            <v/>
          </cell>
        </row>
        <row r="174">
          <cell r="B174" t="str">
            <v>MAHONA JEANSWEAR LTD</v>
          </cell>
          <cell r="C174">
            <v>67496</v>
          </cell>
          <cell r="D174" t="str">
            <v>SIMFTEX APPAREL AND WASHING LTD</v>
          </cell>
          <cell r="E174" t="str">
            <v>BANGLADESH</v>
          </cell>
          <cell r="I174" t="str">
            <v/>
          </cell>
        </row>
        <row r="175">
          <cell r="B175" t="str">
            <v>MAITEX CO LTD OF HUILAI</v>
          </cell>
          <cell r="C175">
            <v>15396</v>
          </cell>
          <cell r="D175" t="str">
            <v>MAITEX (EAG) LIMITED</v>
          </cell>
          <cell r="E175" t="str">
            <v>CHINA (SOUTH)</v>
          </cell>
          <cell r="I175" t="str">
            <v/>
          </cell>
        </row>
        <row r="176">
          <cell r="B176" t="str">
            <v xml:space="preserve">MAKALOT GARMENTS (VIETNAM) CO </v>
          </cell>
          <cell r="C176">
            <v>44516</v>
          </cell>
          <cell r="D176" t="str">
            <v>MAKALOT INDUSTRIAL CO LTD</v>
          </cell>
          <cell r="E176" t="str">
            <v>VIETNAM</v>
          </cell>
          <cell r="I176" t="str">
            <v/>
          </cell>
        </row>
        <row r="177">
          <cell r="B177" t="str">
            <v>MANTA APPARELS LIMITED</v>
          </cell>
          <cell r="C177">
            <v>18536</v>
          </cell>
          <cell r="D177" t="str">
            <v>ENVOY FASHIONS LIMITED</v>
          </cell>
          <cell r="E177" t="str">
            <v>BANGLADESH</v>
          </cell>
          <cell r="I177" t="str">
            <v/>
          </cell>
        </row>
        <row r="178">
          <cell r="B178" t="str">
            <v>MANUFACTURING SPORTWEAR JOINT STOCK COMPANY - THAI BINH BRANCH</v>
          </cell>
          <cell r="C178">
            <v>49910</v>
          </cell>
          <cell r="D178" t="str">
            <v>MANUFACTURING SPORTWEAR JOINT STOCK COMPANY</v>
          </cell>
          <cell r="E178" t="str">
            <v>Vietnam</v>
          </cell>
          <cell r="I178" t="str">
            <v/>
          </cell>
        </row>
        <row r="179">
          <cell r="B179" t="str">
            <v>MATRIX CLOTHING PVT LTD (UNIT 1)</v>
          </cell>
          <cell r="C179">
            <v>60404</v>
          </cell>
          <cell r="D179" t="str">
            <v>Matrix Clothing Pvt Ltd</v>
          </cell>
          <cell r="E179" t="str">
            <v>INDIA</v>
          </cell>
          <cell r="I179" t="str">
            <v/>
          </cell>
        </row>
        <row r="180">
          <cell r="B180" t="str">
            <v>MATRIX CLOTHING PVT LTD (UNIT 3) [PLOT 197]</v>
          </cell>
          <cell r="C180">
            <v>63539</v>
          </cell>
          <cell r="D180" t="str">
            <v>MATRIX CLOTHING PVT LTD</v>
          </cell>
          <cell r="E180" t="str">
            <v>INDIA</v>
          </cell>
          <cell r="I180" t="str">
            <v/>
          </cell>
        </row>
        <row r="181">
          <cell r="B181" t="str">
            <v>MAY HAI JOINT STOCK COMPANY [TRAN THANH NGO WORKSHOP]</v>
          </cell>
          <cell r="C181">
            <v>53103</v>
          </cell>
          <cell r="D181" t="str">
            <v>ESQUEL GROUP</v>
          </cell>
          <cell r="E181" t="str">
            <v>VIETNAM</v>
          </cell>
          <cell r="I181" t="str">
            <v/>
          </cell>
        </row>
        <row r="182">
          <cell r="B182" t="str">
            <v xml:space="preserve">MEDLAR APPARELS LTD    </v>
          </cell>
          <cell r="C182">
            <v>18662</v>
          </cell>
          <cell r="D182" t="str">
            <v>ENTERPRISE CLUSTER PTE LTD</v>
          </cell>
          <cell r="E182" t="str">
            <v>BANGLADESH</v>
          </cell>
          <cell r="I182" t="str">
            <v/>
          </cell>
        </row>
        <row r="183">
          <cell r="B183" t="str">
            <v>MEENAKSHI (INDIA) LIMITED [UNIT 2]</v>
          </cell>
          <cell r="C183">
            <v>24724</v>
          </cell>
          <cell r="D183" t="str">
            <v>MEENAKSHI INDIA LIMITED</v>
          </cell>
          <cell r="E183" t="str">
            <v>INDIA</v>
          </cell>
          <cell r="I183" t="str">
            <v/>
          </cell>
        </row>
        <row r="184">
          <cell r="B184" t="str">
            <v>METRO WEAR, INC.</v>
          </cell>
          <cell r="C184">
            <v>23984</v>
          </cell>
          <cell r="D184" t="str">
            <v>SINTEX INTERNATIONAL LTD</v>
          </cell>
          <cell r="E184" t="str">
            <v>PHILIPPINES</v>
          </cell>
          <cell r="I184" t="str">
            <v/>
          </cell>
        </row>
        <row r="185">
          <cell r="B185" t="str">
            <v>MEX MODE, SA DE CV</v>
          </cell>
          <cell r="C185">
            <v>30812</v>
          </cell>
          <cell r="D185" t="str">
            <v>Kukdong Apparel (America), Inc.</v>
          </cell>
          <cell r="E185" t="str">
            <v>MEXICO</v>
          </cell>
          <cell r="I185" t="str">
            <v/>
          </cell>
        </row>
        <row r="186">
          <cell r="B186" t="str">
            <v>MIDAS FOOTWEAR CO, LIMITED</v>
          </cell>
          <cell r="C186">
            <v>43892</v>
          </cell>
          <cell r="D186" t="str">
            <v>ALLIED JET LIMITED</v>
          </cell>
          <cell r="E186" t="str">
            <v>CHINA</v>
          </cell>
          <cell r="I186" t="str">
            <v/>
          </cell>
        </row>
        <row r="187">
          <cell r="B187" t="str">
            <v>MINEN (ZHONGSHAN) TEXTILE GMT CO LTD</v>
          </cell>
          <cell r="C187">
            <v>16023</v>
          </cell>
          <cell r="D187" t="str">
            <v>MAN YAN (ZHONGSHAN) GMT TEXTILES CO LTD</v>
          </cell>
          <cell r="E187" t="str">
            <v>CHINA (SOUTH)</v>
          </cell>
          <cell r="I187" t="str">
            <v/>
          </cell>
        </row>
        <row r="188">
          <cell r="B188" t="str">
            <v>MOMBASA APPAREL (EPZ) LTD (UNIT 1)</v>
          </cell>
          <cell r="C188">
            <v>67318</v>
          </cell>
          <cell r="D188" t="str">
            <v>ATRACO INDUSTRIAL ENTERPRISE</v>
          </cell>
          <cell r="E188" t="str">
            <v>KENYA</v>
          </cell>
          <cell r="I188" t="str">
            <v/>
          </cell>
        </row>
        <row r="189">
          <cell r="B189" t="str">
            <v xml:space="preserve">MOMBASA APPAREL(EPZ) LTD [UNIT 3] </v>
          </cell>
          <cell r="C189">
            <v>69985</v>
          </cell>
          <cell r="D189" t="str">
            <v>ATRACO INDUSTRIAL ENTERPRISE</v>
          </cell>
          <cell r="E189" t="str">
            <v>KENYA</v>
          </cell>
          <cell r="I189" t="str">
            <v/>
          </cell>
        </row>
        <row r="190">
          <cell r="B190" t="str">
            <v>NAN YANG GARMENT CO LTD</v>
          </cell>
          <cell r="C190">
            <v>18814</v>
          </cell>
          <cell r="D190" t="str">
            <v xml:space="preserve">NAN YANG GARMENT CO LTD       </v>
          </cell>
          <cell r="E190" t="str">
            <v>THAILAND</v>
          </cell>
          <cell r="I190" t="str">
            <v/>
          </cell>
        </row>
        <row r="191">
          <cell r="B191" t="str">
            <v>NANGING FASHIONS (CHINA) LTD.,</v>
          </cell>
          <cell r="C191">
            <v>39556</v>
          </cell>
          <cell r="D191" t="str">
            <v>HONG KONG RICH OCEAN LIMITED</v>
          </cell>
          <cell r="E191" t="str">
            <v>CHINA (SOUTH)</v>
          </cell>
          <cell r="I191" t="str">
            <v/>
          </cell>
        </row>
        <row r="192">
          <cell r="B192" t="str">
            <v>NEO-CONCEPT FASHION (CAMBODIA) COMPANY LIMITED</v>
          </cell>
          <cell r="C192">
            <v>73079</v>
          </cell>
          <cell r="D192" t="str">
            <v>NEO-CONCEPT (HOLDINGS) CO., LTD</v>
          </cell>
          <cell r="E192" t="str">
            <v>CAMBODIA</v>
          </cell>
          <cell r="I192" t="str">
            <v/>
          </cell>
        </row>
        <row r="193">
          <cell r="B193" t="str">
            <v>NEO-CONCEPT FASHION (ZHONGSHAN) CO., LTD.</v>
          </cell>
          <cell r="C193">
            <v>67005</v>
          </cell>
          <cell r="D193" t="str">
            <v>NEO-CONCEPT (HOLDINGS) CO., LTD</v>
          </cell>
          <cell r="E193" t="str">
            <v>CHINA (SOUTH)</v>
          </cell>
          <cell r="I193" t="str">
            <v/>
          </cell>
        </row>
        <row r="194">
          <cell r="B194" t="str">
            <v>NEWAGE APPARELS LIMITED</v>
          </cell>
          <cell r="C194">
            <v>15981</v>
          </cell>
          <cell r="D194" t="str">
            <v>NEWAGE APPARELS LIMITED</v>
          </cell>
          <cell r="E194" t="str">
            <v>BANGLADESH</v>
          </cell>
          <cell r="I194" t="str">
            <v/>
          </cell>
        </row>
        <row r="195">
          <cell r="B195" t="str">
            <v>NICE-BAG (HUAI'AN) INTERNATIONAL IND. CO., LTD</v>
          </cell>
          <cell r="C195">
            <v>26554</v>
          </cell>
          <cell r="D195" t="str">
            <v>GUANG DER GROUP HOLDING CO LT</v>
          </cell>
          <cell r="E195" t="str">
            <v>CHINA (NORTH)</v>
          </cell>
          <cell r="I195" t="str">
            <v/>
          </cell>
        </row>
        <row r="196">
          <cell r="B196" t="str">
            <v>NIEN HSING GARMENT (VIETNAM) C</v>
          </cell>
          <cell r="C196">
            <v>28917</v>
          </cell>
          <cell r="D196" t="str">
            <v>NIEN HSING TEXTILE CO LTD</v>
          </cell>
          <cell r="E196" t="str">
            <v>VIETNAM</v>
          </cell>
          <cell r="I196" t="str">
            <v/>
          </cell>
        </row>
        <row r="197">
          <cell r="B197" t="str">
            <v xml:space="preserve">NIEN HSING INTERNATIONAL LESO </v>
          </cell>
          <cell r="C197">
            <v>34737</v>
          </cell>
          <cell r="D197" t="str">
            <v>NIEN HSING TEXTILE CO LTD</v>
          </cell>
          <cell r="E197" t="str">
            <v>LESOTHO</v>
          </cell>
          <cell r="I197" t="str">
            <v/>
          </cell>
        </row>
        <row r="198">
          <cell r="B198" t="str">
            <v xml:space="preserve">NILE CLOTHING COMPANY         </v>
          </cell>
          <cell r="C198">
            <v>18936</v>
          </cell>
          <cell r="D198" t="str">
            <v>NILE CLOTHING COMPANY</v>
          </cell>
          <cell r="E198" t="str">
            <v>EGYPT</v>
          </cell>
          <cell r="I198" t="str">
            <v/>
          </cell>
        </row>
        <row r="199">
          <cell r="B199" t="str">
            <v>NINGBO BESTON PLASTICS CO LTD</v>
          </cell>
          <cell r="C199">
            <v>18939</v>
          </cell>
          <cell r="D199" t="str">
            <v>NINGBO BESTON PLASTICS CO LTD</v>
          </cell>
          <cell r="E199" t="str">
            <v>CHINA (NORTH)</v>
          </cell>
          <cell r="I199" t="str">
            <v/>
          </cell>
        </row>
        <row r="200">
          <cell r="B200" t="str">
            <v>NINGBO HORIZON OUTDOOR PRODUCT</v>
          </cell>
          <cell r="C200">
            <v>34046</v>
          </cell>
          <cell r="D200" t="str">
            <v>GALAXY INTERNATIONAL TRADING COMPANY</v>
          </cell>
          <cell r="E200" t="str">
            <v>CHINA (NORTH)</v>
          </cell>
          <cell r="I200" t="str">
            <v/>
          </cell>
        </row>
        <row r="201">
          <cell r="B201" t="str">
            <v>NINGBO LUOKEMOWEI WEAR CO LTD</v>
          </cell>
          <cell r="C201">
            <v>48012</v>
          </cell>
          <cell r="D201" t="str">
            <v>DRAGON CROWD APPAREL LTD</v>
          </cell>
          <cell r="E201" t="str">
            <v>CHINA (NORTH)</v>
          </cell>
          <cell r="I201" t="str">
            <v/>
          </cell>
        </row>
        <row r="202">
          <cell r="B202" t="str">
            <v>NINGBO MENGDI KNITTING CO. LTD</v>
          </cell>
          <cell r="C202">
            <v>24893</v>
          </cell>
          <cell r="D202" t="str">
            <v>CATALPA LIMITED</v>
          </cell>
          <cell r="E202" t="str">
            <v>CHINA (NORTH)</v>
          </cell>
          <cell r="I202" t="str">
            <v/>
          </cell>
        </row>
        <row r="203">
          <cell r="B203" t="str">
            <v>NINGBO NANHUI TEXTILE CO., LTD</v>
          </cell>
          <cell r="C203">
            <v>45843</v>
          </cell>
          <cell r="D203" t="str">
            <v>HELIOTROPE INTERNATIONAL LIMIT</v>
          </cell>
          <cell r="E203" t="str">
            <v>CHINA (NORTH)</v>
          </cell>
          <cell r="I203" t="str">
            <v/>
          </cell>
        </row>
        <row r="204">
          <cell r="B204" t="str">
            <v xml:space="preserve">OLIO APPARELS LTD             </v>
          </cell>
          <cell r="C204">
            <v>51850</v>
          </cell>
          <cell r="D204" t="str">
            <v>ENVOY FASHIONS LIMITED</v>
          </cell>
          <cell r="E204" t="str">
            <v>BANGLADESH</v>
          </cell>
          <cell r="I204" t="str">
            <v/>
          </cell>
        </row>
        <row r="205">
          <cell r="B205" t="str">
            <v>OPEX DESIGNERS LIMITED</v>
          </cell>
          <cell r="C205">
            <v>20039</v>
          </cell>
          <cell r="D205" t="str">
            <v>OPEX INDUSTRIES LTD</v>
          </cell>
          <cell r="E205" t="str">
            <v>BANGLADESH</v>
          </cell>
          <cell r="I205" t="str">
            <v/>
          </cell>
        </row>
        <row r="206">
          <cell r="B206" t="str">
            <v xml:space="preserve">OPEX GARMENTS LTD             </v>
          </cell>
          <cell r="C206">
            <v>19031</v>
          </cell>
          <cell r="D206" t="str">
            <v>OPEX INDUSTRIES LTD</v>
          </cell>
          <cell r="E206" t="str">
            <v>BANGLADESH</v>
          </cell>
          <cell r="I206" t="str">
            <v/>
          </cell>
        </row>
        <row r="207">
          <cell r="B207" t="str">
            <v>ORIENT CRAFT LTD [PLOT NO 360]</v>
          </cell>
          <cell r="C207">
            <v>62606</v>
          </cell>
          <cell r="D207" t="str">
            <v>ORIENT CRAFT LIMITED</v>
          </cell>
          <cell r="E207" t="str">
            <v>INDIA</v>
          </cell>
          <cell r="I207" t="str">
            <v/>
          </cell>
        </row>
        <row r="208">
          <cell r="B208" t="str">
            <v>ORION CONMERX PVT. LTD (UNIT 1</v>
          </cell>
          <cell r="C208">
            <v>11748</v>
          </cell>
          <cell r="D208" t="str">
            <v xml:space="preserve">ORION CONMERX PVT. LTD </v>
          </cell>
          <cell r="E208" t="str">
            <v>INDIA</v>
          </cell>
          <cell r="I208" t="str">
            <v/>
          </cell>
        </row>
        <row r="209">
          <cell r="B209" t="str">
            <v>P.T. SEMARANG GARMENT</v>
          </cell>
          <cell r="C209">
            <v>14091</v>
          </cell>
          <cell r="D209" t="str">
            <v xml:space="preserve">KUK DONG CORPORATION          </v>
          </cell>
          <cell r="E209" t="str">
            <v>INDONESIA</v>
          </cell>
          <cell r="I209" t="str">
            <v/>
          </cell>
        </row>
        <row r="210">
          <cell r="B210" t="str">
            <v>PANTA GROUP VIETNAM COMPANY LIMITED</v>
          </cell>
          <cell r="C210">
            <v>69264</v>
          </cell>
          <cell r="D210" t="str">
            <v>SUN JADE GROUP</v>
          </cell>
          <cell r="E210" t="str">
            <v>VIETNAM</v>
          </cell>
          <cell r="I210" t="str">
            <v/>
          </cell>
        </row>
        <row r="211">
          <cell r="B211" t="str">
            <v>PARADIGM LEATHER ACCESSORIES  PVT. LTD</v>
          </cell>
          <cell r="C211">
            <v>35784</v>
          </cell>
          <cell r="D211" t="str">
            <v>PARADIGM LEATHER ACCESSORIES  PVT. LTD</v>
          </cell>
          <cell r="E211" t="str">
            <v>INDIA</v>
          </cell>
          <cell r="I211" t="str">
            <v/>
          </cell>
        </row>
        <row r="212">
          <cell r="B212" t="str">
            <v>PARK (BANGLADESH) COMPANY LIMITED</v>
          </cell>
          <cell r="C212">
            <v>53893</v>
          </cell>
          <cell r="D212" t="str">
            <v>PARK CORP LIMITED</v>
          </cell>
          <cell r="E212" t="str">
            <v>BANGLADESH</v>
          </cell>
          <cell r="I212" t="str">
            <v/>
          </cell>
        </row>
        <row r="213">
          <cell r="B213" t="str">
            <v>PC Baja SA de CV</v>
          </cell>
          <cell r="C213">
            <v>19129</v>
          </cell>
          <cell r="D213" t="str">
            <v>Prolink International, Inc.</v>
          </cell>
          <cell r="E213" t="str">
            <v>MEXICO</v>
          </cell>
          <cell r="I213" t="str">
            <v/>
          </cell>
        </row>
        <row r="214">
          <cell r="B214" t="str">
            <v>PEARL GARMENTS CO LIMITED</v>
          </cell>
          <cell r="C214">
            <v>19133</v>
          </cell>
          <cell r="D214" t="str">
            <v>EPIC DESIGNERS LTD</v>
          </cell>
          <cell r="E214" t="str">
            <v>BANGLADESH</v>
          </cell>
          <cell r="I214" t="str">
            <v/>
          </cell>
        </row>
        <row r="215">
          <cell r="B215" t="str">
            <v>Petralex S. De R.L.</v>
          </cell>
          <cell r="C215">
            <v>19160</v>
          </cell>
          <cell r="D215" t="str">
            <v>PETRALEX S. DE R.L.</v>
          </cell>
          <cell r="E215" t="str">
            <v>HONDURAS</v>
          </cell>
          <cell r="I215" t="str">
            <v/>
          </cell>
        </row>
        <row r="216">
          <cell r="B216" t="str">
            <v>PONTUS FOOTWEAR LTD</v>
          </cell>
          <cell r="C216">
            <v>63550</v>
          </cell>
          <cell r="D216" t="str">
            <v>ALLIED JET LIMITED</v>
          </cell>
          <cell r="E216" t="str">
            <v>CAMBODIA</v>
          </cell>
          <cell r="I216" t="str">
            <v/>
          </cell>
        </row>
        <row r="217">
          <cell r="B217" t="str">
            <v xml:space="preserve">POU LI VIETNAM COMPANY LIMITED  </v>
          </cell>
          <cell r="C217">
            <v>54194</v>
          </cell>
          <cell r="D217" t="str">
            <v>SKY HIGH TRADING CO. LIMITED</v>
          </cell>
          <cell r="E217" t="str">
            <v>VIETNAM</v>
          </cell>
          <cell r="I217" t="str">
            <v/>
          </cell>
        </row>
        <row r="218">
          <cell r="B218" t="str">
            <v>POUYUEN VIETNAM CO LIMITED [D3]</v>
          </cell>
          <cell r="C218">
            <v>57498</v>
          </cell>
          <cell r="D218" t="str">
            <v>SKY HIGH TRADING LIMITED</v>
          </cell>
          <cell r="E218" t="str">
            <v>VIETNAM</v>
          </cell>
          <cell r="I218" t="str">
            <v/>
          </cell>
        </row>
        <row r="219">
          <cell r="B219" t="str">
            <v>Premium Shirts S de RL de CV</v>
          </cell>
          <cell r="C219">
            <v>13796</v>
          </cell>
          <cell r="D219" t="str">
            <v>PREMIUM SHIRTS  S DE RL DE CV</v>
          </cell>
          <cell r="E219" t="str">
            <v>MEXICO</v>
          </cell>
          <cell r="I219" t="str">
            <v/>
          </cell>
        </row>
        <row r="220">
          <cell r="B220" t="str">
            <v>PRO KINGTEX VIETNAM CO., LTD</v>
          </cell>
          <cell r="C220">
            <v>27882</v>
          </cell>
          <cell r="D220" t="str">
            <v>FAITH YEAR INVESTMENTS LIMITED</v>
          </cell>
          <cell r="E220" t="str">
            <v>VIETNAM</v>
          </cell>
          <cell r="I220" t="str">
            <v/>
          </cell>
        </row>
        <row r="221">
          <cell r="B221" t="str">
            <v>Productos Textiles SA</v>
          </cell>
          <cell r="C221">
            <v>26383</v>
          </cell>
          <cell r="D221" t="str">
            <v>PRODUCTOS TEXTILES SA</v>
          </cell>
          <cell r="E221" t="str">
            <v>HONDURAS</v>
          </cell>
          <cell r="I221" t="str">
            <v/>
          </cell>
        </row>
        <row r="222">
          <cell r="B222" t="str">
            <v>PROMINENT GARMENT CO LTD</v>
          </cell>
          <cell r="C222">
            <v>75719</v>
          </cell>
          <cell r="D222" t="str">
            <v>CASUAL TIME LTD</v>
          </cell>
          <cell r="E222" t="str">
            <v>VIETNAM</v>
          </cell>
          <cell r="I222" t="str">
            <v/>
          </cell>
        </row>
        <row r="223">
          <cell r="B223" t="str">
            <v>PT BLUE ROSE NARADO</v>
          </cell>
          <cell r="C223">
            <v>56763</v>
          </cell>
          <cell r="D223" t="str">
            <v>PT BLUE ROSE NARADO</v>
          </cell>
          <cell r="E223" t="str">
            <v>INDONESIA</v>
          </cell>
          <cell r="I223" t="str">
            <v/>
          </cell>
        </row>
        <row r="224">
          <cell r="B224" t="str">
            <v>PT CITRA ABADI SEJATI [KACAMATAN CILEUNGSI]</v>
          </cell>
          <cell r="C224">
            <v>19295</v>
          </cell>
          <cell r="D224" t="str">
            <v>PT CITRA ABADI SEJATI</v>
          </cell>
          <cell r="E224" t="str">
            <v>INDONESIA</v>
          </cell>
          <cell r="I224" t="str">
            <v/>
          </cell>
        </row>
        <row r="225">
          <cell r="B225" t="str">
            <v>PT Dream Sentosa Indonesia</v>
          </cell>
          <cell r="C225">
            <v>30898</v>
          </cell>
          <cell r="D225" t="str">
            <v xml:space="preserve">KANAAN CO LTD                </v>
          </cell>
          <cell r="E225" t="str">
            <v>INDONESIA</v>
          </cell>
          <cell r="I225" t="str">
            <v/>
          </cell>
        </row>
        <row r="226">
          <cell r="B226" t="str">
            <v xml:space="preserve">PT ERATEX DJAJA TBK           </v>
          </cell>
          <cell r="C226">
            <v>19304</v>
          </cell>
          <cell r="D226" t="str">
            <v xml:space="preserve">PT ERATEX DJAJA TBK           </v>
          </cell>
          <cell r="E226" t="str">
            <v>INDONESIA</v>
          </cell>
          <cell r="I226" t="str">
            <v/>
          </cell>
        </row>
        <row r="227">
          <cell r="B227" t="str">
            <v>PT KAHOINDAH CITRAGARMENT II</v>
          </cell>
          <cell r="C227">
            <v>15526</v>
          </cell>
          <cell r="D227" t="str">
            <v>HOJEON LIMITED</v>
          </cell>
          <cell r="E227" t="str">
            <v>INDONESIA</v>
          </cell>
          <cell r="I227" t="str">
            <v/>
          </cell>
        </row>
        <row r="228">
          <cell r="B228" t="str">
            <v>PT KAHOINDAH CITRAGARMENT UNT1</v>
          </cell>
          <cell r="C228">
            <v>13363</v>
          </cell>
          <cell r="D228" t="str">
            <v xml:space="preserve">HOJEON LIMITED                </v>
          </cell>
          <cell r="E228" t="str">
            <v>INDONESIA</v>
          </cell>
          <cell r="I228" t="str">
            <v/>
          </cell>
        </row>
        <row r="229">
          <cell r="B229" t="str">
            <v>PT LESTARIBUSANA ANGGUNMAHKOTA</v>
          </cell>
          <cell r="C229">
            <v>19340</v>
          </cell>
          <cell r="D229" t="str">
            <v>PT LESTARIBUSANA ANGGUNMAHKOTA</v>
          </cell>
          <cell r="E229" t="str">
            <v>INDONESIA</v>
          </cell>
          <cell r="I229" t="str">
            <v/>
          </cell>
        </row>
        <row r="230">
          <cell r="B230" t="str">
            <v>PT PANCAPRIMA EKABROTHERS</v>
          </cell>
          <cell r="C230">
            <v>11995</v>
          </cell>
          <cell r="D230" t="str">
            <v>SMART TIME ENTERPRISE LIMITED</v>
          </cell>
          <cell r="E230" t="str">
            <v>INDONESIA</v>
          </cell>
          <cell r="I230" t="str">
            <v/>
          </cell>
        </row>
        <row r="231">
          <cell r="B231" t="str">
            <v>PT PRIMA SEJATI SEJAHTERA</v>
          </cell>
          <cell r="C231">
            <v>36063</v>
          </cell>
          <cell r="D231" t="str">
            <v>SMART TIME ENTERPRISE LIMITED</v>
          </cell>
          <cell r="E231" t="str">
            <v>INDONESIA</v>
          </cell>
          <cell r="I231" t="str">
            <v/>
          </cell>
        </row>
        <row r="232">
          <cell r="B232" t="str">
            <v>PT UNGARAN SARI GARMENTS- UNIT UNGARAN</v>
          </cell>
          <cell r="C232">
            <v>63023</v>
          </cell>
          <cell r="D232" t="str">
            <v xml:space="preserve">PT UNGARAN SARI GARMENTS      </v>
          </cell>
          <cell r="E232" t="str">
            <v>INDONESIA</v>
          </cell>
          <cell r="I232" t="str">
            <v/>
          </cell>
        </row>
        <row r="233">
          <cell r="B233" t="str">
            <v>PT YONGJIN JAVASUKA GARMENT #2</v>
          </cell>
          <cell r="C233">
            <v>35577</v>
          </cell>
          <cell r="D233" t="str">
            <v xml:space="preserve">HOJEON LIMITED                </v>
          </cell>
          <cell r="E233" t="str">
            <v>INDONESIA</v>
          </cell>
          <cell r="I233" t="str">
            <v/>
          </cell>
        </row>
        <row r="234">
          <cell r="B234" t="str">
            <v>PT YONGJIN JAVASUKA GARMENT (FACTORY I)</v>
          </cell>
          <cell r="C234">
            <v>19397</v>
          </cell>
          <cell r="D234" t="str">
            <v>HOJEON LIMITED</v>
          </cell>
          <cell r="E234" t="str">
            <v>INDONESIA</v>
          </cell>
          <cell r="I234" t="str">
            <v/>
          </cell>
        </row>
        <row r="235">
          <cell r="B235" t="str">
            <v>PT. AMEYA LIVINGSTYLE INDONESIA</v>
          </cell>
          <cell r="C235">
            <v>74495</v>
          </cell>
          <cell r="D235" t="str">
            <v>PT AMEYA LIVINGSTYLES INDONESIA</v>
          </cell>
          <cell r="E235" t="str">
            <v>INDONESIA</v>
          </cell>
          <cell r="I235" t="str">
            <v/>
          </cell>
        </row>
        <row r="236">
          <cell r="B236" t="str">
            <v>PT. DRAGON FOREVER</v>
          </cell>
          <cell r="C236">
            <v>62875</v>
          </cell>
          <cell r="D236" t="str">
            <v>Major Worldwide Ltd</v>
          </cell>
          <cell r="E236" t="str">
            <v>INDONESIA</v>
          </cell>
          <cell r="I236" t="str">
            <v/>
          </cell>
        </row>
        <row r="237">
          <cell r="B237" t="str">
            <v>PT. EAGLE NICE INDONESIA</v>
          </cell>
          <cell r="C237">
            <v>52605</v>
          </cell>
          <cell r="D237" t="str">
            <v>MAITEX (EAG) LIMITED</v>
          </cell>
          <cell r="E237" t="str">
            <v>INDONESIA</v>
          </cell>
          <cell r="I237" t="str">
            <v/>
          </cell>
        </row>
        <row r="238">
          <cell r="B238" t="str">
            <v>PT. Komitrando Emporio</v>
          </cell>
          <cell r="C238">
            <v>54222</v>
          </cell>
          <cell r="D238" t="str">
            <v>PUNGKOOK CORPORATION</v>
          </cell>
          <cell r="E238" t="str">
            <v>Indonesia</v>
          </cell>
          <cell r="I238" t="str">
            <v/>
          </cell>
        </row>
        <row r="239">
          <cell r="B239" t="str">
            <v>PT. PUNGKOOK INDONESIA ONE</v>
          </cell>
          <cell r="C239">
            <v>60656</v>
          </cell>
          <cell r="D239" t="str">
            <v>PUNGKOOK CORPORATION</v>
          </cell>
          <cell r="E239" t="str">
            <v>INDONESIA</v>
          </cell>
          <cell r="I239" t="str">
            <v/>
          </cell>
        </row>
        <row r="240">
          <cell r="B240" t="str">
            <v>PULIDO APPAREL CO INC</v>
          </cell>
          <cell r="C240">
            <v>19399</v>
          </cell>
          <cell r="D240" t="str">
            <v>FOWNES BROTHERS &amp; CO INCORPO</v>
          </cell>
          <cell r="E240" t="str">
            <v>PHILIPPINES</v>
          </cell>
          <cell r="I240" t="str">
            <v/>
          </cell>
        </row>
        <row r="241">
          <cell r="B241" t="str">
            <v>PUNGKOOK BEN TRE ONE MEMBER CO., LTD - LONG AN BRANCH</v>
          </cell>
          <cell r="C241">
            <v>67325</v>
          </cell>
          <cell r="D241" t="str">
            <v>PUNGKOOK CORPORATION</v>
          </cell>
          <cell r="E241" t="str">
            <v>VIETNAM</v>
          </cell>
          <cell r="I241" t="str">
            <v/>
          </cell>
        </row>
        <row r="242">
          <cell r="B242" t="str">
            <v>PUNGKOOK BENTRE CORPORATION</v>
          </cell>
          <cell r="C242">
            <v>69141</v>
          </cell>
          <cell r="D242" t="str">
            <v>PUNGKOOK CORPORATION</v>
          </cell>
          <cell r="E242" t="str">
            <v>VIETNAM</v>
          </cell>
          <cell r="I242" t="str">
            <v/>
          </cell>
        </row>
        <row r="243">
          <cell r="B243" t="str">
            <v>PUNGKOOK SAIGON II CORPORATION</v>
          </cell>
          <cell r="C243">
            <v>19408</v>
          </cell>
          <cell r="D243" t="str">
            <v>PUNGKOOK CORPORATION</v>
          </cell>
          <cell r="E243" t="str">
            <v>VIETNAM</v>
          </cell>
          <cell r="I243" t="str">
            <v/>
          </cell>
        </row>
        <row r="244">
          <cell r="B244" t="str">
            <v>QINGDAO CHERRY ELEGANCE GARMEN</v>
          </cell>
          <cell r="C244">
            <v>19755</v>
          </cell>
          <cell r="D244" t="str">
            <v>CHERRY GROUP CO., LTD.</v>
          </cell>
          <cell r="E244" t="str">
            <v>CHINA (NORTH)</v>
          </cell>
          <cell r="I244" t="str">
            <v/>
          </cell>
        </row>
        <row r="245">
          <cell r="B245" t="str">
            <v>QINGDAO YOUNGONE SPORTSWEAR CO</v>
          </cell>
          <cell r="C245">
            <v>19457</v>
          </cell>
          <cell r="D245" t="str">
            <v>YOUNGONE CORPORATION</v>
          </cell>
          <cell r="E245" t="str">
            <v>CHINA (NORTH)</v>
          </cell>
          <cell r="I245" t="str">
            <v/>
          </cell>
        </row>
        <row r="246">
          <cell r="B246" t="str">
            <v>QMI INDUSTRIAL VIETNAM CO LTD</v>
          </cell>
          <cell r="C246">
            <v>44639</v>
          </cell>
          <cell r="D246" t="str">
            <v>QMI INDUSTRIAL CO LTD</v>
          </cell>
          <cell r="E246" t="str">
            <v>VIETNAM</v>
          </cell>
          <cell r="I246" t="str">
            <v/>
          </cell>
        </row>
        <row r="247">
          <cell r="B247" t="str">
            <v>QUANG VIET (TIEN GIANG) CO., L</v>
          </cell>
          <cell r="C247">
            <v>54337</v>
          </cell>
          <cell r="D247" t="str">
            <v>QUANG VIET ENTERPRISE CO, LIMITED</v>
          </cell>
          <cell r="E247" t="str">
            <v>VIETNAM</v>
          </cell>
          <cell r="I247" t="str">
            <v/>
          </cell>
        </row>
        <row r="248">
          <cell r="B248" t="str">
            <v>QUANZHOU HAI TIAN MATERIAL TEC</v>
          </cell>
          <cell r="C248">
            <v>53095</v>
          </cell>
          <cell r="D248" t="str">
            <v>EAST BAY TEXTILES LIMITED</v>
          </cell>
          <cell r="E248" t="str">
            <v>CHINA (SOUTH)</v>
          </cell>
          <cell r="I248" t="str">
            <v/>
          </cell>
        </row>
        <row r="249">
          <cell r="B249" t="str">
            <v>QUINT MAJOR INDUSTRIAL CO., LTD.</v>
          </cell>
          <cell r="C249">
            <v>50017</v>
          </cell>
          <cell r="D249" t="str">
            <v>QMI INDUSTRIAL CO LTD</v>
          </cell>
          <cell r="E249" t="str">
            <v>CAMBODIA</v>
          </cell>
          <cell r="I249" t="str">
            <v/>
          </cell>
        </row>
        <row r="250">
          <cell r="B250" t="str">
            <v>RABAB FASHION IND LTD</v>
          </cell>
          <cell r="C250">
            <v>64307</v>
          </cell>
          <cell r="D250" t="str">
            <v>RABAB FASHION IND LTD</v>
          </cell>
          <cell r="E250" t="str">
            <v>BANGLADESH</v>
          </cell>
          <cell r="I250" t="str">
            <v/>
          </cell>
        </row>
        <row r="251">
          <cell r="B251" t="str">
            <v>RADISSON APPARELS LTD</v>
          </cell>
          <cell r="C251">
            <v>45867</v>
          </cell>
          <cell r="D251" t="str">
            <v>GALAXY CREATIONS LIMITED</v>
          </cell>
          <cell r="E251" t="str">
            <v>BANGLADESH</v>
          </cell>
          <cell r="I251" t="str">
            <v/>
          </cell>
        </row>
        <row r="252">
          <cell r="B252" t="str">
            <v>REDPOINT JACKETS LTD</v>
          </cell>
          <cell r="C252">
            <v>61577</v>
          </cell>
          <cell r="D252" t="str">
            <v>BIANCA FASHION LIMITED</v>
          </cell>
          <cell r="E252" t="str">
            <v>BANGLADESH</v>
          </cell>
          <cell r="I252" t="str">
            <v/>
          </cell>
        </row>
        <row r="253">
          <cell r="B253" t="str">
            <v>RELIABLE SOURCE INDUSTRIAL (CA</v>
          </cell>
          <cell r="C253">
            <v>28225</v>
          </cell>
          <cell r="D253" t="str">
            <v>Major Worldwide Ltd</v>
          </cell>
          <cell r="E253" t="str">
            <v>CAMBODIA</v>
          </cell>
          <cell r="I253" t="str">
            <v/>
          </cell>
        </row>
        <row r="254">
          <cell r="B254" t="str">
            <v>RMX JOSS FASHIONS PVT LTD</v>
          </cell>
          <cell r="C254">
            <v>19562</v>
          </cell>
          <cell r="D254" t="str">
            <v xml:space="preserve">RMX JOSS FASHIONS PVT LTD     </v>
          </cell>
          <cell r="E254" t="str">
            <v>INDIA</v>
          </cell>
          <cell r="I254" t="str">
            <v/>
          </cell>
        </row>
        <row r="255">
          <cell r="B255" t="str">
            <v>ROLLSPORT VIETNAM FOOTWEAR COM</v>
          </cell>
          <cell r="C255">
            <v>62020</v>
          </cell>
          <cell r="D255" t="str">
            <v>SUN JADE GROUP</v>
          </cell>
          <cell r="E255" t="str">
            <v>VIETNAM</v>
          </cell>
          <cell r="I255" t="str">
            <v/>
          </cell>
        </row>
        <row r="256">
          <cell r="B256" t="str">
            <v>ROLLSPORT VIETNAM FOOTWEAR COMPANY LIMITED [ROLLSPORT NO. 2]</v>
          </cell>
          <cell r="C256">
            <v>69792</v>
          </cell>
          <cell r="D256" t="str">
            <v>CASTLE SKY LIMITED</v>
          </cell>
          <cell r="E256" t="str">
            <v>VIETNAM</v>
          </cell>
          <cell r="I256" t="str">
            <v/>
          </cell>
        </row>
        <row r="257">
          <cell r="B257" t="str">
            <v>RONGHUA GARMENT (SHENZHEN) CO LTD</v>
          </cell>
          <cell r="C257">
            <v>47775</v>
          </cell>
          <cell r="D257" t="str">
            <v>DO DO FASHION LIMITED</v>
          </cell>
          <cell r="E257" t="str">
            <v>CHINA (SOUTH)</v>
          </cell>
          <cell r="I257" t="str">
            <v/>
          </cell>
        </row>
        <row r="258">
          <cell r="B258" t="str">
            <v>SABRINA (CAMBODIA) GARMENT MAN</v>
          </cell>
          <cell r="C258">
            <v>30954</v>
          </cell>
          <cell r="D258" t="str">
            <v>SABRINA FASHION INDUSTRIAL CORP</v>
          </cell>
          <cell r="E258" t="str">
            <v>CAMBODIA</v>
          </cell>
          <cell r="I258" t="str">
            <v/>
          </cell>
        </row>
        <row r="259">
          <cell r="B259" t="str">
            <v>SAIGON 3 GARMENT JOINT STOCK</v>
          </cell>
          <cell r="C259">
            <v>17076</v>
          </cell>
          <cell r="D259" t="str">
            <v>LUCRETIA APPAREL INDUSTRIES LIMITED</v>
          </cell>
          <cell r="E259" t="str">
            <v>VIETNAM</v>
          </cell>
          <cell r="I259" t="str">
            <v/>
          </cell>
        </row>
        <row r="260">
          <cell r="B260" t="str">
            <v>SAIGON KNITWEAR LIMITED</v>
          </cell>
          <cell r="C260">
            <v>25138</v>
          </cell>
          <cell r="D260" t="str">
            <v>SOUTH OCEAN GROUP</v>
          </cell>
          <cell r="E260" t="str">
            <v>VIETNAM</v>
          </cell>
          <cell r="I260" t="str">
            <v/>
          </cell>
        </row>
        <row r="261">
          <cell r="B261" t="str">
            <v>SEES VINA CO LTD</v>
          </cell>
          <cell r="C261">
            <v>42576</v>
          </cell>
          <cell r="D261" t="str">
            <v>SEES GLOBAL INC</v>
          </cell>
          <cell r="E261" t="str">
            <v>VIETNAM</v>
          </cell>
          <cell r="I261" t="str">
            <v/>
          </cell>
        </row>
        <row r="262">
          <cell r="B262" t="str">
            <v>SHAHI EXPORTS HOUSE (UNIT 12)</v>
          </cell>
          <cell r="C262">
            <v>19744</v>
          </cell>
          <cell r="D262" t="str">
            <v>SHAHI EXPORTS PVT LTD [FARIDAB</v>
          </cell>
          <cell r="E262" t="str">
            <v>INDIA</v>
          </cell>
          <cell r="I262" t="str">
            <v/>
          </cell>
        </row>
        <row r="263">
          <cell r="B263" t="str">
            <v>Shahi Exports PVT Ltd ( Unit 35)</v>
          </cell>
          <cell r="C263">
            <v>59371</v>
          </cell>
          <cell r="D263" t="str">
            <v>SHAHI EXPORTS PVT LTD [FARIDAB</v>
          </cell>
          <cell r="E263" t="str">
            <v>INDIA</v>
          </cell>
          <cell r="I263" t="str">
            <v/>
          </cell>
        </row>
        <row r="264">
          <cell r="B264" t="str">
            <v>SHAHI EXPORTS PVT LTD (UNIT 39)</v>
          </cell>
          <cell r="C264">
            <v>72722</v>
          </cell>
          <cell r="D264" t="str">
            <v>SHAHI EXPORTS PVT LTD [FARIDAB</v>
          </cell>
          <cell r="E264" t="str">
            <v>INDIA</v>
          </cell>
          <cell r="I264" t="str">
            <v/>
          </cell>
        </row>
        <row r="265">
          <cell r="B265" t="str">
            <v>SHAHI EXPORTS PVT LTD (UNIT 7 &amp; 7A)</v>
          </cell>
          <cell r="C265">
            <v>19742</v>
          </cell>
          <cell r="D265" t="str">
            <v>SHAHI EXPORTS PVT LTD [FARIDAB</v>
          </cell>
          <cell r="E265" t="str">
            <v>INDIA</v>
          </cell>
          <cell r="I265" t="str">
            <v/>
          </cell>
        </row>
        <row r="266">
          <cell r="B266" t="str">
            <v>SHAHI EXPORTS PVT LTD(UNIT 31)</v>
          </cell>
          <cell r="C266">
            <v>58122</v>
          </cell>
          <cell r="D266" t="str">
            <v xml:space="preserve">SHAHI EXPORTS PVT LTD </v>
          </cell>
          <cell r="E266" t="str">
            <v>INDIA</v>
          </cell>
          <cell r="I266" t="str">
            <v/>
          </cell>
        </row>
        <row r="267">
          <cell r="B267" t="str">
            <v>SHANGHAI DAJINHONG GARMENT CO.</v>
          </cell>
          <cell r="C267">
            <v>15107</v>
          </cell>
          <cell r="D267" t="str">
            <v xml:space="preserve">GOLD FLOCK LIMITED            </v>
          </cell>
          <cell r="E267" t="str">
            <v>CHINA (NORTH)</v>
          </cell>
          <cell r="I267" t="str">
            <v/>
          </cell>
        </row>
        <row r="268">
          <cell r="B268" t="str">
            <v>SHANGHAI HUAHUI SILK PRODUCTS CO.,LTD</v>
          </cell>
          <cell r="C268">
            <v>19797</v>
          </cell>
          <cell r="D268" t="str">
            <v>Shanghai Huahui Silk Products CO.,Ltd</v>
          </cell>
          <cell r="E268" t="str">
            <v>CHINA (NORTH)</v>
          </cell>
          <cell r="I268" t="str">
            <v/>
          </cell>
        </row>
        <row r="269">
          <cell r="B269" t="str">
            <v>ShanTou XinShun Garment Co. Ltd</v>
          </cell>
          <cell r="C269">
            <v>73928</v>
          </cell>
          <cell r="D269" t="str">
            <v>SKY INFINITY LIMITED</v>
          </cell>
          <cell r="E269" t="str">
            <v>CHINA (SOUTH)</v>
          </cell>
          <cell r="I269" t="str">
            <v/>
          </cell>
        </row>
        <row r="270">
          <cell r="B270" t="str">
            <v xml:space="preserve">SHENZHEN LONGGANG TONGLE KAIQI MANUFACTURING FACTORY </v>
          </cell>
          <cell r="C270">
            <v>18134</v>
          </cell>
          <cell r="D270" t="str">
            <v>SHEEN WIDE TRADING LTD</v>
          </cell>
          <cell r="E270" t="str">
            <v>CHINA (SOUTH)</v>
          </cell>
          <cell r="I270" t="str">
            <v/>
          </cell>
        </row>
        <row r="271">
          <cell r="B271" t="str">
            <v>SHINTS BVT CO., LTD</v>
          </cell>
          <cell r="C271">
            <v>43597</v>
          </cell>
          <cell r="D271" t="str">
            <v>SHIN TEXTILE SOLUTIONS CO. LTD</v>
          </cell>
          <cell r="E271" t="str">
            <v>VIETNAM</v>
          </cell>
          <cell r="I271" t="str">
            <v/>
          </cell>
        </row>
        <row r="272">
          <cell r="B272" t="str">
            <v>SHOE PREMIER II (CAMBODIA) CO., LTD.</v>
          </cell>
          <cell r="C272">
            <v>62324</v>
          </cell>
          <cell r="D272" t="str">
            <v>SHOE PREMIER INTERNATIONAL LIMITED</v>
          </cell>
          <cell r="E272" t="str">
            <v>CAMBODIA</v>
          </cell>
          <cell r="I272" t="str">
            <v/>
          </cell>
        </row>
        <row r="273">
          <cell r="B273" t="str">
            <v xml:space="preserve">SHUYANG HENGXING GARMENT CO., </v>
          </cell>
          <cell r="C273">
            <v>16985</v>
          </cell>
          <cell r="D273" t="str">
            <v xml:space="preserve">LUCKY STAR INDUSTRY LIMITED   </v>
          </cell>
          <cell r="E273" t="str">
            <v>CHINA (NORTH)</v>
          </cell>
          <cell r="I273" t="str">
            <v/>
          </cell>
        </row>
        <row r="274">
          <cell r="B274" t="str">
            <v>SIGLO LEATHERWARE MANUFACTURING INC.</v>
          </cell>
          <cell r="C274">
            <v>71205</v>
          </cell>
          <cell r="D274" t="str">
            <v>SUPERL HOLDINGS LIMITED</v>
          </cell>
          <cell r="E274" t="str">
            <v>PHILIPPINES</v>
          </cell>
          <cell r="I274" t="str">
            <v/>
          </cell>
        </row>
        <row r="275">
          <cell r="B275" t="str">
            <v>SINHA DENIM WEAR LTD</v>
          </cell>
          <cell r="C275">
            <v>25559</v>
          </cell>
          <cell r="D275" t="str">
            <v xml:space="preserve">OPEX INDUSTRIES LTD           </v>
          </cell>
          <cell r="E275" t="str">
            <v>BANGLADESH</v>
          </cell>
          <cell r="I275" t="str">
            <v/>
          </cell>
        </row>
        <row r="276">
          <cell r="B276" t="str">
            <v xml:space="preserve">SMART JACKET (BD) LTD               </v>
          </cell>
          <cell r="C276">
            <v>58779</v>
          </cell>
          <cell r="D276" t="str">
            <v>R.B. INDUSTRIES LTD</v>
          </cell>
          <cell r="E276" t="str">
            <v>BANGLADESH</v>
          </cell>
          <cell r="I276" t="str">
            <v/>
          </cell>
        </row>
        <row r="277">
          <cell r="B277" t="str">
            <v>SNOWTEX OUTERWEAR LTD</v>
          </cell>
          <cell r="C277">
            <v>71474</v>
          </cell>
          <cell r="D277" t="str">
            <v>SNOWTEX APPARELS LTD</v>
          </cell>
          <cell r="E277" t="str">
            <v>BANGLADESH</v>
          </cell>
          <cell r="I277" t="str">
            <v/>
          </cell>
        </row>
        <row r="278">
          <cell r="B278" t="str">
            <v>SPLENDOR INDUSTRY CO., LTD</v>
          </cell>
          <cell r="C278">
            <v>50598</v>
          </cell>
          <cell r="D278" t="str">
            <v>SINTEX INTERNATIONAL LTD</v>
          </cell>
          <cell r="E278" t="str">
            <v>CAMBODIA</v>
          </cell>
          <cell r="I278" t="str">
            <v/>
          </cell>
        </row>
        <row r="279">
          <cell r="B279" t="str">
            <v>SPRINTA (VIETNAM) CO., LTD</v>
          </cell>
          <cell r="C279">
            <v>15334</v>
          </cell>
          <cell r="D279" t="str">
            <v>SINTEX INTERNATIONAL LTD</v>
          </cell>
          <cell r="E279" t="str">
            <v>VIETNAM</v>
          </cell>
          <cell r="I279" t="str">
            <v/>
          </cell>
        </row>
        <row r="280">
          <cell r="B280" t="str">
            <v>SQUARE FASHIONS LTD</v>
          </cell>
          <cell r="C280">
            <v>56496</v>
          </cell>
          <cell r="D280" t="str">
            <v>SQUARE FASHIONS LTD</v>
          </cell>
          <cell r="E280" t="str">
            <v>BANGLADESH</v>
          </cell>
          <cell r="I280" t="str">
            <v/>
          </cell>
        </row>
        <row r="281">
          <cell r="B281" t="str">
            <v>STAR FASHION COMPANY LIMITED</v>
          </cell>
          <cell r="C281">
            <v>46627</v>
          </cell>
          <cell r="D281" t="str">
            <v>SL GLOBAL PTE LTD</v>
          </cell>
          <cell r="E281" t="str">
            <v>VIETNAM</v>
          </cell>
          <cell r="I281" t="str">
            <v/>
          </cell>
        </row>
        <row r="282">
          <cell r="B282" t="str">
            <v>Star SA (Anvil)</v>
          </cell>
          <cell r="C282">
            <v>20156</v>
          </cell>
          <cell r="D282" t="str">
            <v>GILDAN</v>
          </cell>
          <cell r="E282" t="str">
            <v>HONDURAS</v>
          </cell>
          <cell r="I282" t="str">
            <v/>
          </cell>
        </row>
        <row r="283">
          <cell r="B283" t="str">
            <v>STARITE INTERNATIONAL VIETNAM</v>
          </cell>
          <cell r="C283">
            <v>35656</v>
          </cell>
          <cell r="D283" t="str">
            <v>STARITE INTERNATIONAL LTD</v>
          </cell>
          <cell r="E283" t="str">
            <v>VIETNAM</v>
          </cell>
          <cell r="I283" t="str">
            <v/>
          </cell>
        </row>
        <row r="284">
          <cell r="B284" t="str">
            <v>STARLIGHT APPAREL MANUFACTURIN</v>
          </cell>
          <cell r="C284">
            <v>59328</v>
          </cell>
          <cell r="D284" t="str">
            <v>SL GLOBAL PTE LTD</v>
          </cell>
          <cell r="E284" t="str">
            <v>CAMBODIA</v>
          </cell>
          <cell r="I284" t="str">
            <v/>
          </cell>
        </row>
        <row r="285">
          <cell r="B285" t="str">
            <v>STELLA (SIMONA- GUANGXI)</v>
          </cell>
          <cell r="C285">
            <v>45551</v>
          </cell>
          <cell r="D285" t="str">
            <v>STELLA GROUP</v>
          </cell>
          <cell r="E285" t="str">
            <v>CHINA (SOUTH)</v>
          </cell>
          <cell r="I285" t="str">
            <v/>
          </cell>
        </row>
        <row r="286">
          <cell r="B286" t="str">
            <v>SUMAN SHAKTI EPZ LIMITED</v>
          </cell>
          <cell r="C286">
            <v>72839</v>
          </cell>
          <cell r="D286" t="str">
            <v>SUMAN SHAKTI EPZ LIMITED</v>
          </cell>
          <cell r="E286" t="str">
            <v>KENYA</v>
          </cell>
          <cell r="I286" t="str">
            <v/>
          </cell>
        </row>
        <row r="287">
          <cell r="B287" t="str">
            <v>SUN JADE INTERNATIONAL FOOTWEAR LIMITED</v>
          </cell>
          <cell r="C287">
            <v>64413</v>
          </cell>
          <cell r="D287" t="str">
            <v>COSMIC TRADE LIMITED</v>
          </cell>
          <cell r="E287" t="str">
            <v>DOMINICAN REPUBLIC</v>
          </cell>
          <cell r="I287" t="str">
            <v/>
          </cell>
        </row>
        <row r="288">
          <cell r="B288" t="str">
            <v>SUN JADE VIETNAM FOOTWEAR LIMITED</v>
          </cell>
          <cell r="C288">
            <v>34029</v>
          </cell>
          <cell r="D288" t="str">
            <v>HAPPY SKY CORPORATION LIMITED</v>
          </cell>
          <cell r="E288" t="str">
            <v>VIETNAM</v>
          </cell>
          <cell r="I288" t="str">
            <v/>
          </cell>
        </row>
        <row r="289">
          <cell r="B289" t="str">
            <v>SUNRISE FASHIONS - II</v>
          </cell>
          <cell r="C289">
            <v>73845</v>
          </cell>
          <cell r="D289" t="str">
            <v>BHARTIYA INTERNATIONAL LTD</v>
          </cell>
          <cell r="E289" t="str">
            <v>INDIA</v>
          </cell>
          <cell r="I289" t="str">
            <v/>
          </cell>
        </row>
        <row r="290">
          <cell r="B290" t="str">
            <v>SUPREME SMART WEAR LTD</v>
          </cell>
          <cell r="C290">
            <v>64254</v>
          </cell>
          <cell r="D290" t="str">
            <v>OPEX INDUSTRIES LTD</v>
          </cell>
          <cell r="E290" t="str">
            <v>BANGLADESH</v>
          </cell>
          <cell r="I290" t="str">
            <v/>
          </cell>
        </row>
        <row r="291">
          <cell r="B291" t="str">
            <v>T AND T GARMENT WASH CO. LTD</v>
          </cell>
          <cell r="C291">
            <v>75782</v>
          </cell>
          <cell r="D291" t="str">
            <v>SAAB CO. LTD.</v>
          </cell>
          <cell r="E291" t="str">
            <v>VIETNAM</v>
          </cell>
          <cell r="I291" t="str">
            <v/>
          </cell>
        </row>
        <row r="292">
          <cell r="B292" t="str">
            <v>TAI VIET CAMPING PRODUCTS INDU</v>
          </cell>
          <cell r="C292">
            <v>33311</v>
          </cell>
          <cell r="D292" t="str">
            <v>TAI CHUNG CANVAS CO LTD</v>
          </cell>
          <cell r="E292" t="str">
            <v>VIETNAM</v>
          </cell>
          <cell r="I292" t="str">
            <v/>
          </cell>
        </row>
        <row r="293">
          <cell r="B293" t="str">
            <v>TAIAN JINHUI APPARELS CO LTD</v>
          </cell>
          <cell r="C293">
            <v>48032</v>
          </cell>
          <cell r="D293" t="str">
            <v xml:space="preserve">TAIAN JINHUI APPARELS CO LTD  </v>
          </cell>
          <cell r="E293" t="str">
            <v>CHINA (NORTH)</v>
          </cell>
          <cell r="I293" t="str">
            <v/>
          </cell>
        </row>
        <row r="294">
          <cell r="B294" t="str">
            <v xml:space="preserve">TANZANIA TOOKU GARMENTS CO    </v>
          </cell>
          <cell r="C294">
            <v>64000</v>
          </cell>
          <cell r="D294" t="str">
            <v>J.D. UNITED TRADING CORPORATION LTD</v>
          </cell>
          <cell r="E294" t="str">
            <v>TANZANIA</v>
          </cell>
          <cell r="I294" t="str">
            <v/>
          </cell>
        </row>
        <row r="295">
          <cell r="B295" t="str">
            <v>TARASIMA APPARELS LIMITED</v>
          </cell>
          <cell r="C295">
            <v>71840</v>
          </cell>
          <cell r="D295" t="str">
            <v>MISAMI GARMENTS LIMITED</v>
          </cell>
          <cell r="E295" t="str">
            <v>BANGLADESH</v>
          </cell>
          <cell r="I295" t="str">
            <v/>
          </cell>
        </row>
        <row r="296">
          <cell r="B296" t="str">
            <v>TECHNO TEX</v>
          </cell>
          <cell r="C296">
            <v>24889</v>
          </cell>
          <cell r="D296" t="str">
            <v>NILE CLOTHING COMPANY</v>
          </cell>
          <cell r="E296" t="str">
            <v>EGYPT</v>
          </cell>
          <cell r="I296" t="str">
            <v/>
          </cell>
        </row>
        <row r="297">
          <cell r="B297" t="str">
            <v>TEXCOM GARMENTS (XIAMEN) CO LT</v>
          </cell>
          <cell r="C297">
            <v>20378</v>
          </cell>
          <cell r="D297" t="str">
            <v>TEXCOM GARMENT LTD</v>
          </cell>
          <cell r="E297" t="str">
            <v>CHINA (SOUTH)</v>
          </cell>
          <cell r="I297" t="str">
            <v/>
          </cell>
        </row>
        <row r="298">
          <cell r="B298" t="str">
            <v>Texport Apparel LLP</v>
          </cell>
          <cell r="C298">
            <v>74468</v>
          </cell>
          <cell r="D298" t="str">
            <v>JBC International LLP</v>
          </cell>
          <cell r="E298" t="str">
            <v>INDIA</v>
          </cell>
          <cell r="I298" t="str">
            <v/>
          </cell>
        </row>
        <row r="299">
          <cell r="B299" t="str">
            <v>TEXPORT INDUSTRIES PRIVATE LIMITED [UNIT-16]</v>
          </cell>
          <cell r="C299">
            <v>59056</v>
          </cell>
          <cell r="D299" t="str">
            <v>JBC International LLP</v>
          </cell>
          <cell r="E299" t="str">
            <v>INDIA</v>
          </cell>
          <cell r="I299" t="str">
            <v/>
          </cell>
        </row>
        <row r="300">
          <cell r="B300" t="str">
            <v>TEXPORT INDUSTRIES PVT LTD UNIT-7</v>
          </cell>
          <cell r="C300">
            <v>26190</v>
          </cell>
          <cell r="D300" t="str">
            <v>TEXPORT INDUSTRIES PVT LTD</v>
          </cell>
          <cell r="E300" t="str">
            <v>INDIA</v>
          </cell>
          <cell r="I300" t="str">
            <v/>
          </cell>
        </row>
        <row r="301">
          <cell r="B301" t="str">
            <v>TEXPORT INDUSTRIES PVT. LTD (UNIT 4)</v>
          </cell>
          <cell r="C301">
            <v>25127</v>
          </cell>
          <cell r="D301" t="str">
            <v>JBC INTERNATIONAL LLP</v>
          </cell>
          <cell r="E301" t="str">
            <v>INDIA</v>
          </cell>
          <cell r="I301" t="str">
            <v/>
          </cell>
        </row>
        <row r="302">
          <cell r="B302" t="str">
            <v>Texsun (aka J&amp;T Trading/Zuntex)</v>
          </cell>
          <cell r="C302">
            <v>14631</v>
          </cell>
          <cell r="D302" t="str">
            <v xml:space="preserve">Zuntex Apparel LTD </v>
          </cell>
          <cell r="E302" t="str">
            <v>GUATEMALA</v>
          </cell>
        </row>
        <row r="303">
          <cell r="B303" t="str">
            <v>Textile Unlimited, SA</v>
          </cell>
          <cell r="C303">
            <v>20406</v>
          </cell>
          <cell r="D303" t="str">
            <v>TEXTILE UNLIMITED CORP</v>
          </cell>
          <cell r="E303" t="str">
            <v>NICARAGUA</v>
          </cell>
        </row>
        <row r="304">
          <cell r="B304" t="str">
            <v>Textiles La Paz (Fun Tees) (aka Delta)</v>
          </cell>
          <cell r="C304">
            <v>20415</v>
          </cell>
          <cell r="D304" t="str">
            <v>DELTA APARREL</v>
          </cell>
          <cell r="E304" t="str">
            <v>EL SALVADOR</v>
          </cell>
        </row>
        <row r="305">
          <cell r="B305" t="str">
            <v xml:space="preserve">THAT S IT SPORTS WEAR LTD     </v>
          </cell>
          <cell r="C305">
            <v>20443</v>
          </cell>
          <cell r="D305" t="str">
            <v>REFAT GARMENTS LTD</v>
          </cell>
          <cell r="E305" t="str">
            <v>BANGLADESH</v>
          </cell>
        </row>
        <row r="306">
          <cell r="B306" t="str">
            <v>TITAS SPORTSWEAR IND. LTD</v>
          </cell>
          <cell r="C306">
            <v>20500</v>
          </cell>
          <cell r="D306" t="str">
            <v>YOUNGONE CORPORATION</v>
          </cell>
          <cell r="E306" t="str">
            <v>BANGLADESH</v>
          </cell>
        </row>
        <row r="307">
          <cell r="B307" t="str">
            <v>TOPTEX GARMENT CO LTD</v>
          </cell>
          <cell r="C307">
            <v>19581</v>
          </cell>
          <cell r="D307" t="str">
            <v>KWONG LUNG ENTERPRISE CO., LTD</v>
          </cell>
          <cell r="E307" t="str">
            <v>VIETNAM</v>
          </cell>
        </row>
        <row r="308">
          <cell r="B308" t="str">
            <v>TRAX INTERTRADE CO., LTD. [ROI ET]</v>
          </cell>
          <cell r="C308">
            <v>13438</v>
          </cell>
          <cell r="D308" t="str">
            <v>Wellcorp Holdings Trading Ltd</v>
          </cell>
          <cell r="E308" t="str">
            <v>Thailand</v>
          </cell>
        </row>
        <row r="309">
          <cell r="B309" t="str">
            <v>UNITED ARYAN EPZ LTD</v>
          </cell>
          <cell r="C309">
            <v>20627</v>
          </cell>
          <cell r="D309" t="str">
            <v>SUMAN SHAKTI EPZ LIMITED</v>
          </cell>
          <cell r="E309" t="str">
            <v>KENYA</v>
          </cell>
        </row>
        <row r="310">
          <cell r="B310" t="str">
            <v xml:space="preserve">VELOCITY APPARELZ CO FOR READ </v>
          </cell>
          <cell r="C310">
            <v>30201</v>
          </cell>
          <cell r="D310" t="str">
            <v>VELOCITY APPARELZ CO FOR READ</v>
          </cell>
          <cell r="E310" t="str">
            <v>EGYPT</v>
          </cell>
        </row>
        <row r="311">
          <cell r="B311" t="str">
            <v xml:space="preserve">VIETNAM CHAO TENG ENTERPRISE CO., LTD. </v>
          </cell>
          <cell r="C311">
            <v>71704</v>
          </cell>
          <cell r="D311" t="str">
            <v>SUNNY STATE ENTERPRISES LTD</v>
          </cell>
          <cell r="E311" t="str">
            <v>VIETNAM</v>
          </cell>
        </row>
        <row r="312">
          <cell r="B312" t="str">
            <v>VIETTHANH GARMENT AND TRADING</v>
          </cell>
          <cell r="C312">
            <v>45415</v>
          </cell>
          <cell r="D312" t="str">
            <v>HOJEON LIMITED</v>
          </cell>
          <cell r="E312" t="str">
            <v>Vietnam</v>
          </cell>
        </row>
        <row r="313">
          <cell r="B313" t="str">
            <v>V-Win Apparel Co Ltd.</v>
          </cell>
          <cell r="C313">
            <v>53870</v>
          </cell>
          <cell r="D313" t="str">
            <v>OWENS SPORTSWEAR COMPANY LIMITED</v>
          </cell>
          <cell r="E313" t="str">
            <v>CHINA (SOUTH)</v>
          </cell>
        </row>
        <row r="314">
          <cell r="B314" t="str">
            <v>WEI LEE KNITTING MFG. CO LTD</v>
          </cell>
          <cell r="C314">
            <v>8926</v>
          </cell>
          <cell r="D314" t="str">
            <v>WEI LEE KNITTING MFG CO LTD</v>
          </cell>
          <cell r="E314" t="str">
            <v>TAIWAN</v>
          </cell>
        </row>
        <row r="315">
          <cell r="B315" t="str">
            <v>WEIFANG LANTIAN APPAREL CO LTD</v>
          </cell>
          <cell r="C315">
            <v>52466</v>
          </cell>
          <cell r="D315" t="str">
            <v>WEIFANG LANTIAN APPAREL CO LTD</v>
          </cell>
          <cell r="E315" t="str">
            <v>CHINA (NORTH)</v>
          </cell>
        </row>
        <row r="316">
          <cell r="B316" t="str">
            <v>WENZHOU OUHAI LONGFENG GLASSES FACTORY</v>
          </cell>
          <cell r="C316">
            <v>35981</v>
          </cell>
          <cell r="D316" t="str">
            <v xml:space="preserve">Union Fashion Co., Limited </v>
          </cell>
          <cell r="E316" t="str">
            <v>CHINA (NORTH)</v>
          </cell>
        </row>
        <row r="317">
          <cell r="B317" t="str">
            <v xml:space="preserve">WINNING DRAGON LEATHERWARE (CAMBODIA) CO LTD </v>
          </cell>
          <cell r="C317">
            <v>62615</v>
          </cell>
          <cell r="D317" t="str">
            <v xml:space="preserve">WINNING DRAGON LEATHERWARE (CAMBODIA) CO LTD </v>
          </cell>
          <cell r="E317" t="str">
            <v>CAMBODIA</v>
          </cell>
        </row>
        <row r="318">
          <cell r="B318" t="str">
            <v>WUXI JINMAO GARMENT FACTORY</v>
          </cell>
          <cell r="C318">
            <v>49733</v>
          </cell>
          <cell r="D318" t="str">
            <v>JINTEX INTERNATIONAL HOLDING LIMITED</v>
          </cell>
          <cell r="E318" t="str">
            <v>CHINA (NORTH)</v>
          </cell>
        </row>
        <row r="319">
          <cell r="B319" t="str">
            <v>XIANGLONG LEATHER GARMENT (SHENZHEN) LIMITED</v>
          </cell>
          <cell r="C319">
            <v>40498</v>
          </cell>
          <cell r="D319" t="str">
            <v xml:space="preserve">XIANGLONG INTERNATIONAL LIMIT </v>
          </cell>
          <cell r="E319" t="str">
            <v>CHINA (NORTH)</v>
          </cell>
        </row>
        <row r="320">
          <cell r="B320" t="str">
            <v>XIN CHANG SHOES (BD) LIMITED</v>
          </cell>
          <cell r="C320">
            <v>50656</v>
          </cell>
          <cell r="D320" t="str">
            <v>TRADE MAX HOLDINGS LIMITED</v>
          </cell>
          <cell r="E320" t="str">
            <v>BANGLADESH</v>
          </cell>
        </row>
        <row r="321">
          <cell r="B321" t="str">
            <v>YANGZHOU JINQUAN TRAVELLING GO</v>
          </cell>
          <cell r="C321">
            <v>59477</v>
          </cell>
          <cell r="D321" t="str">
            <v>YANGZHOU JINQUAN TRAVELLING GOODS CO LTD</v>
          </cell>
          <cell r="E321" t="str">
            <v>CHINA (NORTH)</v>
          </cell>
        </row>
        <row r="322">
          <cell r="B322" t="str">
            <v>YANGZHOU JINQUAN TRAVELLING GOODS CO LTD HANJIANG ECONOMIC DEVELOPMENT AREAS BRANCH</v>
          </cell>
          <cell r="C322">
            <v>57813</v>
          </cell>
          <cell r="D322" t="str">
            <v>YANGZHOU JINQUAN TRAVELLING GOODS CO LTD</v>
          </cell>
          <cell r="E322" t="str">
            <v>CHINA (NORTH)</v>
          </cell>
        </row>
        <row r="323">
          <cell r="B323" t="str">
            <v>Yee Tung (Ningbo) Textiles Garment Co., Ltd.</v>
          </cell>
          <cell r="C323">
            <v>46762</v>
          </cell>
          <cell r="D323" t="str">
            <v>YEE TUNG GARMENT CO LTD</v>
          </cell>
          <cell r="E323" t="str">
            <v>CHINA (NORTH)</v>
          </cell>
        </row>
        <row r="324">
          <cell r="B324" t="str">
            <v>YIWU YONGRUI LEATHER PRODUCTS CO., LTD.</v>
          </cell>
          <cell r="C324">
            <v>71838</v>
          </cell>
          <cell r="D324" t="str">
            <v>SHANGHAI XIANGTONG INDUSTRIAL CO LTD</v>
          </cell>
          <cell r="E324" t="str">
            <v>CHINA (NORTH)</v>
          </cell>
        </row>
        <row r="325">
          <cell r="B325" t="str">
            <v>YONGXIANG KNITTING GARMENT (SHENZHEN) LTD</v>
          </cell>
          <cell r="C325">
            <v>28902</v>
          </cell>
          <cell r="D325" t="str">
            <v>BRIGHT GENERATION ENTERPRISES LTD</v>
          </cell>
          <cell r="E325" t="str">
            <v>CHINA (SOUTH)</v>
          </cell>
        </row>
        <row r="326">
          <cell r="B326" t="str">
            <v>YONGZHOU GUANGHONG SPORTS GOODS CO LTD</v>
          </cell>
          <cell r="C326">
            <v>62712</v>
          </cell>
          <cell r="D326" t="str">
            <v>IHC</v>
          </cell>
          <cell r="E326" t="str">
            <v>CHINA</v>
          </cell>
        </row>
        <row r="327">
          <cell r="B327" t="str">
            <v>Youngone El Salvador S.A. de C.V.</v>
          </cell>
          <cell r="C327">
            <v>21062</v>
          </cell>
          <cell r="D327" t="str">
            <v>Youngone Corporation</v>
          </cell>
          <cell r="E327" t="str">
            <v>EL SALVADOR</v>
          </cell>
        </row>
        <row r="328">
          <cell r="B328" t="str">
            <v>YOUNGONE NAMDINH CO. LTD</v>
          </cell>
          <cell r="C328">
            <v>8049</v>
          </cell>
          <cell r="D328" t="str">
            <v>YOUNGONE CORPORATION</v>
          </cell>
          <cell r="E328" t="str">
            <v>VIETNAM</v>
          </cell>
        </row>
        <row r="329">
          <cell r="B329" t="str">
            <v>YS VINA ONE MEMBER COMPANY LIMITED</v>
          </cell>
          <cell r="C329">
            <v>59917</v>
          </cell>
          <cell r="D329" t="str">
            <v>YOURZ CO., LTD.</v>
          </cell>
          <cell r="E329" t="str">
            <v>VIETNAM</v>
          </cell>
        </row>
        <row r="330">
          <cell r="B330" t="str">
            <v>YUDU DA TIAN SHOES CO LIMITED</v>
          </cell>
          <cell r="C330">
            <v>45446</v>
          </cell>
          <cell r="D330" t="str">
            <v>EXHIBITION LIMITED</v>
          </cell>
          <cell r="E330" t="str">
            <v>CHINA (SOUTH)</v>
          </cell>
        </row>
        <row r="331">
          <cell r="B331" t="str">
            <v>YUMEI (SHANTOU) GARMENTS CO LTD</v>
          </cell>
          <cell r="C331">
            <v>64551</v>
          </cell>
          <cell r="D331" t="str">
            <v>MAITEX (EAG) LIMITED</v>
          </cell>
          <cell r="E331" t="str">
            <v>CHINA (SOUTH)</v>
          </cell>
        </row>
        <row r="332">
          <cell r="B332" t="str">
            <v>ZHEJIANG FOUR SEASONS HOSIERY CO LTD</v>
          </cell>
          <cell r="C332">
            <v>42020</v>
          </cell>
          <cell r="D332" t="str">
            <v xml:space="preserve">HANMARK INDUSTRIES LTD. </v>
          </cell>
          <cell r="E332" t="str">
            <v>CHINA (NORTH)</v>
          </cell>
        </row>
        <row r="333">
          <cell r="B333" t="str">
            <v>ZHEJIANG HUAER TECHNOLOGY CO.,</v>
          </cell>
          <cell r="C333">
            <v>21125</v>
          </cell>
          <cell r="D333" t="str">
            <v>ZHEJIANG HUAER TECHNOLOGY CO</v>
          </cell>
          <cell r="E333" t="str">
            <v>CHINA (NORTH)</v>
          </cell>
        </row>
        <row r="334">
          <cell r="B334" t="str">
            <v>ZHEJIANG MEIKAN GARMENT &amp; ACCESSORIES CO LTD [NEW LOCATION]</v>
          </cell>
          <cell r="C334">
            <v>69801</v>
          </cell>
          <cell r="D334" t="str">
            <v>ZHEJIANG MEIKAN GARMENT &amp; ACCESSORIES CO LTD</v>
          </cell>
          <cell r="E334" t="str">
            <v>CHINA (NORTH)</v>
          </cell>
        </row>
        <row r="335">
          <cell r="B335" t="str">
            <v>Zhejiang Orient Befit Socks Manufacturer Co., Ltd.</v>
          </cell>
          <cell r="C335">
            <v>25714</v>
          </cell>
          <cell r="D335" t="str">
            <v>Zhejiang Orient Befit Socks Manufacturer Co., Ltd.</v>
          </cell>
          <cell r="E335" t="str">
            <v>CHINA (NORTH)</v>
          </cell>
        </row>
        <row r="336">
          <cell r="B336" t="str">
            <v>ZHONG SHAN CARPI DE KNIT APPAREL MFG. CO. LTD</v>
          </cell>
          <cell r="C336">
            <v>45499</v>
          </cell>
          <cell r="D336" t="str">
            <v>AC CARPI APPAREL COMPANY LIMITED</v>
          </cell>
          <cell r="E336" t="str">
            <v>CHINA (SOUTH)</v>
          </cell>
        </row>
        <row r="337">
          <cell r="B337" t="str">
            <v>ZHONG SHAN XIN CHANG SHOES CO LIMITED</v>
          </cell>
          <cell r="C337">
            <v>21193</v>
          </cell>
          <cell r="D337" t="str">
            <v>VICTORIOUS INVESTMENTS LIMITED</v>
          </cell>
          <cell r="E337" t="str">
            <v>CHINA</v>
          </cell>
        </row>
        <row r="338">
          <cell r="B338" t="str">
            <v>ZHONG SHAN XIN ZHAN SHOE FACTORY</v>
          </cell>
          <cell r="C338">
            <v>25885</v>
          </cell>
          <cell r="D338" t="str">
            <v>THE LOOK (MACAO COMMERCIAL OFFSHORE) COMPANY LIMITED</v>
          </cell>
          <cell r="E338" t="str">
            <v>CHINA</v>
          </cell>
        </row>
        <row r="339">
          <cell r="B339" t="str">
            <v>ZHONGSHAN AOBI GARMENT MANUFAC</v>
          </cell>
          <cell r="C339">
            <v>40798</v>
          </cell>
          <cell r="D339" t="str">
            <v>BIANCA FASHION LIMITED</v>
          </cell>
          <cell r="E339" t="str">
            <v>CHINA (SOUTH)</v>
          </cell>
        </row>
        <row r="340">
          <cell r="B340" t="str">
            <v>ZHONGSHAN BAO JI CLOTHING CO L</v>
          </cell>
          <cell r="C340">
            <v>16239</v>
          </cell>
          <cell r="D340" t="str">
            <v>FAITH YEAR INVESTMENTS LIMITED</v>
          </cell>
          <cell r="E340" t="str">
            <v>CHINA (SOUTH)</v>
          </cell>
        </row>
        <row r="341">
          <cell r="B341" t="str">
            <v>ZHONGSHAN JIEWEI SHOES INDUSTRY CO LTD</v>
          </cell>
          <cell r="C341">
            <v>47961</v>
          </cell>
          <cell r="D341" t="str">
            <v xml:space="preserve">NEW JV (HK) INTERNATIONAL COMPANY LIMITED </v>
          </cell>
          <cell r="E341" t="str">
            <v>CHINA</v>
          </cell>
        </row>
        <row r="342">
          <cell r="B342" t="str">
            <v>ZHONGSHAN NANLANG ZEFENG KNITWEAR CO. LTD</v>
          </cell>
          <cell r="C342">
            <v>60275</v>
          </cell>
          <cell r="D342" t="str">
            <v>SOUTH OCEAN KNITTERS LTD.</v>
          </cell>
          <cell r="E342" t="str">
            <v>CHINA (SOUTH)</v>
          </cell>
        </row>
        <row r="343">
          <cell r="B343" t="str">
            <v>ZHONGSHAN SANHUA GARMENT INDUSTRY CO LTD</v>
          </cell>
          <cell r="C343">
            <v>5909</v>
          </cell>
          <cell r="D343" t="str">
            <v>FOCUS HK COMPANY LTD</v>
          </cell>
          <cell r="E343" t="str">
            <v>CHINA (SOUTH)</v>
          </cell>
        </row>
        <row r="344">
          <cell r="B344" t="str">
            <v>Zhongshan WeiLi Textile Co. Ltd.</v>
          </cell>
          <cell r="C344">
            <v>15805</v>
          </cell>
          <cell r="D344" t="str">
            <v>Tiger Growth Assets Limited</v>
          </cell>
          <cell r="E344" t="str">
            <v>CHINA (SOUTH)</v>
          </cell>
        </row>
        <row r="345">
          <cell r="B345" t="str">
            <v xml:space="preserve">ZHONGSHAN YIDA APPAREL CO LTD </v>
          </cell>
          <cell r="C345">
            <v>21195</v>
          </cell>
          <cell r="D345" t="str">
            <v>CRYSTAL APPAREL LTD</v>
          </cell>
          <cell r="E345" t="str">
            <v>CHINA (SOUTH)</v>
          </cell>
        </row>
        <row r="346">
          <cell r="B346" t="str">
            <v>ZHUHAI SHI-TAI FOOTWEAR CO, LIMITED</v>
          </cell>
          <cell r="C346">
            <v>34869</v>
          </cell>
          <cell r="D346" t="str">
            <v>SUNLIGHT LIMITED - MACAO COMMERCIAL OFFSHORE</v>
          </cell>
          <cell r="E346" t="str">
            <v>CHINA (SOUTH)</v>
          </cell>
        </row>
        <row r="347">
          <cell r="B347" t="str">
            <v>ZKG (MYM) LIMITED</v>
          </cell>
          <cell r="C347">
            <v>63378</v>
          </cell>
          <cell r="D347" t="str">
            <v>JANNING LIMITED</v>
          </cell>
          <cell r="E347" t="str">
            <v>MYANMAR</v>
          </cell>
        </row>
      </sheetData>
      <sheetData sheetId="6"/>
      <sheetData sheetId="7">
        <row r="1">
          <cell r="A1" t="str">
            <v>section_id</v>
          </cell>
          <cell r="E1" t="str">
            <v>question_category</v>
          </cell>
          <cell r="F1" t="str">
            <v>total_quantity</v>
          </cell>
          <cell r="G1" t="str">
            <v>key</v>
          </cell>
          <cell r="H1" t="str">
            <v>max_point</v>
          </cell>
          <cell r="I1" t="str">
            <v>scored_point</v>
          </cell>
          <cell r="J1" t="str">
            <v>isAnswered</v>
          </cell>
          <cell r="K1" t="str">
            <v>comments</v>
          </cell>
        </row>
        <row r="2">
          <cell r="A2" t="str">
            <v>A</v>
          </cell>
          <cell r="E2" t="str">
            <v>QA</v>
          </cell>
          <cell r="G2" t="str">
            <v>A1</v>
          </cell>
          <cell r="H2">
            <v>4.6153846153846149E-3</v>
          </cell>
          <cell r="I2">
            <v>4.6153846153846149E-3</v>
          </cell>
          <cell r="J2">
            <v>1</v>
          </cell>
          <cell r="K2" t="str">
            <v>RECOMMENDATION IS TO CREATE AN ADJUSTED PATTERN  WHEN SHRINKAGE DIFFERENCE IS &gt;2%, GROUP ROLLS OF SIMILAR SHRINKAGE.  MAKE SURE SHRINKAGE % INFO. IS VISIBLE. MUST PROVIDE A BEFORE WASH MEAS. CHART FOR EACH PATTERN.</v>
          </cell>
        </row>
        <row r="3">
          <cell r="A3" t="str">
            <v>A</v>
          </cell>
          <cell r="E3" t="str">
            <v>QA</v>
          </cell>
          <cell r="G3" t="str">
            <v>A2</v>
          </cell>
          <cell r="H3">
            <v>4.6153846153846149E-3</v>
          </cell>
          <cell r="I3">
            <v>4.6153846153846149E-3</v>
          </cell>
          <cell r="J3">
            <v>1</v>
          </cell>
          <cell r="K3" t="str">
            <v>RECOMMENDATION IS TO:  CALIBRATE MARKER PRINTER (PLOTTER)  DAILY, PRINT A SQUARE ( ideally 100cm x 100 cm) &amp; MEASURE IT WITH RIGID METAL RULER AND KEEP REPORT OF ACTUAL MEASUREMENTS.</v>
          </cell>
        </row>
        <row r="4">
          <cell r="A4" t="str">
            <v>B</v>
          </cell>
          <cell r="E4" t="str">
            <v>QA</v>
          </cell>
          <cell r="G4" t="str">
            <v>B1</v>
          </cell>
          <cell r="H4">
            <v>4.6153846153846149E-3</v>
          </cell>
          <cell r="I4">
            <v>4.6153846153846149E-3</v>
          </cell>
          <cell r="J4">
            <v>1</v>
          </cell>
          <cell r="K4" t="str">
            <v>RECOMMENDATION IS TO INSPECT  10% OF EACH INCOMING DYE LOT (AS PER PACKING LIST) ,  USING 4 POINT SYSTEM. KEEP PROPER RECORD WITH TOTAL PENALTY POINTS  PER 100 SQ YDS. THE  REPORT MUST SHOW  ALL DEFECT TYPES (SLUB, STAIN, BARRE, CREASE MARKS,ETC…) FOUND, AND POINTS PER DEFECT (1,2,3,4) FREQUENCY &amp; IF ROLL PASS OR FAIL. ALSO SUMMARY FOR COMPLETE DYE LOT#/COLOR PASS OR FAIL. SUPERVISOR MUST SIGN REPORT.</v>
          </cell>
        </row>
        <row r="5">
          <cell r="A5" t="str">
            <v>B</v>
          </cell>
          <cell r="E5" t="str">
            <v>QA</v>
          </cell>
          <cell r="G5" t="str">
            <v>B2</v>
          </cell>
          <cell r="H5">
            <v>4.6153846153846149E-3</v>
          </cell>
          <cell r="I5">
            <v>4.6153846153846149E-3</v>
          </cell>
          <cell r="J5">
            <v>1</v>
          </cell>
          <cell r="K5" t="str">
            <v>RECOMMENDATION IS TO USE RED STICKER TO IDENTIFY EACH REJECTED ROLL , KEEP THEM ALL IN ISOLATED RED PAINTED AREA, WITH VISIBLE SIGN AND KEEP LOG WITH ALL DETAILS.</v>
          </cell>
        </row>
        <row r="6">
          <cell r="A6" t="str">
            <v>B</v>
          </cell>
          <cell r="E6" t="str">
            <v>QA</v>
          </cell>
          <cell r="G6" t="str">
            <v>B3</v>
          </cell>
          <cell r="H6">
            <v>4.6153846153846149E-3</v>
          </cell>
          <cell r="I6">
            <v>4.6153846153846149E-3</v>
          </cell>
          <cell r="J6">
            <v>1</v>
          </cell>
          <cell r="K6" t="str">
            <v>RECOMMENDATION IS TO  HAVE  VF-NPS COLOR STANDARD APPROVED (DATE, SIGNATURE &amp; CHOP) FOR EACH COLOR IN BULK. APPROVED SWATCHES MUST BE STORAGED  IN SHELF PROTECTED FROM SUNLIGHT &amp; DUST.</v>
          </cell>
        </row>
        <row r="7">
          <cell r="A7" t="str">
            <v>B</v>
          </cell>
          <cell r="E7" t="str">
            <v>QA</v>
          </cell>
          <cell r="G7" t="str">
            <v>B4</v>
          </cell>
          <cell r="H7">
            <v>4.6153846153846149E-3</v>
          </cell>
          <cell r="I7">
            <v>4.6153846153846149E-3</v>
          </cell>
          <cell r="J7">
            <v>1</v>
          </cell>
          <cell r="K7" t="str">
            <v>RECOMMENDATION IS TO HAVE  ACCESS TO VF APPROVED (WITH DATE, SIGNATURE &amp; CHOP) COLOR STANDARD NPS FOR FABRIC &amp; LEATHER AND COMPARE THEM TO EACH SHADE GROUP PER DYE LOT # OR LEATHER LOT  RECEIVED, THIS COMPARISON SHOULD BE DONE USING LIGHTBOX. THE PERSON DOING THIS CHECKING MUST HAVE PASSED MUNSELL TEST.</v>
          </cell>
        </row>
        <row r="8">
          <cell r="A8" t="str">
            <v>B</v>
          </cell>
          <cell r="E8" t="str">
            <v>QA</v>
          </cell>
          <cell r="G8" t="str">
            <v>B5</v>
          </cell>
          <cell r="H8">
            <v>4.6153846153846149E-3</v>
          </cell>
          <cell r="I8">
            <v>4.6153846153846149E-3</v>
          </cell>
          <cell r="J8">
            <v>1</v>
          </cell>
          <cell r="K8" t="str">
            <v>RECOMMENDATION IS TO USE LIGHT BOX IN DARK ENCLOSED SPACE, NO OTHER LIGHT INCOMING. USE VF APPROVED LIGHT  D65 &amp; CWF. KEEP RECORD OF BULB CHANGE &amp;/OR CALIBRATION.</v>
          </cell>
        </row>
        <row r="9">
          <cell r="A9" t="str">
            <v>B</v>
          </cell>
          <cell r="E9" t="str">
            <v>QA</v>
          </cell>
          <cell r="G9" t="str">
            <v>B6</v>
          </cell>
          <cell r="H9">
            <v>4.6153846153846149E-3</v>
          </cell>
          <cell r="I9">
            <v>4.6153846153846149E-3</v>
          </cell>
          <cell r="J9">
            <v>1</v>
          </cell>
          <cell r="K9" t="str">
            <v>RECOMMENDATION IS TO CHECK SHADE FROM ROLL TO ROLL AS WELL AS WITHIN SAME ROLL: 1)  DO SHADE BLANKET &amp; KEEP RUN CARDS BY SHADE GROUP WITH ROLL #. AFTER BLANKET SHADE GROUPING SHOULD LIST ALL ROLL #S BY SHADE GROUP &amp; COMPARED IN LIGHT BOX AGAINST APPROVED COLOR STANDARD AND 2) CHECK AT LEAST 1 ROLL/DYE LOT; MAKE A  "LEFT-CENTER-RIGHT + START-MIDDLE-END"  BLANKET  (Mark roll # &amp; Dye lot # properly) FROM EACH COLOR/DYE LOT# AND  CHECK  FOR VARIATION S  IN A LIGHT BOX.</v>
          </cell>
        </row>
        <row r="10">
          <cell r="A10" t="str">
            <v>B</v>
          </cell>
          <cell r="E10" t="str">
            <v>QA</v>
          </cell>
          <cell r="G10" t="str">
            <v>B7</v>
          </cell>
          <cell r="H10">
            <v>4.6153846153846149E-3</v>
          </cell>
          <cell r="I10">
            <v>4.6153846153846149E-3</v>
          </cell>
          <cell r="J10">
            <v>1</v>
          </cell>
          <cell r="K10" t="str">
            <v xml:space="preserve">RECOMMENDATION IS TO DO SHRINKAGE TEST ON EACH DYE LOT, MEASURE USING A  METAL OR PLASTIC RIGID RULER, NO PLASTIC TAPE. ROLLS WITH DIFFERENCE IN SHRINKAGE &gt;2% MUST BE CONSIDERED A DIFFERENT "SHRINKAGE GROUP" AND ALL ROLLS MUST BE CHECKED FOR SHRINKAGE. </v>
          </cell>
        </row>
        <row r="11">
          <cell r="A11" t="str">
            <v>B</v>
          </cell>
          <cell r="E11" t="str">
            <v>QA</v>
          </cell>
          <cell r="G11" t="str">
            <v>B8</v>
          </cell>
          <cell r="H11">
            <v>4.6153846153846149E-3</v>
          </cell>
          <cell r="I11">
            <v>0</v>
          </cell>
          <cell r="J11">
            <v>1</v>
          </cell>
          <cell r="K11" t="str">
            <v>RECOMMENDATION IS TO KEEP FABRIC ROLLS  COMPLETELY COVERED FROM DIRECT SUNLIGHT, DUST &amp; HANDLING STAINS . FOR WHITE  PU FOAM USE LIGHTPROOF DARK BAGS TO AVOID "YELLOWING". ALL FABRIC MUST BE ON PALLETS/RACKS OR SHELVES, NOTHING IN DIRECT CONTACT WITH FLOOR. ALSO,  NEED TO HAVE A SYSTEM  FOR  A "FIRST IN - FIRST OUT"  (TRACK P.O. IN/OUT DATES) SYSTEM TO ROTATE INVENTORIES PROPERLY. EACH ROLL MUST HAVE PROPER I.D. OR ROLL# &amp; DYE LOT #.</v>
          </cell>
        </row>
        <row r="12">
          <cell r="A12" t="str">
            <v>B</v>
          </cell>
          <cell r="E12" t="str">
            <v>QA</v>
          </cell>
          <cell r="G12" t="str">
            <v>B9</v>
          </cell>
          <cell r="H12">
            <v>4.6153846153846149E-3</v>
          </cell>
          <cell r="I12">
            <v>0</v>
          </cell>
          <cell r="J12">
            <v>1</v>
          </cell>
          <cell r="K12" t="str">
            <v>RECCOMENDATION IS TO IMPLEMENT A Mold Prevention SOP THAT SHOULD INCLUDE: Unloading dock covered at least 3mts, water leaks treatment, non-wooden pallets, nothing on direct contact with floor, ventilation or dehumidifiers system, humidity records, Action taken when humidity is &gt;60%)</v>
          </cell>
        </row>
        <row r="13">
          <cell r="A13" t="str">
            <v>B</v>
          </cell>
          <cell r="E13" t="str">
            <v>QA</v>
          </cell>
          <cell r="G13" t="str">
            <v>B10</v>
          </cell>
          <cell r="H13">
            <v>0</v>
          </cell>
          <cell r="I13">
            <v>0</v>
          </cell>
          <cell r="J13">
            <v>0</v>
          </cell>
          <cell r="K13" t="str">
            <v>RECOMMENDATION IS TO KEEP DETAILED CONTROL &amp; RECORDS OF YARN OUT &amp; IN (LEFTOVERS) TO AVOID DYE LOT # MIXING.</v>
          </cell>
        </row>
        <row r="14">
          <cell r="A14" t="str">
            <v>B</v>
          </cell>
          <cell r="E14" t="str">
            <v>QA</v>
          </cell>
          <cell r="G14" t="str">
            <v>B11</v>
          </cell>
          <cell r="H14">
            <v>0</v>
          </cell>
          <cell r="I14">
            <v>0</v>
          </cell>
          <cell r="J14">
            <v>0</v>
          </cell>
          <cell r="K14" t="str">
            <v>RECOMMENDATION IS TO KEEP SEPARATE LIGHT/DARK YARNS IN PRE-TWISTING PROCESS TO AVOID YARN CONTAMINATION.</v>
          </cell>
        </row>
        <row r="15">
          <cell r="A15" t="str">
            <v>B</v>
          </cell>
          <cell r="E15" t="str">
            <v>QI</v>
          </cell>
          <cell r="G15" t="str">
            <v>B12</v>
          </cell>
          <cell r="H15">
            <v>2.3076923076923075E-2</v>
          </cell>
          <cell r="I15">
            <v>2.3076923076923075E-2</v>
          </cell>
          <cell r="J15">
            <v>1</v>
          </cell>
          <cell r="K15" t="str">
            <v>RECOMMENDATION IS TO IMPLEMENT   5'S METHOD AS A BASE TO IMPLEMENT  QUALITY IMPROVEMENT/LEAN PROCEDURES. MUST  DO  WEEKLY 5'S AUDITS, GIVE  &amp; POST RATING TO EACH AREA. DO FORMAL TRAINING &amp; KEEP TRAINING RECORDS.</v>
          </cell>
        </row>
        <row r="16">
          <cell r="A16" t="str">
            <v>B</v>
          </cell>
          <cell r="E16" t="str">
            <v>QI</v>
          </cell>
          <cell r="G16" t="str">
            <v>B13</v>
          </cell>
          <cell r="H16">
            <v>2.3076923076923075E-2</v>
          </cell>
          <cell r="I16">
            <v>2.3076923076923075E-2</v>
          </cell>
          <cell r="J16">
            <v>1</v>
          </cell>
          <cell r="K16" t="str">
            <v xml:space="preserve">RECOMMENDATION IS TO KEEP SCORE CARD FOR ALL SUPPLIERS PERFORMANCE,  GRAPH RESULTS  EVERY 3 MONTHS OF DEFECT TYPES, DELIVERIES, ETC … AND FOLLOW UP WITH WORST  SUPPLIERS ON  MAIN  PROBLEMS. </v>
          </cell>
        </row>
        <row r="17">
          <cell r="A17" t="str">
            <v>C</v>
          </cell>
          <cell r="E17" t="str">
            <v>QA</v>
          </cell>
          <cell r="G17" t="str">
            <v>C1</v>
          </cell>
          <cell r="H17">
            <v>4.6153846153846149E-3</v>
          </cell>
          <cell r="I17">
            <v>4.6153846153846149E-3</v>
          </cell>
          <cell r="J17">
            <v>1</v>
          </cell>
          <cell r="K17" t="str">
            <v>RECOMMENDATION IS TO AUDIT ALL INCOMING TRIM USING AQL  SAMPLING METHOD  IN GOOD ILLUMINATED STATION (MIN 1,000 LUX) , COMPARING AGAINST  APPROVED (WITH DATE, SIGNATURE &amp; CHOP) TRIM STANDARD AND KEEP  REPORT WITH QTY RECEIVED, CHECK, SAMPLED &amp; DEFECTS QTY/TYPE FOUND.</v>
          </cell>
        </row>
        <row r="18">
          <cell r="A18" t="str">
            <v>C</v>
          </cell>
          <cell r="E18" t="str">
            <v>QA</v>
          </cell>
          <cell r="G18" t="str">
            <v>C2</v>
          </cell>
          <cell r="H18">
            <v>4.6153846153846149E-3</v>
          </cell>
          <cell r="I18">
            <v>4.6153846153846149E-3</v>
          </cell>
          <cell r="J18">
            <v>1</v>
          </cell>
          <cell r="K18" t="str">
            <v>RECOMMENDATION IS  TO IDENTIFY EACH REJECTED  MATERIAL I.E. WITH RED TAPE ; KEEP THEM ALL IN ISOLATED RED PAINTED AREA, WITH VISIBLE SIGN AND KEEP LOG WITH ALL DETAILS.</v>
          </cell>
        </row>
        <row r="19">
          <cell r="A19" t="str">
            <v>C</v>
          </cell>
          <cell r="E19" t="str">
            <v>QA</v>
          </cell>
          <cell r="G19" t="str">
            <v>C3</v>
          </cell>
          <cell r="H19">
            <v>4.6153846153846149E-3</v>
          </cell>
          <cell r="I19">
            <v>4.6153846153846149E-3</v>
          </cell>
          <cell r="J19">
            <v>1</v>
          </cell>
          <cell r="K19" t="str">
            <v>RECOMMENDATION IS TO HAVE VF APPROVED (OR DUPLICATE)  (WITH DATE, SIGNATURE &amp; CHOP) TRIM CARDS AVAILABLE  FOR EACH STYLE TO AUDIT INCOMING TRIM.</v>
          </cell>
        </row>
        <row r="20">
          <cell r="A20" t="str">
            <v>C</v>
          </cell>
          <cell r="E20" t="str">
            <v>QA</v>
          </cell>
          <cell r="G20" t="str">
            <v>C4</v>
          </cell>
          <cell r="H20">
            <v>4.6153846153846149E-3</v>
          </cell>
          <cell r="I20">
            <v>0</v>
          </cell>
          <cell r="J20">
            <v>1</v>
          </cell>
          <cell r="K20" t="str">
            <v>RECOMMENDATION IS TO USE A "FIRST IN - FIRST OUT"  (TRACK P.O. IN/OUT DATES) SYSTEM TO ROTATE INVENTORIES PROPERLY. EACH TRIM ITEM  MUST HAVE PROPER I.D. AND  LOT #.</v>
          </cell>
        </row>
        <row r="21">
          <cell r="A21" t="str">
            <v>C</v>
          </cell>
          <cell r="E21" t="str">
            <v>QA</v>
          </cell>
          <cell r="G21" t="str">
            <v>C5</v>
          </cell>
          <cell r="H21">
            <v>4.6153846153846149E-3</v>
          </cell>
          <cell r="I21">
            <v>0</v>
          </cell>
          <cell r="J21">
            <v>1</v>
          </cell>
          <cell r="K21" t="str">
            <v>RECOMMENDATION IS TO HAVE A DUE DATE TRACKING FOR CRITICAL MATERIALS (e.g. heat transfer, seam sealing tape,etc…)WITH EXPIRE DATE AND KEEP GLUE ITEMS SUCH AS HEAT TRANSFER &amp; SEAM SEALING TAPE IN A/C ROOM.</v>
          </cell>
        </row>
        <row r="22">
          <cell r="A22" t="str">
            <v>C</v>
          </cell>
          <cell r="E22" t="str">
            <v>QI</v>
          </cell>
          <cell r="G22" t="str">
            <v>C6</v>
          </cell>
          <cell r="H22">
            <v>2.3076923076923075E-2</v>
          </cell>
          <cell r="I22">
            <v>2.3076923076923075E-2</v>
          </cell>
          <cell r="J22">
            <v>1</v>
          </cell>
          <cell r="K22" t="str">
            <v>RECOMMENDATION IS TO IMPLEMENT   5'S METHOD AS A BASE TO IMPLEMENT  QUALITY IMPROVEMENT/LEAN PROCEDURES. MUST  DO  WEEKLY 5'S AUDITS, GIVE  &amp; POST RATING TO EACH AREA. DO FORMAL TRAINING &amp; KEEP TRAINING RECORDS.</v>
          </cell>
        </row>
        <row r="23">
          <cell r="A23" t="str">
            <v>D</v>
          </cell>
          <cell r="E23" t="str">
            <v>QA</v>
          </cell>
          <cell r="G23" t="str">
            <v>D1</v>
          </cell>
          <cell r="H23">
            <v>4.6153846153846149E-3</v>
          </cell>
          <cell r="I23">
            <v>4.6153846153846149E-3</v>
          </cell>
          <cell r="J23">
            <v>1</v>
          </cell>
          <cell r="K23" t="str">
            <v>RECOMMENDATION IS TO RELAX  FABRIC BEFORE SPREADING. EACH ROLL MUST LAY RELAXED INDIVIDUALLY ON FLAT SURFACE, DO NOT STACK ROLL ON TOP OF ROLL; DO NOT TIE ROLLS. RELAXING TIME AS PER RECOMMENDED SOP.  KEEP RECORD NEAR EACH ROLL OF : DATE &amp; TIME WHEN RELAXATION STARTS &amp; WHEN FABRIC IS AVAILABLE TO SPREAD, ACCORDING TO EACH FABRIC TYPE OR SPANDEX CONTENT. KEEP ROLLS COVERED AT ALL TIMES.</v>
          </cell>
        </row>
        <row r="24">
          <cell r="A24" t="str">
            <v>D</v>
          </cell>
          <cell r="E24" t="str">
            <v>QA</v>
          </cell>
          <cell r="G24" t="str">
            <v>D2</v>
          </cell>
          <cell r="H24">
            <v>4.6153846153846149E-3</v>
          </cell>
          <cell r="I24">
            <v>4.6153846153846149E-3</v>
          </cell>
          <cell r="J24">
            <v>1</v>
          </cell>
          <cell r="K24" t="str">
            <v>RECOMMENDATION IS TO HAVE A QC TO CHECK BEFORE &amp;/OR  DURING  SPREADING : FABRIC TYPE, FACE SIDE, SHADE GROUP,DIRECTION, RELAXATION, SHRINKAGE, TENSION, BOWING, EDGE ALIGNMENT, PLY COUNT, MARKER/FABRIC WIDTH, ETC… KEEP RECORDS.</v>
          </cell>
        </row>
        <row r="25">
          <cell r="A25" t="str">
            <v>D</v>
          </cell>
          <cell r="E25" t="str">
            <v>QA</v>
          </cell>
          <cell r="G25" t="str">
            <v>D3</v>
          </cell>
          <cell r="H25">
            <v>4.6153846153846149E-3</v>
          </cell>
          <cell r="I25">
            <v>4.6153846153846149E-3</v>
          </cell>
          <cell r="J25">
            <v>1</v>
          </cell>
          <cell r="K25" t="str">
            <v>RECOMMENDATION IS  DURING FABRIC SPREADING (LAYING) TO KEEP CONTROL/RECORDS  OF ROLL# / DYE LOT # ON SHADE GROUP BEING  USED.</v>
          </cell>
        </row>
        <row r="26">
          <cell r="A26" t="str">
            <v>D</v>
          </cell>
          <cell r="E26" t="str">
            <v>QA</v>
          </cell>
          <cell r="G26" t="str">
            <v>D4</v>
          </cell>
          <cell r="H26">
            <v>4.6153846153846149E-3</v>
          </cell>
          <cell r="I26">
            <v>0</v>
          </cell>
          <cell r="J26">
            <v>1</v>
          </cell>
          <cell r="K26" t="str">
            <v xml:space="preserve">RECOMMENDATION IS TO CHECK CUT PANNELS (TOP-MIDDLE-BOTTOM) AGAINST AN APPROVED HARD PATTERN AND KEEP RECORDS BY DEFECT TYPE &amp; QTY.  </v>
          </cell>
        </row>
        <row r="27">
          <cell r="A27" t="str">
            <v>D</v>
          </cell>
          <cell r="E27" t="str">
            <v>QA</v>
          </cell>
          <cell r="F27">
            <v>5</v>
          </cell>
          <cell r="G27" t="str">
            <v>D5</v>
          </cell>
          <cell r="H27">
            <v>0</v>
          </cell>
          <cell r="I27">
            <v>0</v>
          </cell>
          <cell r="J27">
            <v>0</v>
          </cell>
          <cell r="K27" t="str">
            <v>RECOMMENDATION IS TO:  GIVE TO CUTTER CLEAR VISUAL  INSTRUCTIONS TO FOLLOW &amp; CHECK GRAIN DIRECTION  &amp;  PANNEL ACCURACY WHEN MOLD  (DIE) CUTTING</v>
          </cell>
        </row>
        <row r="28">
          <cell r="A28" t="str">
            <v>D</v>
          </cell>
          <cell r="E28" t="str">
            <v>QA</v>
          </cell>
          <cell r="G28" t="str">
            <v>D6</v>
          </cell>
          <cell r="H28">
            <v>4.6153846153846149E-3</v>
          </cell>
          <cell r="I28">
            <v>4.6153846153846149E-3</v>
          </cell>
          <cell r="J28">
            <v>1</v>
          </cell>
          <cell r="K28" t="str">
            <v>RECOMMENDATION IS TO DISPLAY VISUAL AND RELEVANT SOP AT ALL AREAS OF CUTTING ROOM.</v>
          </cell>
        </row>
        <row r="29">
          <cell r="A29" t="str">
            <v>D</v>
          </cell>
          <cell r="E29" t="str">
            <v>QA</v>
          </cell>
          <cell r="G29" t="str">
            <v>D7</v>
          </cell>
          <cell r="H29">
            <v>4.6153846153846149E-3</v>
          </cell>
          <cell r="I29">
            <v>4.6153846153846149E-3</v>
          </cell>
          <cell r="J29">
            <v>1</v>
          </cell>
          <cell r="K29" t="str">
            <v>RECOMMENDATION IS TO SEPARATE BUNDLES FOLLOWING SPREADING REPORT AND IDENTIFY EACH BUNDLE BY STYLE, SIZE, QTY  &amp;  MAKE A CONTROL REPORT FOR NEXT PROCESS.</v>
          </cell>
        </row>
        <row r="30">
          <cell r="A30" t="str">
            <v>D</v>
          </cell>
          <cell r="E30" t="str">
            <v>QA</v>
          </cell>
          <cell r="G30" t="str">
            <v>D8</v>
          </cell>
          <cell r="H30">
            <v>4.6153846153846149E-3</v>
          </cell>
          <cell r="I30">
            <v>4.6153846153846149E-3</v>
          </cell>
          <cell r="J30">
            <v>1</v>
          </cell>
          <cell r="K30" t="str">
            <v>RECOMMENDATION IS TO MAKE A PREVENTIVE MAINTENANCE SCHEDULE (PLAN) FOR EACH &amp; EVERY MACHINE, LIST ACTIVITIES TO DO IN THE EACH WEEK / MONTH / YEAR. KEEP ACTUAL vrs PLANED.</v>
          </cell>
        </row>
        <row r="31">
          <cell r="A31" t="str">
            <v>D</v>
          </cell>
          <cell r="E31" t="str">
            <v>QI</v>
          </cell>
          <cell r="G31" t="str">
            <v>D9</v>
          </cell>
          <cell r="H31">
            <v>2.3076923076923075E-2</v>
          </cell>
          <cell r="I31">
            <v>2.3076923076923075E-2</v>
          </cell>
          <cell r="J31">
            <v>1</v>
          </cell>
          <cell r="K31" t="str">
            <v>RECOMMENDATION IS TO IMPLEMENT   5'S METHOD AS A BASE TO IMPLEMENT  QUALITY IMPROVEMENT/LEAN PROCEDURES. MUST  DO  WEEKLY 5'S AUDITS, GIVE  &amp; POST RATING TO EACH AREA. DO FORMAL TRAINING &amp; KEEP TRAINING RECORDS.</v>
          </cell>
        </row>
        <row r="32">
          <cell r="A32" t="str">
            <v>D</v>
          </cell>
          <cell r="E32" t="str">
            <v>QI</v>
          </cell>
          <cell r="G32" t="str">
            <v>D10</v>
          </cell>
          <cell r="H32">
            <v>2.3076923076923075E-2</v>
          </cell>
          <cell r="I32">
            <v>2.3076923076923075E-2</v>
          </cell>
          <cell r="J32">
            <v>1</v>
          </cell>
          <cell r="K32" t="str">
            <v>RECOMMENDATION IS TO USE STATISTICAL DATA, TO ANALYZE QUALITY RESULTS &amp; MAKE DECISIONS TO IMPROVE IT.  REVIEW RESULTS &amp; PLAN  FUTURE  CORRECTIVE ACTIONS BASED ON ROOT CAUSE ANALYSIS   (SHOULD BE VISIBLE IN PRODUCTION LINES) , PARETO GRAPH  AND FOLLOW UP ON TOP 5 DEFECTS. COMPARE RESULTS BY DAY, WEEK, MONTH … AND BY LINE, SECTION, DEPMT,etc.. KEEP ALSO TRACK OF  PROGRESS OF AT LEAST 1 MOST RECURRING DEFECT BEING IMPROVED.</v>
          </cell>
        </row>
        <row r="33">
          <cell r="A33" t="str">
            <v>E</v>
          </cell>
          <cell r="E33" t="str">
            <v>QA</v>
          </cell>
          <cell r="G33" t="str">
            <v>E1</v>
          </cell>
          <cell r="H33">
            <v>4.6153846153846149E-3</v>
          </cell>
          <cell r="I33">
            <v>4.6153846153846149E-3</v>
          </cell>
          <cell r="J33">
            <v>1</v>
          </cell>
          <cell r="K33" t="str">
            <v>RECOMMENDATION IS TO HOLD PP MEETINGS BEFORE STARTING PRODUCTION OF NEW STYLE. KEEP REPORT WITH FORMAT TO DETAIL TECHNICAL COMMENTS &amp; ATTENDANCE SIGNATURES.</v>
          </cell>
        </row>
        <row r="34">
          <cell r="A34" t="str">
            <v>E</v>
          </cell>
          <cell r="E34" t="str">
            <v>QA</v>
          </cell>
          <cell r="G34" t="str">
            <v>E2</v>
          </cell>
          <cell r="H34">
            <v>4.6153846153846149E-3</v>
          </cell>
          <cell r="I34">
            <v>4.6153846153846149E-3</v>
          </cell>
          <cell r="J34">
            <v>1</v>
          </cell>
          <cell r="K34" t="str">
            <v>RECOMMENDATION IS TO RUN A SMALL QTY AS PILOT RUN BEFORE PRODUCTION STARTS TO CONFIRM THAT PATTERNS, FABRIC, TRIM, MEASUREMENTS, MACHINES, FOLDER,ETC WILL WORK FINE  WHEN BULK STARTS. MEASUREMENT REPORT SHOULD BE SIGNED OFF BY VF QA.</v>
          </cell>
        </row>
        <row r="35">
          <cell r="A35" t="str">
            <v>E</v>
          </cell>
          <cell r="E35" t="str">
            <v>QA</v>
          </cell>
          <cell r="G35" t="str">
            <v>E3</v>
          </cell>
          <cell r="H35">
            <v>4.6153846153846149E-3</v>
          </cell>
          <cell r="I35">
            <v>4.6153846153846149E-3</v>
          </cell>
          <cell r="J35">
            <v>1</v>
          </cell>
          <cell r="K35" t="str">
            <v>RECOMMENDATION IS TO INSPECT &amp; MEASURE PCS FROM 1ST OUTPUT BUNDLES IN BULK.  , KEEP DETAILED REVIEW REPORT WITH REMARKS ON MEASUREMENTS &amp; WORKMANSHIP. FOLLOW VF CHECKLIST FORMAT.</v>
          </cell>
        </row>
        <row r="36">
          <cell r="A36" t="str">
            <v>F</v>
          </cell>
          <cell r="E36" t="str">
            <v>QA</v>
          </cell>
          <cell r="G36" t="str">
            <v>F1</v>
          </cell>
          <cell r="H36">
            <v>4.6153846153846149E-3</v>
          </cell>
          <cell r="I36">
            <v>0</v>
          </cell>
          <cell r="J36">
            <v>1</v>
          </cell>
          <cell r="K36" t="str">
            <v>RECOMMENDATION IS TO DISPLAY  "GO BY" (as exactly specific step/operation) MOCK-UPS, PICTURES OR DRAWINGS FOR EACH JOB QUALITY SPECS AT ALL OPERATIONS</v>
          </cell>
        </row>
        <row r="37">
          <cell r="A37" t="str">
            <v>F</v>
          </cell>
          <cell r="E37" t="str">
            <v>QA</v>
          </cell>
          <cell r="G37" t="str">
            <v>F2</v>
          </cell>
          <cell r="H37">
            <v>4.6153846153846149E-3</v>
          </cell>
          <cell r="I37">
            <v>4.6153846153846149E-3</v>
          </cell>
          <cell r="J37">
            <v>1</v>
          </cell>
          <cell r="K37" t="str">
            <v xml:space="preserve">RECOMMENDATION IS TO HAVE PRODUCT SPECS (TECH PACK, PDM,SPECS)  AVAILABLE AT PRODUCTION LINE FOR EACH STYLE. MUST INCLUDE :BOM, MEAS CHART, WORKMANSHIP SKETCHES. ALSO HAVE APPROVED VF TRIM CARD (OR APPROVED DUPLICATE) </v>
          </cell>
        </row>
        <row r="38">
          <cell r="A38" t="str">
            <v>F</v>
          </cell>
          <cell r="E38" t="str">
            <v>QA</v>
          </cell>
          <cell r="G38" t="str">
            <v>F3</v>
          </cell>
          <cell r="H38">
            <v>4.6153846153846149E-3</v>
          </cell>
          <cell r="I38">
            <v>4.6153846153846149E-3</v>
          </cell>
          <cell r="J38">
            <v>1</v>
          </cell>
          <cell r="K38" t="str">
            <v>RECOMMENDATION IS TO FOLLOW MACHINE SETTINGS AS PER  APPROVED (WITH DATE, SIGNATURE &amp; CHOP) MOCK-UP AND KEEP DAILY RECORDS ACTUAL vrs SETTINGS. FOR LEAKAGE TEST MUST USE VF APPROVED STANDARD 3 PSI FOR 2 MINUTES.</v>
          </cell>
        </row>
        <row r="39">
          <cell r="A39" t="str">
            <v>F</v>
          </cell>
          <cell r="E39" t="str">
            <v>QA</v>
          </cell>
          <cell r="G39" t="str">
            <v>F4</v>
          </cell>
          <cell r="H39">
            <v>4.6153846153846149E-3</v>
          </cell>
          <cell r="I39">
            <v>4.6153846153846149E-3</v>
          </cell>
          <cell r="J39">
            <v>1</v>
          </cell>
          <cell r="K39" t="str">
            <v>RECOMMENDATION IS TO DO RANDOM INLINE INSPECTIONS DAILY, USING AQL SAMPLING PLAN &amp;  KEEPING UPDATED REPORT OF PCS CHECKED &amp; DEFECTS TYPE &amp; DEFECTS QTY  FOUND BY OPERATOR.</v>
          </cell>
        </row>
        <row r="40">
          <cell r="A40" t="str">
            <v>F</v>
          </cell>
          <cell r="E40" t="str">
            <v>QA</v>
          </cell>
          <cell r="G40" t="str">
            <v>F5</v>
          </cell>
          <cell r="H40">
            <v>4.6153846153846149E-3</v>
          </cell>
          <cell r="I40">
            <v>0</v>
          </cell>
          <cell r="J40">
            <v>1</v>
          </cell>
          <cell r="K40" t="str">
            <v>RECOMMENDATION IS TO USE CUTTING GUIDES (STOPS) IN OVERLOCK MACHINES TO AVOID KNIFE  TRIMMING MORE THAN SEAM ALLOWANCE IN PATTERN. ALSO, ESTABLISH A  A DAILY  CHECK OF WIDTH OF WASTE IN  MACHINES, AMOUNT TRIMMED SHOULD BE AS PER SEAM ALLOWANCE PATTERN. KEEP PROPER RECORDS.</v>
          </cell>
        </row>
        <row r="41">
          <cell r="A41" t="str">
            <v>F</v>
          </cell>
          <cell r="E41" t="str">
            <v>QA</v>
          </cell>
          <cell r="G41" t="str">
            <v>F6</v>
          </cell>
          <cell r="H41">
            <v>4.6153846153846149E-3</v>
          </cell>
          <cell r="I41">
            <v>0</v>
          </cell>
          <cell r="J41">
            <v>1</v>
          </cell>
          <cell r="K41" t="str">
            <v>RECOMMENDATION IS TO TAKE MEASUREMENTS IN PROCESS ON CRITICAL POINTS, USE METAL TAPE &amp; RULER &amp;  KEEP DAILY RECORD. CIRCLE IF ANY MEASUREMENT IS OUT OF TOLERANCE.  ONCE OUT OF TOL. ARE FOUND, QC MUST MEASURE MORE PIECES TO CONFIRM TENDENCY  &amp; KEEP RECORD OF CORRECTIVE ACTIONS TAKEN TO FIX THE PROBLEM.</v>
          </cell>
        </row>
        <row r="42">
          <cell r="A42" t="str">
            <v>F</v>
          </cell>
          <cell r="E42" t="str">
            <v>QA</v>
          </cell>
          <cell r="G42" t="str">
            <v>F7</v>
          </cell>
          <cell r="H42">
            <v>4.6153846153846149E-3</v>
          </cell>
          <cell r="I42">
            <v>4.6153846153846149E-3</v>
          </cell>
          <cell r="J42">
            <v>1</v>
          </cell>
          <cell r="K42" t="str">
            <v>RECOMMENDATION IS TO CHECK FOR DEFECTS FOLLOWING A STANDARDIZED INSPECTION METHOD, KEEPING DAILY UPDATED REPORT OF PCS CHECKED &amp; DEFECTS FOUND. USE MIN 1,000 LUX ILLUMINATION. KEEP TRACK OF REPAIRS. INSPECTOR AREA MUST HAVE ENOUGH SPACE TO PLACE PASS PRODUCT  SEPARATED CLEARLY FROM DEFECTIVE PRODUCTS.</v>
          </cell>
        </row>
        <row r="43">
          <cell r="A43" t="str">
            <v>F</v>
          </cell>
          <cell r="E43" t="str">
            <v>QA</v>
          </cell>
          <cell r="G43" t="str">
            <v>F8</v>
          </cell>
          <cell r="H43">
            <v>4.6153846153846149E-3</v>
          </cell>
          <cell r="I43">
            <v>4.6153846153846149E-3</v>
          </cell>
          <cell r="J43">
            <v>1</v>
          </cell>
          <cell r="K43" t="str">
            <v>RECOMMENDATION IS TO ALWAYS HAVE APPROVED (WITH DATE, SIGNATURE &amp; CHOP)  "GO BY' (MUST BE OF EXACT APPEARANCE AS  HOW BULK COMES TO QC) SAMPLE AVAILABLE FOR  EACH STYLE.</v>
          </cell>
        </row>
        <row r="44">
          <cell r="A44" t="str">
            <v>F</v>
          </cell>
          <cell r="E44" t="str">
            <v>QC</v>
          </cell>
          <cell r="F44">
            <v>5</v>
          </cell>
          <cell r="G44" t="str">
            <v>F9</v>
          </cell>
          <cell r="H44">
            <v>0.06</v>
          </cell>
          <cell r="I44">
            <v>0.06</v>
          </cell>
          <cell r="J44">
            <v>1</v>
          </cell>
          <cell r="K44" t="str">
            <v>RECOMMENDATION IS TO: IMPROVE  QUALITY SYSTEMS IMMEDIATELY, BECAUSE DURING PRIDE AUDIT, WHILE CHECKING 5 PCS  SOME  MAJOR DEFECTS WERE FOUND !</v>
          </cell>
        </row>
        <row r="45">
          <cell r="A45" t="str">
            <v>F</v>
          </cell>
          <cell r="E45" t="str">
            <v>QA</v>
          </cell>
          <cell r="G45" t="str">
            <v>F10</v>
          </cell>
          <cell r="H45">
            <v>4.6153846153846149E-3</v>
          </cell>
          <cell r="I45">
            <v>4.6153846153846149E-3</v>
          </cell>
          <cell r="J45">
            <v>1</v>
          </cell>
          <cell r="K45" t="str">
            <v>RECOMMENDATION IS TO MAKE A PREVENTIVE MAINTENANCE SCHEDULE (PLAN) FOR EACH &amp; EVERY MACHINE, LIST ACTIVITIES TO DO IN THE EACH WEEK / MONTH / YEAR. KEEP ACTUAL vrs PLANED.</v>
          </cell>
        </row>
        <row r="46">
          <cell r="A46" t="str">
            <v>F</v>
          </cell>
          <cell r="E46" t="str">
            <v>QI</v>
          </cell>
          <cell r="F46">
            <v>5</v>
          </cell>
          <cell r="G46" t="str">
            <v>F11</v>
          </cell>
          <cell r="H46">
            <v>2.3076923076923075E-2</v>
          </cell>
          <cell r="I46">
            <v>2.3076923076923075E-2</v>
          </cell>
          <cell r="J46">
            <v>1</v>
          </cell>
          <cell r="K46" t="str">
            <v>RECOMMENDATION IS TO IMPLEMENT   5'S METHOD AS A BASE TO IMPLEMENT  QUALITY IMPROVEMENT/LEAN PROCEDURES. MUST  DO  WEEKLY 5'S AUDITS, GIVE  &amp; POST RATING TO EACH AREA. DO FORMAL TRAINING &amp; KEEP TRAINING RECORDS.</v>
          </cell>
        </row>
        <row r="47">
          <cell r="A47" t="str">
            <v>F</v>
          </cell>
          <cell r="E47" t="str">
            <v>QI</v>
          </cell>
          <cell r="G47" t="str">
            <v>F12</v>
          </cell>
          <cell r="H47">
            <v>2.3076923076923075E-2</v>
          </cell>
          <cell r="I47">
            <v>2.3076923076923075E-2</v>
          </cell>
          <cell r="J47">
            <v>1</v>
          </cell>
          <cell r="K47" t="str">
            <v>RECOMMENDATION IS TO USE STATISTICAL DATA, TO ANALYZE QUALITY RESULTS &amp; MAKE DECISIONS TO IMPROVE IT.  REVIEW RESULTS &amp; PLAN  FUTURE  CORRECTIVE ACTIONS BASED ON ROOT CAUSE ANALYSIS   (SHOULD BE VISIBLE IN PRODUCTION LINES) , PARETO GRAPH  AND FOLLOW UP ON TOP 5 DEFECTS. COMPARE RESULTS BY DAY, WEEK, MONTH … AND BY LINE, SECTION, DEPMT,etc.. KEEP ALSO TRACK OF  PROGRESS OF AT LEAST 1 MOST RECURRING DEFECT BEING IMPROVED.</v>
          </cell>
        </row>
        <row r="48">
          <cell r="A48" t="str">
            <v>G</v>
          </cell>
          <cell r="E48" t="str">
            <v>QA</v>
          </cell>
          <cell r="G48" t="str">
            <v>G1</v>
          </cell>
          <cell r="H48">
            <v>0</v>
          </cell>
          <cell r="I48">
            <v>0</v>
          </cell>
          <cell r="J48">
            <v>0</v>
          </cell>
          <cell r="K48" t="str">
            <v>RECOMMENDATION IS TO HAVE VF APPROVED (WITH DATE, SIGNATURE &amp; CHOP) STRIKE OFF SAMPLE AT SCREEN PRINT  SECTION FOR EACH DESIGN / COLOR</v>
          </cell>
        </row>
        <row r="49">
          <cell r="A49" t="str">
            <v>G</v>
          </cell>
          <cell r="E49" t="str">
            <v>QA</v>
          </cell>
          <cell r="G49" t="str">
            <v>G2</v>
          </cell>
          <cell r="H49">
            <v>0</v>
          </cell>
          <cell r="I49">
            <v>0</v>
          </cell>
          <cell r="J49">
            <v>0</v>
          </cell>
          <cell r="K49" t="str">
            <v>RECOMMENDATION IS TO CHECK FOR DEFECTS, KEEPING DAILY UPDATED REPORT OF PCS CHECKED &amp; DEFECTS FOUND. USE MIN 1,000 LUX ILLUMINATION.</v>
          </cell>
        </row>
        <row r="50">
          <cell r="A50" t="str">
            <v>G</v>
          </cell>
          <cell r="E50" t="str">
            <v>QA</v>
          </cell>
          <cell r="G50" t="str">
            <v>G3</v>
          </cell>
          <cell r="H50">
            <v>0</v>
          </cell>
          <cell r="I50">
            <v>0</v>
          </cell>
          <cell r="J50">
            <v>0</v>
          </cell>
          <cell r="K50" t="str">
            <v>RECOMMENDATION IS TO CHECK  SIZE,DESIGN &amp; LOCATION OF SCREEN PRINTED LOGO PER SIZE, BY CHECKING IT WITH A TEMPLATE &amp; APPROVED (WITH DATE, SIGNATURE &amp; CHOP) STRIKE OFF.</v>
          </cell>
        </row>
        <row r="51">
          <cell r="A51" t="str">
            <v>G</v>
          </cell>
          <cell r="E51" t="str">
            <v>QA</v>
          </cell>
          <cell r="G51" t="str">
            <v>G4</v>
          </cell>
          <cell r="H51">
            <v>0</v>
          </cell>
          <cell r="I51">
            <v>0</v>
          </cell>
          <cell r="J51">
            <v>0</v>
          </cell>
          <cell r="K51" t="str">
            <v xml:space="preserve">RECOMMENDATION IS TO CHECK  DURING BULK. FOR : CRACKING, PEELING, COLOR CURING, WASH TESTS  ON EACH STYLE /COLOR. </v>
          </cell>
        </row>
        <row r="52">
          <cell r="A52" t="str">
            <v>G</v>
          </cell>
          <cell r="E52" t="str">
            <v>QA</v>
          </cell>
          <cell r="G52" t="str">
            <v>G5</v>
          </cell>
          <cell r="H52">
            <v>0</v>
          </cell>
          <cell r="I52">
            <v>0</v>
          </cell>
          <cell r="J52">
            <v>0</v>
          </cell>
          <cell r="K52" t="str">
            <v>RECOMMENDATIONS IS TO HAVE WRITEN RECOMMENDATIONS FROM INTERLINING SUPPLIER FOR MACHINE SETTINGS (TEMP, TIME &amp; PRESSURE)) OR MACHINE SETTINGS DONE ON APPROVED  SAMPLE TESTED BY LAB. MACHINE SETTINGS MUST MATCH THOSE PARAMETERS.</v>
          </cell>
        </row>
        <row r="53">
          <cell r="A53" t="str">
            <v>G</v>
          </cell>
          <cell r="E53" t="str">
            <v>QA</v>
          </cell>
          <cell r="G53" t="str">
            <v>G6</v>
          </cell>
          <cell r="H53">
            <v>0</v>
          </cell>
          <cell r="I53">
            <v>0</v>
          </cell>
          <cell r="J53">
            <v>0</v>
          </cell>
          <cell r="K53" t="str">
            <v>RECOMMENDATION IS TO  CHECK DAILY : MACHINE ACTUAL TEMP, TIME, PRESSURE &amp; KEEP RECORDS OF ACTUAL VRS  RECOMMENDED PARAMETERS. FOR FUSING, DO BONDING PULL TEST AS WELL.</v>
          </cell>
        </row>
        <row r="54">
          <cell r="A54" t="str">
            <v>G</v>
          </cell>
          <cell r="E54" t="str">
            <v>QA</v>
          </cell>
          <cell r="G54" t="str">
            <v>G7</v>
          </cell>
          <cell r="H54">
            <v>0</v>
          </cell>
          <cell r="I54">
            <v>0</v>
          </cell>
          <cell r="J54">
            <v>0</v>
          </cell>
          <cell r="K54" t="str">
            <v>RECOMMENDATION IS TO CHECK FOR DEFECTS, KEEPING DAILY UPDATED REPORT OF PCS CHECKED &amp; DEFECTS FOUND. USE MIN 1,000 LUX ILLUMINATION.</v>
          </cell>
        </row>
        <row r="55">
          <cell r="A55" t="str">
            <v>G</v>
          </cell>
          <cell r="E55" t="str">
            <v>QA</v>
          </cell>
          <cell r="G55" t="str">
            <v>G8</v>
          </cell>
          <cell r="H55">
            <v>0</v>
          </cell>
          <cell r="I55">
            <v>0</v>
          </cell>
          <cell r="J55">
            <v>0</v>
          </cell>
          <cell r="K55" t="str">
            <v>RECOMMENDATION IS TO CHECK HT PLACEMENT BY USING AN APPROVED (WITH DATE, SIGNATURE &amp; CHOP)  TEMPLATE.</v>
          </cell>
        </row>
        <row r="56">
          <cell r="A56" t="str">
            <v>G</v>
          </cell>
          <cell r="E56" t="str">
            <v>QA</v>
          </cell>
          <cell r="F56" t="str">
            <v>OK</v>
          </cell>
          <cell r="G56" t="str">
            <v>G9</v>
          </cell>
          <cell r="H56">
            <v>4.6153846153846149E-3</v>
          </cell>
          <cell r="I56">
            <v>4.6153846153846149E-3</v>
          </cell>
          <cell r="J56">
            <v>1</v>
          </cell>
          <cell r="K56" t="str">
            <v>RECOMMENDATION IS TO HAVE VF APPROVED (WITH DATE, SIGNATURE &amp; CHOP) EMBROIDERY SAMPLE AT EMBROIDERY SECTION FOR EACH DESIGN/COLOR</v>
          </cell>
        </row>
        <row r="57">
          <cell r="A57" t="str">
            <v>G</v>
          </cell>
          <cell r="E57" t="str">
            <v>QA</v>
          </cell>
          <cell r="G57" t="str">
            <v>G10</v>
          </cell>
          <cell r="H57">
            <v>4.6153846153846149E-3</v>
          </cell>
          <cell r="I57">
            <v>4.6153846153846149E-3</v>
          </cell>
          <cell r="J57">
            <v>1</v>
          </cell>
          <cell r="K57" t="str">
            <v>RECOMMENDATION IS TO CHECK FOR DEFECTS, KEEPING DAILY UPDATED REPORT OF PCS CHECKED &amp; DEFECTS FOUND. USE MIN 1,000 LUX ILLUMINATION.</v>
          </cell>
        </row>
        <row r="58">
          <cell r="A58" t="str">
            <v>G</v>
          </cell>
          <cell r="E58" t="str">
            <v>QA</v>
          </cell>
          <cell r="G58" t="str">
            <v>G11</v>
          </cell>
          <cell r="H58">
            <v>4.6153846153846149E-3</v>
          </cell>
          <cell r="I58">
            <v>4.6153846153846149E-3</v>
          </cell>
          <cell r="J58">
            <v>1</v>
          </cell>
          <cell r="K58" t="str">
            <v>RECOMMENDATION IS TO CHECK EMBROIDERY SIZE &amp; LOCATION PER SIZE USING AN APPROVED (WITH DATE, SIGNATURE &amp; CHOP) TEMPLATE.</v>
          </cell>
        </row>
        <row r="59">
          <cell r="A59" t="str">
            <v>G</v>
          </cell>
          <cell r="E59" t="str">
            <v>QA</v>
          </cell>
          <cell r="G59" t="str">
            <v>G12</v>
          </cell>
          <cell r="H59">
            <v>4.6153846153846149E-3</v>
          </cell>
          <cell r="I59">
            <v>4.6153846153846149E-3</v>
          </cell>
          <cell r="J59">
            <v>1</v>
          </cell>
          <cell r="K59" t="str">
            <v>RECCOMENDATION IS TO FOLLOW THREAD SIZE FOR NEEDLE &amp; BOBBIN IN SEWING &amp; QUILTIN MACHINES ACCORDING TO BOM</v>
          </cell>
        </row>
        <row r="60">
          <cell r="A60" t="str">
            <v>G</v>
          </cell>
          <cell r="E60" t="str">
            <v>QA</v>
          </cell>
          <cell r="G60" t="str">
            <v>G13</v>
          </cell>
          <cell r="H60">
            <v>4.6153846153846149E-3</v>
          </cell>
          <cell r="I60">
            <v>4.6153846153846149E-3</v>
          </cell>
          <cell r="J60">
            <v>1</v>
          </cell>
          <cell r="K60" t="str">
            <v>RECCOMENDATION IS TO CHECK SPI &amp; STITCH TENSION WITH DIGITAL GAUGE 2 TIMES/DAY, KEEP RECORDS.</v>
          </cell>
        </row>
        <row r="61">
          <cell r="A61" t="str">
            <v>G</v>
          </cell>
          <cell r="E61" t="str">
            <v>QA</v>
          </cell>
          <cell r="G61" t="str">
            <v>G14</v>
          </cell>
          <cell r="H61">
            <v>4.6153846153846149E-3</v>
          </cell>
          <cell r="I61">
            <v>4.6153846153846149E-3</v>
          </cell>
          <cell r="J61">
            <v>1</v>
          </cell>
          <cell r="K61" t="str">
            <v>RECCOMENDATION IS TO CHANGE  QUILTING NEEDLES CHANGED EVERY 2 HOURS &amp; KEEP RECORDS</v>
          </cell>
        </row>
        <row r="62">
          <cell r="A62" t="str">
            <v>H</v>
          </cell>
          <cell r="E62" t="str">
            <v>QA</v>
          </cell>
          <cell r="G62" t="str">
            <v>H1</v>
          </cell>
          <cell r="H62">
            <v>0</v>
          </cell>
          <cell r="I62">
            <v>0</v>
          </cell>
          <cell r="J62">
            <v>0</v>
          </cell>
          <cell r="K62" t="str">
            <v>RECOMMENDATION IS TO CREATE A DIFFERENT SKETCH FOR LIGHT &amp; DARK COLORS TO ACHIEVE SAME HAND FEEL.</v>
          </cell>
        </row>
        <row r="63">
          <cell r="A63" t="str">
            <v>H</v>
          </cell>
          <cell r="E63" t="str">
            <v>QA</v>
          </cell>
          <cell r="G63" t="str">
            <v>H2</v>
          </cell>
          <cell r="H63">
            <v>0</v>
          </cell>
          <cell r="I63">
            <v>0</v>
          </cell>
          <cell r="J63">
            <v>0</v>
          </cell>
          <cell r="K63" t="str">
            <v>RECOMMENDATION IS TO KEEP AVAILABLE SKETCH CONFIRMATION, WITH APPROVED SAMPLE &amp; SIGNED REPORT.</v>
          </cell>
        </row>
        <row r="64">
          <cell r="A64" t="str">
            <v>H</v>
          </cell>
          <cell r="E64" t="str">
            <v>QA</v>
          </cell>
          <cell r="G64" t="str">
            <v>H3</v>
          </cell>
          <cell r="H64">
            <v>0</v>
          </cell>
          <cell r="I64">
            <v>0</v>
          </cell>
          <cell r="J64">
            <v>0</v>
          </cell>
          <cell r="K64" t="str">
            <v>RECOMMENDATION IS TO PUT A PARTITION TO KEEP MACHINES KNITTING DARK/LIGHT  COLORS  SEPARATED TO AVOID YARN CONTAMINATION.</v>
          </cell>
        </row>
        <row r="65">
          <cell r="A65" t="str">
            <v>H</v>
          </cell>
          <cell r="E65" t="str">
            <v>QA</v>
          </cell>
          <cell r="G65" t="str">
            <v>H4</v>
          </cell>
          <cell r="H65">
            <v>0</v>
          </cell>
          <cell r="I65">
            <v>0</v>
          </cell>
          <cell r="J65">
            <v>0</v>
          </cell>
          <cell r="K65" t="str">
            <v>RECOMMENDATION IS TO KEEP RECORD OF YARN IN / OUT BY LOT#. ALSO 1 OPERATOR SHOULD NOT HANDLE MORE THAN 10 AUTOMATIC MACHINES.</v>
          </cell>
        </row>
        <row r="66">
          <cell r="A66" t="str">
            <v>H</v>
          </cell>
          <cell r="E66" t="str">
            <v>QA</v>
          </cell>
          <cell r="G66" t="str">
            <v>H5</v>
          </cell>
          <cell r="H66">
            <v>0</v>
          </cell>
          <cell r="I66">
            <v>0</v>
          </cell>
          <cell r="J66">
            <v>0</v>
          </cell>
          <cell r="K66" t="str">
            <v>RECOMMENDATION IS TO HAVE A FORMAL PROCEDURE TO REPLACE  KNIT PANNELS TO AVOID SHADING ISSUES.</v>
          </cell>
        </row>
        <row r="67">
          <cell r="A67" t="str">
            <v>H</v>
          </cell>
          <cell r="E67" t="str">
            <v>QA</v>
          </cell>
          <cell r="G67" t="str">
            <v>H6</v>
          </cell>
          <cell r="H67">
            <v>0</v>
          </cell>
          <cell r="I67">
            <v>0</v>
          </cell>
          <cell r="J67">
            <v>0</v>
          </cell>
          <cell r="K67" t="str">
            <v>RECOMMENDATION IS TO CHECK FOR KNITTING DEFECTS, USING AQL KEEPING DAILY UPDATED REPORT OF PCS CHECKED &amp; DEFECTS FOUND.  USE MIN 1,000 LUX ILUMINATION.</v>
          </cell>
        </row>
        <row r="68">
          <cell r="A68" t="str">
            <v>H</v>
          </cell>
          <cell r="E68" t="str">
            <v>QA</v>
          </cell>
          <cell r="G68" t="str">
            <v>H7</v>
          </cell>
          <cell r="H68">
            <v>0</v>
          </cell>
          <cell r="I68">
            <v>0</v>
          </cell>
          <cell r="J68">
            <v>0</v>
          </cell>
          <cell r="K68" t="str">
            <v>RECOMMENDATION IS TO GIVE LINKING SKETCH TO LINKING WORKER.</v>
          </cell>
        </row>
        <row r="69">
          <cell r="A69" t="str">
            <v>H</v>
          </cell>
          <cell r="E69" t="str">
            <v>QA</v>
          </cell>
          <cell r="G69" t="str">
            <v>H8</v>
          </cell>
          <cell r="H69">
            <v>0</v>
          </cell>
          <cell r="I69">
            <v>0</v>
          </cell>
          <cell r="J69">
            <v>0</v>
          </cell>
          <cell r="K69" t="str">
            <v>RECOMMENDATION IS TO CHECK DAILY THAT NEEDLE CONDITION IS PERFECTLY SYMETRICAL IN LINKING MACHINE, NO WIDE GAPS.</v>
          </cell>
        </row>
        <row r="70">
          <cell r="A70" t="str">
            <v>H</v>
          </cell>
          <cell r="E70" t="str">
            <v>QA</v>
          </cell>
          <cell r="G70" t="str">
            <v>H9</v>
          </cell>
          <cell r="H70">
            <v>0</v>
          </cell>
          <cell r="I70">
            <v>0</v>
          </cell>
          <cell r="J70">
            <v>0</v>
          </cell>
          <cell r="K70" t="str">
            <v>RECOMMENDATION IS TO CHECK FOR DEFECTS, KEEPING DAILY UPDATED REPORT OF PCS CHECKED &amp; DEFECTS FOUND. USE MIN 1,000 LUX ILLUMINATION.</v>
          </cell>
        </row>
        <row r="71">
          <cell r="A71" t="str">
            <v>H</v>
          </cell>
          <cell r="E71" t="str">
            <v>QI</v>
          </cell>
          <cell r="G71" t="str">
            <v>H10</v>
          </cell>
          <cell r="H71">
            <v>0</v>
          </cell>
          <cell r="I71">
            <v>0</v>
          </cell>
          <cell r="J71">
            <v>0</v>
          </cell>
          <cell r="K71" t="str">
            <v>RECOMMENDATION IS TO IMPLEMENT   5'S METHOD AS A BASE TO IMPLEMENT  QUALITY IMPROVEMENT/LEAN PROCEDURES. MUST  DO  WEEKLY 5'S AUDITS, GIVE  &amp; POST RATING TO EACH AREA. DO FORMAL TRAINING &amp; KEEP TRAINING RECORDS.</v>
          </cell>
        </row>
        <row r="72">
          <cell r="A72" t="str">
            <v>H</v>
          </cell>
          <cell r="E72" t="str">
            <v>QI</v>
          </cell>
          <cell r="G72" t="str">
            <v>H11</v>
          </cell>
          <cell r="H72">
            <v>0</v>
          </cell>
          <cell r="I72">
            <v>0</v>
          </cell>
          <cell r="J72">
            <v>0</v>
          </cell>
          <cell r="K72" t="str">
            <v>RECOMMENDATION IS TO USE STATISTICAL DATA, TO ANALYZE QUALITY RESULTS &amp; MAKE DECISIONS TO IMPROVE IT.  REVIEW RESULTS &amp; PLAN  FUTURE  CORRECTIVE ACTIONS BASED ON ROOT CAUSE ANALYSIS   (SHOULD BE VISIBLE IN PRODUCTION LINES) , PARETO GRAPH  AND FOLLOW UP ON TOP 5 DEFECTS. COMPARE RESULTS BY DAY, WEEK, MONTH … AND BY LINE, SECTION, DEPMT,etc.. KEEP ALSO TRACK OF  PROGRESS OF AT LEAST 1 MOST RECURRING DEFECT BEING IMPROVED.</v>
          </cell>
        </row>
        <row r="73">
          <cell r="A73" t="str">
            <v>I</v>
          </cell>
          <cell r="E73" t="str">
            <v>QA</v>
          </cell>
          <cell r="G73" t="str">
            <v>I1</v>
          </cell>
          <cell r="H73">
            <v>0</v>
          </cell>
          <cell r="I73">
            <v>0</v>
          </cell>
          <cell r="J73">
            <v>0</v>
          </cell>
          <cell r="K73" t="str">
            <v>RECOMMENDATION IS TO DISPLAY VISUAL AND RELEVANT  "GO BY" (EXACT APPEARANCE AS IN EACH STEP / OPERATION )  SAMPLES  (MUST BE SIGNED &amp; HAVE DATE) FOR ALL OPERATIONS OF DRY PROCESS.</v>
          </cell>
        </row>
        <row r="74">
          <cell r="A74" t="str">
            <v>I</v>
          </cell>
          <cell r="E74" t="str">
            <v>QA</v>
          </cell>
          <cell r="G74" t="str">
            <v>I2</v>
          </cell>
          <cell r="H74">
            <v>0</v>
          </cell>
          <cell r="I74">
            <v>0</v>
          </cell>
          <cell r="J74">
            <v>0</v>
          </cell>
          <cell r="K74" t="str">
            <v>RECOMMENDATION IS TO CHECK FOR DEFECTS, KEEPING DAILY UPDATED REPORT OF PCS CHECKED &amp; DEFECTS FOUND. USE MIN 1,000 LUX ILLUMINATION.</v>
          </cell>
        </row>
        <row r="75">
          <cell r="A75" t="str">
            <v>I</v>
          </cell>
          <cell r="E75" t="str">
            <v>QI</v>
          </cell>
          <cell r="G75" t="str">
            <v>I3</v>
          </cell>
          <cell r="H75">
            <v>0</v>
          </cell>
          <cell r="I75">
            <v>0</v>
          </cell>
          <cell r="J75">
            <v>0</v>
          </cell>
          <cell r="K75" t="str">
            <v>RECOMMENDATION IS TO USE STATISTICAL DATA, TO ANALYZE QUALITY RESULTS &amp; MAKE DECISIONS TO IMPROVE IT.  REVIEW RESULTS &amp; PLAN  FUTURE  CORRECTIVE ACTIONS BASED ON ROOT CAUSE ANALYSIS   (SHOULD BE VISIBLE IN PRODUCTION LINES) , PARETO GRAPH  AND FOLLOW UP ON TOP 5 DEFECTS. COMPARE RESULTS BY DAY, WEEK, MONTH … AND BY LINE, SECTION, DEPMT,etc.. KEEP ALSO TRACK OF  PROGRESS OF AT LEAST 1 MOST RECURRING DEFECT BEING IMPROVED.</v>
          </cell>
        </row>
        <row r="76">
          <cell r="A76" t="str">
            <v>J</v>
          </cell>
          <cell r="E76" t="str">
            <v>QA</v>
          </cell>
          <cell r="G76" t="str">
            <v>J1</v>
          </cell>
          <cell r="H76">
            <v>0</v>
          </cell>
          <cell r="I76">
            <v>0</v>
          </cell>
          <cell r="J76">
            <v>0</v>
          </cell>
          <cell r="K76" t="str">
            <v>RECOMMENDATION IS, (when Laundry  is a different company than sewing unit)TO CHECK FOR  DEFECTS AS SOON AS GARMENTS ARE RECEIVED IN LAUNDRY AREA, USE AQL &amp; KEEPING DAILY UPDATED REPORT OF PCS CHECKED &amp; DEFECTS FOUND.  USE MIN 1,000 LUX ILUMINATION.</v>
          </cell>
        </row>
        <row r="77">
          <cell r="A77" t="str">
            <v>J</v>
          </cell>
          <cell r="E77" t="str">
            <v>QA</v>
          </cell>
          <cell r="G77" t="str">
            <v>J2</v>
          </cell>
          <cell r="H77">
            <v>0</v>
          </cell>
          <cell r="I77">
            <v>0</v>
          </cell>
          <cell r="J77">
            <v>0</v>
          </cell>
          <cell r="K77" t="str">
            <v>RECOMMENDATION IS TO ALWAYS WEIGHT EACH LOAD OF GARMENTS BEFORE LOADING THEM TO THE WASHING TUB TO AVOID SHADE VARIATIONS &amp; KEEP RECORDS OF EACH LOAD. WIEGHT OF LOAD MUST MATCH WASHING RECIPE.</v>
          </cell>
        </row>
        <row r="78">
          <cell r="A78" t="str">
            <v>J</v>
          </cell>
          <cell r="E78" t="str">
            <v>QA</v>
          </cell>
          <cell r="G78" t="str">
            <v>J3</v>
          </cell>
          <cell r="H78">
            <v>0</v>
          </cell>
          <cell r="I78">
            <v>0</v>
          </cell>
          <cell r="J78">
            <v>0</v>
          </cell>
          <cell r="K78" t="str">
            <v>RECOMMENDATION IS TO ALWAYS RUN 1ST BATCH TRIAL AND REVIEW IT IN DETAIL, FOR MEASUREMENTS, APPEARANCE  &amp; SHADE, BEFORE RUNNING BULK PRODUCTION. MAKE DETAILED REPORT.</v>
          </cell>
        </row>
        <row r="79">
          <cell r="A79" t="str">
            <v>J</v>
          </cell>
          <cell r="E79" t="str">
            <v>QA</v>
          </cell>
          <cell r="G79" t="str">
            <v>J4</v>
          </cell>
          <cell r="H79">
            <v>0</v>
          </cell>
          <cell r="I79">
            <v>0</v>
          </cell>
          <cell r="J79">
            <v>0</v>
          </cell>
          <cell r="K79" t="str">
            <v>RECOMMENDATION IS TO HAVE THE WASHING RECIPE POSTED NEXT TO EACH WASHING MACHINE &amp; HAVE OPERATOR  AND / OR SUPERVISOR TO SIGN OFF EACH ORDER</v>
          </cell>
        </row>
        <row r="80">
          <cell r="A80" t="str">
            <v>J</v>
          </cell>
          <cell r="E80" t="str">
            <v>QA</v>
          </cell>
          <cell r="G80" t="str">
            <v>J5</v>
          </cell>
          <cell r="H80">
            <v>0</v>
          </cell>
          <cell r="I80">
            <v>0</v>
          </cell>
          <cell r="J80">
            <v>0</v>
          </cell>
          <cell r="K80" t="str">
            <v>RECOMMENDATION IS TO  HAVE WASHING &amp; DRYING MACHINES IN GOOD FUNCTIONING CONDITIONS AND SET THEM TO  MATCH SPEC ON WASH / DRY RECIPE.</v>
          </cell>
        </row>
        <row r="81">
          <cell r="A81" t="str">
            <v>J</v>
          </cell>
          <cell r="E81" t="str">
            <v>QA</v>
          </cell>
          <cell r="G81" t="str">
            <v>J6</v>
          </cell>
          <cell r="H81">
            <v>0</v>
          </cell>
          <cell r="I81">
            <v>0</v>
          </cell>
          <cell r="J81">
            <v>0</v>
          </cell>
          <cell r="K81" t="str">
            <v>RECOMMENDATION IS TO USE SOUND OR LIGHT ALARMS TO ALERT OF START / END   OF WASH CYCLES</v>
          </cell>
        </row>
        <row r="82">
          <cell r="A82" t="str">
            <v>J</v>
          </cell>
          <cell r="E82" t="str">
            <v>QA</v>
          </cell>
          <cell r="G82" t="str">
            <v>J7</v>
          </cell>
          <cell r="H82">
            <v>0</v>
          </cell>
          <cell r="I82">
            <v>0</v>
          </cell>
          <cell r="J82">
            <v>0</v>
          </cell>
          <cell r="K82" t="str">
            <v>RECOMMENDATION IS TO CHECK COLOR SHADE &amp; WASH APPEARANCE IN PROCESS BEFORE UNLOADING  GARMENTS OUT OF THE WASHING TUB.</v>
          </cell>
        </row>
        <row r="83">
          <cell r="A83" t="str">
            <v>J</v>
          </cell>
          <cell r="E83" t="str">
            <v>QA</v>
          </cell>
          <cell r="G83" t="str">
            <v>J8</v>
          </cell>
          <cell r="H83">
            <v>0</v>
          </cell>
          <cell r="I83">
            <v>0</v>
          </cell>
          <cell r="J83">
            <v>0</v>
          </cell>
          <cell r="K83" t="str">
            <v xml:space="preserve">RECOMMENDATION IS TO USE  LAMP INSIDE SWEATER TO CHECK FOR KNITTING HOLES. DO THIS IN DARK AREA </v>
          </cell>
        </row>
        <row r="84">
          <cell r="A84" t="str">
            <v>J</v>
          </cell>
          <cell r="E84" t="str">
            <v>QA</v>
          </cell>
          <cell r="G84" t="str">
            <v>J9</v>
          </cell>
          <cell r="H84">
            <v>0</v>
          </cell>
          <cell r="I84">
            <v>0</v>
          </cell>
          <cell r="J84">
            <v>0</v>
          </cell>
          <cell r="K84" t="str">
            <v>RECOMMENDATION IS TO ALWAYS HAVE APPROVED (DATE, SIGN &amp; CHOP) SAMPLE AVAILABLE FOR EACH STYLE/COLOR. KEEP THEM IN SECURE PLACE ISOLATED FROM DIRECT SUNLIGHT &amp; DUST.</v>
          </cell>
        </row>
        <row r="85">
          <cell r="A85" t="str">
            <v>J</v>
          </cell>
          <cell r="E85" t="str">
            <v>QA</v>
          </cell>
          <cell r="G85" t="str">
            <v>J10</v>
          </cell>
          <cell r="H85">
            <v>0</v>
          </cell>
          <cell r="I85">
            <v>0</v>
          </cell>
          <cell r="J85">
            <v>0</v>
          </cell>
          <cell r="K85" t="str">
            <v>RECOMMENDATION IS TO CHECK SHADE AS PER VF APPROVED SHADE BAND &amp; USING GOOD ILLUMINTAION (min. 1,000 LUX)  &amp; MUST USE VF APPROVED LIGHT SOURCE D65 / CWF</v>
          </cell>
        </row>
        <row r="86">
          <cell r="A86" t="str">
            <v>J</v>
          </cell>
          <cell r="E86" t="str">
            <v>QA</v>
          </cell>
          <cell r="G86" t="str">
            <v>J11</v>
          </cell>
          <cell r="H86">
            <v>0</v>
          </cell>
          <cell r="I86">
            <v>0</v>
          </cell>
          <cell r="J86">
            <v>0</v>
          </cell>
          <cell r="K86" t="str">
            <v>RECOMMENDATION IS TO CHECK WASHED GARMENTS USING AQL OR OTHER SAMPLING METHOD  , KEEPING DAILY UPDATED REPORT OF PCS CHECKED &amp; DEFECTS FOUND.  USE MIN 1,000 LUX ILUMINATION.</v>
          </cell>
        </row>
        <row r="87">
          <cell r="A87" t="str">
            <v>J</v>
          </cell>
          <cell r="E87" t="str">
            <v>QA</v>
          </cell>
          <cell r="G87" t="str">
            <v>J12</v>
          </cell>
          <cell r="H87">
            <v>0</v>
          </cell>
          <cell r="I87">
            <v>0</v>
          </cell>
          <cell r="J87">
            <v>0</v>
          </cell>
          <cell r="K87" t="str">
            <v>RECOMMENDATION IS TO  CHECK KEY MEASUREMENTS BEFORE SENDING TO FINISHING DEPMNT,   USE METAL RULER FOR WAIST AND METAL OR CALIBRATED TAPE MEASUREMENT FOR OTHER MEASUREMENTS. KEEP UPDATED REPORTS</v>
          </cell>
        </row>
        <row r="88">
          <cell r="A88" t="str">
            <v>J</v>
          </cell>
          <cell r="E88" t="str">
            <v>QA</v>
          </cell>
          <cell r="G88" t="str">
            <v>J13</v>
          </cell>
          <cell r="H88">
            <v>0</v>
          </cell>
          <cell r="I88">
            <v>0</v>
          </cell>
          <cell r="J88">
            <v>0</v>
          </cell>
          <cell r="K88" t="str">
            <v>RECOMMENDATION IS TO MAKE A PREVENTIVE MAINTENANCE SCHEDULE (PLAN) FOR EACH &amp; EVERY MACHINE, LIST ACTIVITIES TO DO IN THE EACH WEEK / MONTH / YEAR. KEEP ACTUAL vrs PLANED.</v>
          </cell>
        </row>
        <row r="89">
          <cell r="A89" t="str">
            <v>J</v>
          </cell>
          <cell r="E89" t="str">
            <v>QA</v>
          </cell>
          <cell r="G89" t="str">
            <v>J14</v>
          </cell>
          <cell r="H89">
            <v>0</v>
          </cell>
          <cell r="I89">
            <v>0</v>
          </cell>
          <cell r="J89">
            <v>0</v>
          </cell>
          <cell r="K89" t="str">
            <v>RECOMMENDATION IS TO KEEP A LOG OF CHEMICALS DISPATCHED TO BULK PRODUCTION, QUANTITY &amp; CHEMICALS SPECS MUST MATCH WASHING RECIPE. SCALES MUST BE CALIBRATED FOR ACCURACY. ALL CONTAINERS, BIG &amp; SMALL MUST BE PROPERLY LABELED TO INDICATE WHICH CHECMICAL THEY CONTAIN. RSL REPORTS MUST BE HANDILY AVAILABLE ON SITE FOR EACH CHEMICAL.</v>
          </cell>
        </row>
        <row r="90">
          <cell r="A90" t="str">
            <v>J</v>
          </cell>
          <cell r="E90" t="str">
            <v>QI</v>
          </cell>
          <cell r="G90" t="str">
            <v>J15</v>
          </cell>
          <cell r="H90">
            <v>0</v>
          </cell>
          <cell r="I90">
            <v>0</v>
          </cell>
          <cell r="J90">
            <v>0</v>
          </cell>
          <cell r="K90" t="str">
            <v>RECOMMENDATION IS TO IMPLEMENT   5'S METHOD AS A BASE TO IMPLEMENT  QUALITY IMPROVEMENT/LEAN PROCEDURES. MUST  DO  WEEKLY 5'S AUDITS, GIVE  &amp; POST RATING TO EACH AREA. DO FORMAL TRAINING &amp; KEEP TRAINING RECORDS.</v>
          </cell>
        </row>
        <row r="91">
          <cell r="A91" t="str">
            <v>J</v>
          </cell>
          <cell r="E91" t="str">
            <v>QI</v>
          </cell>
          <cell r="G91" t="str">
            <v>J16</v>
          </cell>
          <cell r="H91">
            <v>0</v>
          </cell>
          <cell r="I91">
            <v>0</v>
          </cell>
          <cell r="J91">
            <v>0</v>
          </cell>
          <cell r="K91" t="str">
            <v>RECOMMENDATION IS TO USE STATISTICAL DATA, TO ANALYZE QUALITY RESULTS &amp; MAKE DECISIONS TO IMPROVE IT.  REVIEW RESULTS &amp; PLAN  FUTURE  CORRECTIVE ACTIONS BASED ON ROOT CAUSE ANALYSIS   (SHOULD BE VISIBLE IN PRODUCTION LINES) , PARETO GRAPH  AND FOLLOW UP ON TOP 5 DEFECTS. COMPARE RESULTS BY DAY, WEEK, MONTH … AND BY LINE, SECTION, DEPMT,etc.. KEEP ALSO TRACK OF  PROGRESS OF AT LEAST 1 MOST RECURRING DEFECT BEING IMPROVED.</v>
          </cell>
        </row>
        <row r="92">
          <cell r="A92" t="str">
            <v>K</v>
          </cell>
          <cell r="E92" t="str">
            <v>QA</v>
          </cell>
          <cell r="G92" t="str">
            <v>K1</v>
          </cell>
          <cell r="H92">
            <v>4.6153846153846149E-3</v>
          </cell>
          <cell r="I92">
            <v>4.6153846153846149E-3</v>
          </cell>
          <cell r="J92">
            <v>1</v>
          </cell>
          <cell r="K92" t="str">
            <v>RECOMMENDATION IS TO HAVE   AN APPROVED (DATE, SIGN &amp; CHOP) FOLDED &amp; PACKED SAMPLE AVAILABLE IN PACKING AREA, FOR EACH STYLE.</v>
          </cell>
        </row>
        <row r="93">
          <cell r="A93" t="str">
            <v>K</v>
          </cell>
          <cell r="E93" t="str">
            <v>QA</v>
          </cell>
          <cell r="G93" t="str">
            <v>K2</v>
          </cell>
          <cell r="H93">
            <v>4.6153846153846149E-3</v>
          </cell>
          <cell r="I93">
            <v>4.6153846153846149E-3</v>
          </cell>
          <cell r="J93">
            <v>1</v>
          </cell>
          <cell r="K93" t="str">
            <v>RECOMMENDATION IS TO  GIVE CLEAR WRITTEN INSTRUCTIONS AS HOW TO ATTACH CORRECT HANG TAG, UPC, STICKERS, ETC..  WITH CLEAR VISUAL INSTRUCTIONS, FINISHING TRIM CARD, SOP,ETC…</v>
          </cell>
        </row>
        <row r="94">
          <cell r="A94" t="str">
            <v>K</v>
          </cell>
          <cell r="E94" t="str">
            <v>QA</v>
          </cell>
          <cell r="G94" t="str">
            <v>K3</v>
          </cell>
          <cell r="H94">
            <v>4.6153846153846149E-3</v>
          </cell>
          <cell r="I94">
            <v>4.6153846153846149E-3</v>
          </cell>
          <cell r="J94">
            <v>1</v>
          </cell>
          <cell r="K94" t="str">
            <v>RECOMMENDATION IS TO HAVE CARTON  PACKING VISUAL INSTRUCTIONS, FOR EACH  DESTINATION  PER BRAND IN PACKING/SHIPPING AREA.</v>
          </cell>
        </row>
        <row r="95">
          <cell r="A95" t="str">
            <v>K</v>
          </cell>
          <cell r="E95" t="str">
            <v>QA</v>
          </cell>
          <cell r="G95" t="str">
            <v>K4</v>
          </cell>
          <cell r="H95">
            <v>4.6153846153846149E-3</v>
          </cell>
          <cell r="I95">
            <v>4.6153846153846149E-3</v>
          </cell>
          <cell r="J95">
            <v>1</v>
          </cell>
          <cell r="K95" t="str">
            <v>RECOMMENDATION IS TO ESTABLISH AN INTERNAL AUDIT SYSTEM, BASED ON AQL, TO CONTROL THAT ALL PO's HAVE PASSED BEFORE SENDING THEM TO THE FINISHED GOODS WAREHOUSE.</v>
          </cell>
        </row>
        <row r="96">
          <cell r="A96" t="str">
            <v>K</v>
          </cell>
          <cell r="E96" t="str">
            <v>QA</v>
          </cell>
          <cell r="G96" t="str">
            <v>K5</v>
          </cell>
          <cell r="H96">
            <v>4.6153846153846149E-3</v>
          </cell>
          <cell r="I96">
            <v>4.6153846153846149E-3</v>
          </cell>
          <cell r="J96">
            <v>1</v>
          </cell>
          <cell r="K96" t="str">
            <v>RECOMMENDATION IS TO CHECK  PIECES BY MINIMUM AQL BEFORE PACKING AND KEEP DEFECTS UPDATED  REPORTS.</v>
          </cell>
        </row>
        <row r="97">
          <cell r="A97" t="str">
            <v>K</v>
          </cell>
          <cell r="E97" t="str">
            <v>QA</v>
          </cell>
          <cell r="G97" t="str">
            <v>K6</v>
          </cell>
          <cell r="H97">
            <v>4.6153846153846149E-3</v>
          </cell>
          <cell r="I97">
            <v>4.6153846153846149E-3</v>
          </cell>
          <cell r="J97">
            <v>1</v>
          </cell>
          <cell r="K97" t="str">
            <v>RECOMMENDATION IS TO HAVE GOOD LIGHTING CONDITIONS (MIN 1,000 LUX AT INSPECTION TABLES) AT ALL AREAS OF FINISHING DEPMNT. WIP SHOULD NOT BE EXCESIVELY BACKLOGGED AND SHOULD BE PLACED IN SHELVES / TROLLEYS WITHOUT CRUSHING OR SMASHING IRONED ITEMS. TRANSIT AREAS SHOULD BE FREE.</v>
          </cell>
        </row>
        <row r="98">
          <cell r="A98" t="str">
            <v>K</v>
          </cell>
          <cell r="E98" t="str">
            <v>QA</v>
          </cell>
          <cell r="G98" t="str">
            <v>K7</v>
          </cell>
          <cell r="H98">
            <v>0</v>
          </cell>
          <cell r="I98">
            <v>0</v>
          </cell>
          <cell r="J98">
            <v>0</v>
          </cell>
          <cell r="K98" t="str">
            <v>RECOMMENDATION IS TO KEEP ALWAYS IRON BOARDS IN HORIZONTAL FLAT POSITION WHENEVER NOT BEING USED OR  IN STORAGE.</v>
          </cell>
        </row>
        <row r="99">
          <cell r="A99" t="str">
            <v>K</v>
          </cell>
          <cell r="E99" t="str">
            <v>QA</v>
          </cell>
          <cell r="G99" t="str">
            <v>K8</v>
          </cell>
          <cell r="H99">
            <v>0</v>
          </cell>
          <cell r="I99">
            <v>0</v>
          </cell>
          <cell r="J99">
            <v>0</v>
          </cell>
          <cell r="K99" t="str">
            <v xml:space="preserve">RECOMMENDATION IS TO  SET UP SNAP MACHINE FOLLOWING PINCH SETTING RECOMMENDATION FROM SNAP MANUFACTURER. </v>
          </cell>
        </row>
        <row r="100">
          <cell r="A100" t="str">
            <v>K</v>
          </cell>
          <cell r="E100" t="str">
            <v>QA</v>
          </cell>
          <cell r="G100" t="str">
            <v>K9</v>
          </cell>
          <cell r="H100">
            <v>4.6153846153846149E-3</v>
          </cell>
          <cell r="I100">
            <v>4.6153846153846149E-3</v>
          </cell>
          <cell r="J100">
            <v>1</v>
          </cell>
          <cell r="K100" t="str">
            <v>RECOMMENDATION IS TO IMPLEMENT SCAN  (INDIVIDUAL PCS) &amp; PACK  SYSTEM.</v>
          </cell>
        </row>
        <row r="101">
          <cell r="A101" t="str">
            <v>K</v>
          </cell>
          <cell r="E101" t="str">
            <v>QA</v>
          </cell>
          <cell r="G101" t="str">
            <v>K10</v>
          </cell>
          <cell r="H101">
            <v>4.6153846153846149E-3</v>
          </cell>
          <cell r="I101">
            <v>4.6153846153846149E-3</v>
          </cell>
          <cell r="J101">
            <v>1</v>
          </cell>
          <cell r="K101" t="str">
            <v xml:space="preserve">RECOMMENDATION IS TO TAKE MEASUREMENTS IN PROCESS ON CRITICAL POINTS, USE METAL TAPE &amp; RULER &amp;  KEEP DAILY RECORD OF PCS  OUT OF TOLERANCE.  </v>
          </cell>
        </row>
        <row r="102">
          <cell r="A102" t="str">
            <v>K</v>
          </cell>
          <cell r="E102" t="str">
            <v>QA</v>
          </cell>
          <cell r="G102" t="str">
            <v>K11</v>
          </cell>
          <cell r="H102">
            <v>4.6153846153846149E-3</v>
          </cell>
          <cell r="I102">
            <v>4.6153846153846149E-3</v>
          </cell>
          <cell r="J102">
            <v>1</v>
          </cell>
          <cell r="K102" t="str">
            <v>RECOMMENDATION IS TO MAKE A PREVENTIVE MAINTENANCE SCHEDULE (PLAN) FOR EACH &amp; EVERY MACHINE, LIST ACTIVITIES TO DO IN THE EACH WEEK / MONTH / YEAR. KEEP ACTUAL vrs PLANED.</v>
          </cell>
        </row>
        <row r="103">
          <cell r="A103" t="str">
            <v>K</v>
          </cell>
          <cell r="E103" t="str">
            <v>QC</v>
          </cell>
          <cell r="F103">
            <v>12</v>
          </cell>
          <cell r="G103" t="str">
            <v>K12</v>
          </cell>
          <cell r="H103">
            <v>0.24</v>
          </cell>
          <cell r="I103">
            <v>0</v>
          </cell>
          <cell r="J103">
            <v>1</v>
          </cell>
          <cell r="K103" t="str">
            <v>RECOMMENDATION IS TO: IMPROVE  QUALITY SYSTEMS IMMEDIATELY, BECAUSE DURING PRIDE AUDIT, WHILE CHECKING 20 PCS SOME MAJOR DEFECTS WERE FOUND !</v>
          </cell>
        </row>
        <row r="104">
          <cell r="A104" t="str">
            <v>K</v>
          </cell>
          <cell r="E104" t="str">
            <v>QI</v>
          </cell>
          <cell r="G104" t="str">
            <v>K13</v>
          </cell>
          <cell r="H104">
            <v>2.3076923076923075E-2</v>
          </cell>
          <cell r="I104">
            <v>2.3076923076923075E-2</v>
          </cell>
          <cell r="J104">
            <v>1</v>
          </cell>
          <cell r="K104" t="str">
            <v>RECOMMENDATION IS TO IMPLEMENT   5'S METHOD AS A BASE TO IMPLEMENT  QUALITY IMPROVEMENT/LEAN PROCEDURES. MUST  DO  WEEKLY 5'S AUDITS, GIVE  &amp; POST RATING TO EACH AREA. DO FORMAL TRAINING &amp; KEEP TRAINING RECORDS.</v>
          </cell>
        </row>
        <row r="105">
          <cell r="A105" t="str">
            <v>K</v>
          </cell>
          <cell r="E105" t="str">
            <v>QI</v>
          </cell>
          <cell r="G105" t="str">
            <v>K14</v>
          </cell>
          <cell r="H105">
            <v>2.3076923076923075E-2</v>
          </cell>
          <cell r="I105">
            <v>2.3076923076923075E-2</v>
          </cell>
          <cell r="J105">
            <v>1</v>
          </cell>
          <cell r="K105" t="str">
            <v>RECOMMENDATION IS TO USE STATISTICAL DATA, TO ANALYZE QUALITY RESULTS &amp; MAKE DECISIONS TO IMPROVE IT.  REVIEW RESULTS &amp; PLAN  FUTURE  CORRECTIVE ACTIONS BASED ON ROOT CAUSE ANALYSIS   (SHOULD BE VISIBLE IN PRODUCTION LINES) , PARETO GRAPH  AND FOLLOW UP ON TOP 5 DEFECTS. COMPARE RESULTS BY DAY, WEEK, MONTH … AND BY LINE, SECTION, DEPMT,etc.. KEEP ALSO TRACK OF  PROGRESS OF AT LEAST 1 MOST RECURRING DEFECT BEING IMPROVED.</v>
          </cell>
        </row>
        <row r="106">
          <cell r="A106" t="str">
            <v>L</v>
          </cell>
          <cell r="E106" t="str">
            <v>QA</v>
          </cell>
          <cell r="G106" t="str">
            <v>L1</v>
          </cell>
          <cell r="H106">
            <v>4.6153846153846149E-3</v>
          </cell>
          <cell r="I106">
            <v>4.6153846153846149E-3</v>
          </cell>
          <cell r="J106">
            <v>1</v>
          </cell>
          <cell r="K106" t="str">
            <v>RECOMMENDATION IS TO ONLY USE LAB EQUIPMENT THAT IS IN GREAT CONDITION AND USE BY SOP AS INTERNATIONAL STANDARDS. LAB ROOM SHOULD BE IN CONTROLED TEMPERATURE &amp; HUMIDITY %.</v>
          </cell>
        </row>
        <row r="107">
          <cell r="A107" t="str">
            <v>L</v>
          </cell>
          <cell r="E107" t="str">
            <v>QA</v>
          </cell>
          <cell r="G107" t="str">
            <v>L2</v>
          </cell>
          <cell r="H107">
            <v>4.6153846153846149E-3</v>
          </cell>
          <cell r="I107">
            <v>4.6153846153846149E-3</v>
          </cell>
          <cell r="J107">
            <v>1</v>
          </cell>
          <cell r="K107" t="str">
            <v>RECOMMENDATION IS TO HAVE LAB EQUIPMENT CALIBRATED, BY 3RD PARTY REPUTED INSTITUTION, EVERY 12 MONTHS. GET CERTIFICATES.</v>
          </cell>
        </row>
        <row r="108">
          <cell r="A108" t="str">
            <v>L</v>
          </cell>
          <cell r="E108" t="str">
            <v>QA</v>
          </cell>
          <cell r="G108" t="str">
            <v>L3</v>
          </cell>
          <cell r="H108">
            <v>4.6153846153846149E-3</v>
          </cell>
          <cell r="I108">
            <v>4.6153846153846149E-3</v>
          </cell>
          <cell r="J108">
            <v>1</v>
          </cell>
          <cell r="K108" t="str">
            <v xml:space="preserve">RECOMMENDATION IS TO HAVE 3RD PARTY LAB  (OR INTERNAL LAB) TEST REPORTS ON  ACCESORIES (Trims) FOR EACH ITEM/STYLE FROM ALL SUPPLIERS. </v>
          </cell>
        </row>
        <row r="109">
          <cell r="A109" t="str">
            <v>L</v>
          </cell>
          <cell r="E109" t="str">
            <v>QA</v>
          </cell>
          <cell r="G109" t="str">
            <v>L4</v>
          </cell>
          <cell r="H109">
            <v>4.6153846153846149E-3</v>
          </cell>
          <cell r="I109">
            <v>4.6153846153846149E-3</v>
          </cell>
          <cell r="J109">
            <v>1</v>
          </cell>
          <cell r="K109" t="str">
            <v>RECCOMENDATION IS TO HAVE FACTORY INTERNAL LAB CERTIFIED BY VF LAB TECHNICAL DEPARTMENT OR BY 3RD PARTY LAB (INTERTEK, BV, SGS, ETC</v>
          </cell>
        </row>
        <row r="110">
          <cell r="A110" t="str">
            <v>M</v>
          </cell>
          <cell r="E110" t="str">
            <v>QA</v>
          </cell>
          <cell r="G110" t="str">
            <v>M1</v>
          </cell>
          <cell r="H110">
            <v>4.6153846153846149E-3</v>
          </cell>
          <cell r="I110">
            <v>4.6153846153846149E-3</v>
          </cell>
          <cell r="J110">
            <v>1</v>
          </cell>
          <cell r="K110" t="str">
            <v>RECOMMENDATION IS TO ELIMINATE STAPLES FROM ALL AREAS, SECTIONS, RAW MATERIALS (LIKE SUPPLIERS CARTONS), PROCESSES OF FACTORY. LOOSE SHARP OBJECTS IN ANY PRODUCTION RELATED AREA NEAR FABRIC OR GARMENTS IS NOT ALLOWED, THEY MUST BE TIED UP.</v>
          </cell>
        </row>
        <row r="111">
          <cell r="A111" t="str">
            <v>M</v>
          </cell>
          <cell r="E111" t="str">
            <v>QA</v>
          </cell>
          <cell r="G111" t="str">
            <v>M2</v>
          </cell>
          <cell r="H111">
            <v>4.6153846153846149E-3</v>
          </cell>
          <cell r="I111">
            <v>4.6153846153846149E-3</v>
          </cell>
          <cell r="J111">
            <v>1</v>
          </cell>
          <cell r="K111" t="str">
            <v>RECOMMENDATION IS TO SET UP METAL DETECTION MACHINE AS ENTRANCE OF PRODUCT TO THE FINISHING DEPMT. DO 9 POINT TEST DAILY &amp; KEEP RECORDS.ALSO KEEP RECORDS OF SKU'S PER P.O.  PASSED THROUGH MACHINE EACH HOUR.</v>
          </cell>
        </row>
        <row r="112">
          <cell r="A112" t="str">
            <v>M</v>
          </cell>
          <cell r="E112" t="str">
            <v>QA</v>
          </cell>
          <cell r="G112" t="str">
            <v>M3</v>
          </cell>
          <cell r="H112">
            <v>4.6153846153846149E-3</v>
          </cell>
          <cell r="I112">
            <v>4.6153846153846149E-3</v>
          </cell>
          <cell r="J112">
            <v>1</v>
          </cell>
          <cell r="K112" t="str">
            <v>RECOMMENDATION IS TO  DO PULL TEST ( WITH MACHINE) ON ALL MACHINES ATTACHING SNAP/RIVET/EYELET/BUTTONS,  USE VF STANDARD REQUIREMENTS. KEEP REPORT &amp; MOCK UPS BY DATE &amp; MACHINE # . CALIBRATE PULL TEST MACHINE FREQUENTLY.</v>
          </cell>
        </row>
        <row r="113">
          <cell r="A113" t="str">
            <v>N</v>
          </cell>
          <cell r="E113" t="str">
            <v>QA</v>
          </cell>
          <cell r="G113" t="str">
            <v>N1</v>
          </cell>
          <cell r="H113">
            <v>4.6153846153846149E-3</v>
          </cell>
          <cell r="I113">
            <v>4.6153846153846149E-3</v>
          </cell>
          <cell r="J113">
            <v>1</v>
          </cell>
          <cell r="K113" t="str">
            <v>Reccomendation is to implement a complete SOP for  Mold Prevention  that should  include : humidity meter check on garments before packing, drying room &amp; checking shipping container and keeping pictures &amp; records</v>
          </cell>
        </row>
        <row r="114">
          <cell r="A114" t="str">
            <v>N</v>
          </cell>
          <cell r="E114" t="str">
            <v>QA</v>
          </cell>
          <cell r="G114" t="str">
            <v>N2</v>
          </cell>
          <cell r="H114">
            <v>4.6153846153846149E-3</v>
          </cell>
          <cell r="I114">
            <v>4.6153846153846149E-3</v>
          </cell>
          <cell r="J114">
            <v>1</v>
          </cell>
          <cell r="K114" t="str">
            <v>RECOMMENDATION IS TO STACK CARTONS  NOT CRUSHED AND  STABLE   ALSO KEPT ON PALLETS OR SHELVES.</v>
          </cell>
        </row>
        <row r="115">
          <cell r="A115" t="str">
            <v>O</v>
          </cell>
          <cell r="E115" t="str">
            <v>QA</v>
          </cell>
          <cell r="G115" t="str">
            <v>O1</v>
          </cell>
          <cell r="H115">
            <v>4.6153846153846149E-3</v>
          </cell>
          <cell r="I115">
            <v>4.6153846153846149E-3</v>
          </cell>
          <cell r="J115">
            <v>1</v>
          </cell>
          <cell r="K115" t="str">
            <v>RECOMMENDATION IS TO USE A SEPARATE ROOM, WITHOUT OUTSIDE LIGHT (SUNLIGHT) TO PERFORM VF FINAL QUALITY AUDITS. IT MUST HAVE A 3'X7' MATE GREY AUDIT TABLE WITH EXCELLENT LIGHT (MIN 1,000 LUX D65 / CWF ) AND SHELVES OR CUPBOARD TO KEEP SAMPLES &amp; QC FILE SYSTEM. KEEP VF BRAND QUALITY MANUALS AT HAND.</v>
          </cell>
        </row>
        <row r="116">
          <cell r="A116" t="str">
            <v>O</v>
          </cell>
          <cell r="E116" t="str">
            <v>QA</v>
          </cell>
          <cell r="G116" t="str">
            <v>O2</v>
          </cell>
          <cell r="H116">
            <v>4.6153846153846149E-3</v>
          </cell>
          <cell r="I116">
            <v>4.6153846153846149E-3</v>
          </cell>
          <cell r="J116">
            <v>1</v>
          </cell>
          <cell r="K116" t="str">
            <v>RECOMMENDATION IS TO HAVE ALL NECESSARY TOOLS BEFORE PERFORMING A FINAL QUALITY AUDIT: APPROVED (VF LOCK) SAMPLE, TECH PACK, MEAS CHART, APPROVED SWATCHES, VF APPROVED TRIM CARD, LAB TEST, APPROVED EMB OR SCREEN PRINT,ETC…</v>
          </cell>
        </row>
        <row r="117">
          <cell r="A117" t="str">
            <v>O</v>
          </cell>
          <cell r="E117" t="str">
            <v>SA</v>
          </cell>
          <cell r="G117" t="str">
            <v>O3</v>
          </cell>
          <cell r="H117">
            <v>-0.25</v>
          </cell>
          <cell r="I117">
            <v>0</v>
          </cell>
          <cell r="J117">
            <v>1</v>
          </cell>
          <cell r="K117" t="str">
            <v>PRIDE AUDITOR WILL CHOOSE 1 OR MORE P.O.'s ALREADY AUDITED BY CFA OR VF-QA (YELLOW TAPED CARTONS) AND WILL APPLY 2.5 AQL TO QTY CHECKED BY THEM. IF DISCREPANCY IS FOUND 25% OF PROCESS SCORE WILL BE DEDUCTED.</v>
          </cell>
        </row>
        <row r="118">
          <cell r="A118" t="str">
            <v>O</v>
          </cell>
          <cell r="E118" t="str">
            <v>QA</v>
          </cell>
          <cell r="G118" t="str">
            <v>O4</v>
          </cell>
          <cell r="H118">
            <v>4.6153846153846149E-3</v>
          </cell>
          <cell r="I118">
            <v>4.6153846153846149E-3</v>
          </cell>
          <cell r="J118">
            <v>1</v>
          </cell>
          <cell r="K118" t="str">
            <v>RECOMMENDATION IS TO USE PRIDE VF "YELLOW" TAPE, QA STAMP &amp; PRIDE STICKERS TO IDENTIFY ALREADY AUDITED CARTONS/PCS.</v>
          </cell>
        </row>
        <row r="119">
          <cell r="A119" t="str">
            <v>P</v>
          </cell>
          <cell r="E119" t="str">
            <v>QA</v>
          </cell>
          <cell r="G119" t="str">
            <v>P1</v>
          </cell>
          <cell r="H119">
            <v>4.6153846153846149E-3</v>
          </cell>
          <cell r="I119">
            <v>4.6153846153846149E-3</v>
          </cell>
          <cell r="J119">
            <v>1</v>
          </cell>
          <cell r="K119" t="str">
            <v>RECOMMENDATION IS TO HAVE A COMPLETE QA/QC TRAINING PROGRAM THAT MUST INCLUDE: TRAINING MANUAL (WITH PICS &amp; VISUAL INSTRUCTIONS) , TRAINING SCHEDULE OR PROGRAM, ATTENDANCE AND PICS OF TRAINING SESSIONS. NEED TO INCLUDE A QUIZ,TEST OR EVALUATION SCORE SYSTEM FOR EACH TRAINEE.</v>
          </cell>
        </row>
        <row r="120">
          <cell r="A120" t="str">
            <v>P</v>
          </cell>
          <cell r="E120" t="str">
            <v>QA</v>
          </cell>
          <cell r="G120" t="str">
            <v>P2</v>
          </cell>
          <cell r="H120">
            <v>4.6153846153846149E-3</v>
          </cell>
          <cell r="I120">
            <v>0</v>
          </cell>
          <cell r="J120">
            <v>1</v>
          </cell>
          <cell r="K120" t="str">
            <v>RECOMMENDATION IS TO DISPLAY QUALITY RESULTS (DAILY, WEEKLY, MONTHLY) TO EACH LINE/SECTION (CUTTING,SEWING,FINISHING,FINAL AUDITS), IT SHOULD BE HIGHLY VISIBLE.</v>
          </cell>
        </row>
        <row r="121">
          <cell r="A121" t="str">
            <v>P</v>
          </cell>
          <cell r="E121" t="str">
            <v>QA</v>
          </cell>
          <cell r="G121" t="str">
            <v>P3</v>
          </cell>
          <cell r="H121">
            <v>0</v>
          </cell>
          <cell r="I121">
            <v>0</v>
          </cell>
          <cell r="J121">
            <v>0</v>
          </cell>
          <cell r="K121" t="str">
            <v>RECOMMENDATION IS THAT EVERY CFA (OR VF QA), MUST HAVE A CERTIFICATE ISSUED by ASQ,  ALSO THE  MOCK &amp; MUNSELL TEST RESULTS UPDATED EVERY 12 MONTHS AND DISPLAYED AT QA STATION.</v>
          </cell>
        </row>
        <row r="122">
          <cell r="A122" t="str">
            <v>P</v>
          </cell>
          <cell r="E122" t="str">
            <v>QA</v>
          </cell>
          <cell r="G122" t="str">
            <v>P4</v>
          </cell>
          <cell r="H122">
            <v>4.6153846153846149E-3</v>
          </cell>
          <cell r="I122">
            <v>4.6153846153846149E-3</v>
          </cell>
          <cell r="J122">
            <v>1</v>
          </cell>
          <cell r="K122" t="str">
            <v>RECOMMENDATION IS TO  PERFORM EACH MONTH AN INTERNAL CALIBRATION EXERCISES,( IT MUST BE PRACTICAL, NOT THEORETICAL),TESTING IF QC/QA CAN CATCH KNOWN MAJOR DEFECTS &amp; MEASUREMENT ISSUES, AFTER CALIBRATION &amp; CORRECTION ON FINDINGS, ALL QC &amp; QA PERSONNEL SHOULD HAVE SAME CRITERIA AS QA MANAGERS.. KEEP  UPDATED RECORDS.</v>
          </cell>
        </row>
        <row r="123">
          <cell r="A123" t="str">
            <v>P</v>
          </cell>
          <cell r="E123" t="str">
            <v>QI</v>
          </cell>
          <cell r="G123" t="str">
            <v>P5</v>
          </cell>
          <cell r="H123">
            <v>2.3076923076923075E-2</v>
          </cell>
          <cell r="I123">
            <v>2.3076923076923075E-2</v>
          </cell>
          <cell r="J123">
            <v>1</v>
          </cell>
          <cell r="K123" t="str">
            <v>RECOMMENDATION IS TO CONDUCT QUALITY MEETINGS   WITH TOP MANAGMENT WEEKLY , TO EVALUATE  THE QUALITY RESULTS OF  ALL FACTORY SECTIONS AND AS A WHOLE. IN THIS MEETING TRENDS SHOULD BE ANALYZED USING EACH DEPMNT PARETOS, ROOT CAUSE,ETC.. AND COMPARED WITH FACTORY QUALITY GOALS (TARGETS), ACTION PLAN RESPONSABILITIES SHOULD BE ASIGNED &amp; EVALUATED RESULTS. ALL DECITIONS SHOULD BE RECORDED IN A MEETING MINUTES REPORT.</v>
          </cell>
        </row>
        <row r="124">
          <cell r="A124" t="str">
            <v>P</v>
          </cell>
          <cell r="E124" t="str">
            <v>QI</v>
          </cell>
          <cell r="G124" t="str">
            <v>P6</v>
          </cell>
          <cell r="H124">
            <v>2.3076923076923075E-2</v>
          </cell>
          <cell r="I124">
            <v>0</v>
          </cell>
          <cell r="J124">
            <v>1</v>
          </cell>
          <cell r="K124" t="str">
            <v>RECCOMENDATION IS TO DEVELOP AN INTERNAL AUDIT  PROCESS  (NON-DEPENDANT FROM QA MANAGEMENT) SO THAT EACH STEP OF THE QUALITY PROCECEDURES  IN ALL AREAS ARE EVALUATED &amp; VALIDATED AT LEAST ONCE PER YEAR.</v>
          </cell>
        </row>
        <row r="125">
          <cell r="A125" t="str">
            <v>P</v>
          </cell>
          <cell r="E125" t="str">
            <v>QI</v>
          </cell>
          <cell r="G125" t="str">
            <v>P7</v>
          </cell>
          <cell r="H125">
            <v>2.3076923076923075E-2</v>
          </cell>
          <cell r="I125">
            <v>2.3076923076923075E-2</v>
          </cell>
          <cell r="J125">
            <v>1</v>
          </cell>
          <cell r="K125" t="str">
            <v>RECCOMENDATION  IS THAT CUSTOMERS SEND FEEDBACK DATA  (DEFECTS SUMMARY OR D.C. CLAIMS)  ABOUT FACTORY QUALITY PERFORMANCE,  AT LEAST QUARTERLY,  FACTORY MUST REACT &amp; DEVELOP A     C.A.P.  TO  CORRECT  WORST PROBLEMS IN LONG TERM.</v>
          </cell>
        </row>
        <row r="126">
          <cell r="A126" t="str">
            <v>P</v>
          </cell>
          <cell r="E126" t="str">
            <v>QI</v>
          </cell>
          <cell r="G126" t="str">
            <v>P8</v>
          </cell>
          <cell r="H126">
            <v>0</v>
          </cell>
          <cell r="I126">
            <v>0</v>
          </cell>
          <cell r="J126">
            <v>0</v>
          </cell>
          <cell r="K126" t="str">
            <v>RECCOMENDATION IS THAT FACTORY SHOULD HAVE A DETAILED SOP AS HOW TO HANDLE B-GRADE (IRREGULARS OR SECONDS) PRODUCT SO IT CAN REMAIN UNDER CONTRL AT ALL STAGES AND MUST ENSURE IT CAN NEVER SHIP NON-INTENTIONALLY AS FIRST QUALITY TO SUTOMER. IT MUST KEEP UPDATED REPORTS FOR EACH STYLE / P.O.</v>
          </cell>
        </row>
        <row r="127">
          <cell r="A127" t="str">
            <v>P</v>
          </cell>
          <cell r="E127" t="str">
            <v>QI</v>
          </cell>
          <cell r="G127" t="str">
            <v>P9</v>
          </cell>
          <cell r="H127">
            <v>2.3076923076923075E-2</v>
          </cell>
          <cell r="I127">
            <v>2.3076923076923075E-2</v>
          </cell>
          <cell r="J127">
            <v>1</v>
          </cell>
          <cell r="K127" t="str">
            <v>RECCOMENDATION IS TO HAVE A MEETING AT LEAST ONCE PER MONTH, BETWEEN FACTORY MANAGEMENT &amp; VF QA MANAGER/SUPERVISOR TO REVIEW QUALITY RESULTS &amp; C.A.P.AND KEEP MEETING MINUTES ON RECORD.</v>
          </cell>
        </row>
        <row r="128">
          <cell r="A128" t="str">
            <v>Z</v>
          </cell>
          <cell r="E128" t="str">
            <v>Z</v>
          </cell>
          <cell r="G128" t="str">
            <v>Z1</v>
          </cell>
          <cell r="J128">
            <v>1</v>
          </cell>
          <cell r="K128" t="str">
            <v>Enter a comment</v>
          </cell>
        </row>
        <row r="129">
          <cell r="A129" t="str">
            <v>Z</v>
          </cell>
          <cell r="E129" t="str">
            <v>Z</v>
          </cell>
          <cell r="G129" t="str">
            <v>Z2</v>
          </cell>
          <cell r="J129">
            <v>1</v>
          </cell>
          <cell r="K129" t="str">
            <v>Enter a comment</v>
          </cell>
        </row>
        <row r="130">
          <cell r="A130" t="str">
            <v>Z</v>
          </cell>
          <cell r="E130" t="str">
            <v>Z</v>
          </cell>
          <cell r="G130" t="str">
            <v>Z3</v>
          </cell>
          <cell r="J130">
            <v>1</v>
          </cell>
          <cell r="K130" t="str">
            <v>Enter a comment</v>
          </cell>
        </row>
        <row r="131">
          <cell r="A131" t="str">
            <v>Z</v>
          </cell>
          <cell r="E131" t="str">
            <v>Z</v>
          </cell>
          <cell r="G131" t="str">
            <v>Z4</v>
          </cell>
          <cell r="J131">
            <v>1</v>
          </cell>
          <cell r="K131" t="str">
            <v>Enter a comment</v>
          </cell>
        </row>
        <row r="132">
          <cell r="A132" t="str">
            <v>Z</v>
          </cell>
          <cell r="E132" t="str">
            <v>Z</v>
          </cell>
          <cell r="G132" t="str">
            <v>Z5</v>
          </cell>
          <cell r="J132">
            <v>1</v>
          </cell>
          <cell r="K132" t="str">
            <v>Enter a comment</v>
          </cell>
        </row>
        <row r="133">
          <cell r="A133" t="str">
            <v>Z</v>
          </cell>
          <cell r="E133" t="str">
            <v>Z</v>
          </cell>
          <cell r="G133" t="str">
            <v>Z6</v>
          </cell>
          <cell r="J133">
            <v>1</v>
          </cell>
          <cell r="K133" t="str">
            <v>Enter a comment</v>
          </cell>
        </row>
        <row r="134">
          <cell r="A134" t="str">
            <v>Z</v>
          </cell>
          <cell r="E134" t="str">
            <v>Z</v>
          </cell>
          <cell r="G134" t="str">
            <v>Z7</v>
          </cell>
          <cell r="J134">
            <v>1</v>
          </cell>
          <cell r="K134" t="str">
            <v>Enter a comment</v>
          </cell>
        </row>
        <row r="135">
          <cell r="A135" t="str">
            <v>Z</v>
          </cell>
          <cell r="E135" t="str">
            <v>Z</v>
          </cell>
          <cell r="G135" t="str">
            <v>Z8</v>
          </cell>
          <cell r="J135">
            <v>1</v>
          </cell>
          <cell r="K135" t="str">
            <v>Enter a comment</v>
          </cell>
        </row>
        <row r="136">
          <cell r="A136" t="str">
            <v>Z</v>
          </cell>
          <cell r="E136" t="str">
            <v>Z</v>
          </cell>
          <cell r="G136" t="str">
            <v>Z9</v>
          </cell>
          <cell r="J136">
            <v>1</v>
          </cell>
          <cell r="K136" t="str">
            <v>Enter a comment</v>
          </cell>
        </row>
        <row r="137">
          <cell r="A137" t="str">
            <v>Z</v>
          </cell>
          <cell r="E137" t="str">
            <v>Z</v>
          </cell>
          <cell r="G137" t="str">
            <v>Z10</v>
          </cell>
          <cell r="J137">
            <v>1</v>
          </cell>
          <cell r="K137" t="str">
            <v>Enter a comment</v>
          </cell>
        </row>
        <row r="138">
          <cell r="A138" t="str">
            <v>Z</v>
          </cell>
          <cell r="E138" t="str">
            <v>Z</v>
          </cell>
          <cell r="G138" t="str">
            <v>Z11</v>
          </cell>
          <cell r="J138">
            <v>1</v>
          </cell>
          <cell r="K138" t="str">
            <v>Enter a comment</v>
          </cell>
        </row>
        <row r="139">
          <cell r="A139" t="str">
            <v>Z</v>
          </cell>
          <cell r="E139" t="str">
            <v>Z</v>
          </cell>
          <cell r="G139" t="str">
            <v>Z12</v>
          </cell>
          <cell r="J139">
            <v>1</v>
          </cell>
          <cell r="K139" t="str">
            <v>Enter a comment</v>
          </cell>
        </row>
        <row r="140">
          <cell r="A140" t="str">
            <v>Z</v>
          </cell>
          <cell r="E140" t="str">
            <v>Z</v>
          </cell>
          <cell r="G140" t="str">
            <v>Z13</v>
          </cell>
          <cell r="J140">
            <v>1</v>
          </cell>
          <cell r="K140" t="str">
            <v>Enter a comment</v>
          </cell>
        </row>
        <row r="141">
          <cell r="A141" t="str">
            <v>Z</v>
          </cell>
          <cell r="E141" t="str">
            <v>Z</v>
          </cell>
          <cell r="G141" t="str">
            <v>Z14</v>
          </cell>
          <cell r="J141">
            <v>1</v>
          </cell>
          <cell r="K141" t="str">
            <v>Enter a comment</v>
          </cell>
        </row>
        <row r="142">
          <cell r="A142" t="str">
            <v>Z</v>
          </cell>
          <cell r="E142" t="str">
            <v>Z</v>
          </cell>
          <cell r="G142" t="str">
            <v>Z15</v>
          </cell>
          <cell r="J142">
            <v>1</v>
          </cell>
          <cell r="K142" t="str">
            <v>Enter a comment</v>
          </cell>
        </row>
        <row r="143">
          <cell r="A143" t="str">
            <v>Z</v>
          </cell>
          <cell r="E143" t="str">
            <v>Z</v>
          </cell>
          <cell r="G143" t="str">
            <v>Z16</v>
          </cell>
          <cell r="J143">
            <v>1</v>
          </cell>
          <cell r="K143" t="str">
            <v>Enter a comment</v>
          </cell>
        </row>
        <row r="144">
          <cell r="A144" t="str">
            <v>Z</v>
          </cell>
          <cell r="E144" t="str">
            <v>Z</v>
          </cell>
          <cell r="G144" t="str">
            <v>Z17</v>
          </cell>
          <cell r="J144">
            <v>1</v>
          </cell>
          <cell r="K144" t="str">
            <v>Enter a comment</v>
          </cell>
        </row>
        <row r="145">
          <cell r="A145" t="str">
            <v>X</v>
          </cell>
          <cell r="E145" t="str">
            <v>X</v>
          </cell>
          <cell r="G145" t="str">
            <v>X1</v>
          </cell>
          <cell r="J145">
            <v>1</v>
          </cell>
          <cell r="K145">
            <v>0</v>
          </cell>
        </row>
        <row r="146">
          <cell r="A146" t="str">
            <v>X</v>
          </cell>
          <cell r="E146" t="str">
            <v>X</v>
          </cell>
          <cell r="G146" t="str">
            <v>X2</v>
          </cell>
          <cell r="J146">
            <v>1</v>
          </cell>
        </row>
        <row r="147">
          <cell r="A147" t="str">
            <v>X</v>
          </cell>
          <cell r="E147" t="str">
            <v>X</v>
          </cell>
          <cell r="G147" t="str">
            <v>X3</v>
          </cell>
          <cell r="J147">
            <v>1</v>
          </cell>
        </row>
        <row r="148">
          <cell r="A148" t="str">
            <v>X</v>
          </cell>
          <cell r="E148" t="str">
            <v>X</v>
          </cell>
          <cell r="G148" t="str">
            <v>X4</v>
          </cell>
          <cell r="J148">
            <v>1</v>
          </cell>
        </row>
        <row r="149">
          <cell r="A149" t="str">
            <v>X</v>
          </cell>
          <cell r="E149" t="str">
            <v>X</v>
          </cell>
          <cell r="G149" t="str">
            <v>X5</v>
          </cell>
          <cell r="J149">
            <v>1</v>
          </cell>
        </row>
        <row r="150">
          <cell r="A150" t="str">
            <v>X</v>
          </cell>
          <cell r="E150" t="str">
            <v>X</v>
          </cell>
          <cell r="G150" t="str">
            <v>X6</v>
          </cell>
          <cell r="J150">
            <v>1</v>
          </cell>
        </row>
        <row r="151">
          <cell r="A151" t="str">
            <v>X</v>
          </cell>
          <cell r="E151" t="str">
            <v>X</v>
          </cell>
          <cell r="G151" t="str">
            <v>X7</v>
          </cell>
          <cell r="J151">
            <v>1</v>
          </cell>
        </row>
        <row r="152">
          <cell r="A152" t="str">
            <v>X</v>
          </cell>
          <cell r="E152" t="str">
            <v>X</v>
          </cell>
          <cell r="G152" t="str">
            <v>X8</v>
          </cell>
          <cell r="J152">
            <v>1</v>
          </cell>
        </row>
        <row r="153">
          <cell r="A153" t="str">
            <v>X</v>
          </cell>
          <cell r="E153" t="str">
            <v>X</v>
          </cell>
          <cell r="G153" t="str">
            <v>X9</v>
          </cell>
          <cell r="J153">
            <v>1</v>
          </cell>
        </row>
        <row r="154">
          <cell r="A154" t="str">
            <v>X</v>
          </cell>
          <cell r="E154" t="str">
            <v>X</v>
          </cell>
          <cell r="G154" t="str">
            <v>X10</v>
          </cell>
          <cell r="J154">
            <v>1</v>
          </cell>
        </row>
        <row r="155">
          <cell r="A155" t="str">
            <v>X</v>
          </cell>
          <cell r="E155" t="str">
            <v>X</v>
          </cell>
          <cell r="G155" t="str">
            <v>X11</v>
          </cell>
          <cell r="J155">
            <v>1</v>
          </cell>
        </row>
        <row r="156">
          <cell r="A156" t="str">
            <v>X</v>
          </cell>
          <cell r="E156" t="str">
            <v>X</v>
          </cell>
          <cell r="G156" t="str">
            <v>X12</v>
          </cell>
          <cell r="J156">
            <v>1</v>
          </cell>
        </row>
        <row r="157">
          <cell r="A157" t="str">
            <v>X</v>
          </cell>
          <cell r="E157" t="str">
            <v>X</v>
          </cell>
          <cell r="G157" t="str">
            <v>X13</v>
          </cell>
          <cell r="J157">
            <v>1</v>
          </cell>
        </row>
        <row r="158">
          <cell r="A158" t="str">
            <v>X</v>
          </cell>
          <cell r="E158" t="str">
            <v>X</v>
          </cell>
          <cell r="G158" t="str">
            <v>X14</v>
          </cell>
          <cell r="J158">
            <v>1</v>
          </cell>
        </row>
        <row r="159">
          <cell r="A159" t="str">
            <v>X</v>
          </cell>
          <cell r="E159" t="str">
            <v>X</v>
          </cell>
          <cell r="G159" t="str">
            <v>X15</v>
          </cell>
          <cell r="J159">
            <v>1</v>
          </cell>
        </row>
        <row r="160">
          <cell r="A160" t="str">
            <v>X</v>
          </cell>
          <cell r="E160" t="str">
            <v>X</v>
          </cell>
          <cell r="G160" t="str">
            <v>X16</v>
          </cell>
          <cell r="J160">
            <v>1</v>
          </cell>
        </row>
        <row r="161">
          <cell r="A161" t="str">
            <v>X</v>
          </cell>
          <cell r="E161" t="str">
            <v>X</v>
          </cell>
          <cell r="G161" t="str">
            <v>X17</v>
          </cell>
          <cell r="J161">
            <v>1</v>
          </cell>
        </row>
        <row r="162">
          <cell r="A162" t="str">
            <v>X</v>
          </cell>
          <cell r="E162" t="str">
            <v>X</v>
          </cell>
          <cell r="G162" t="str">
            <v>X18</v>
          </cell>
          <cell r="J162">
            <v>1</v>
          </cell>
        </row>
        <row r="163">
          <cell r="A163" t="str">
            <v>X</v>
          </cell>
          <cell r="E163" t="str">
            <v>X</v>
          </cell>
          <cell r="G163" t="str">
            <v>X19</v>
          </cell>
          <cell r="J163">
            <v>1</v>
          </cell>
        </row>
        <row r="164">
          <cell r="A164" t="str">
            <v>X</v>
          </cell>
          <cell r="E164" t="str">
            <v>X</v>
          </cell>
          <cell r="G164" t="str">
            <v>X20</v>
          </cell>
          <cell r="J164">
            <v>1</v>
          </cell>
        </row>
        <row r="165">
          <cell r="A165" t="str">
            <v>X</v>
          </cell>
          <cell r="E165" t="str">
            <v>X</v>
          </cell>
          <cell r="G165" t="str">
            <v>X21</v>
          </cell>
          <cell r="J165">
            <v>1</v>
          </cell>
        </row>
        <row r="166">
          <cell r="A166" t="str">
            <v>Y</v>
          </cell>
          <cell r="E166" t="str">
            <v>Y</v>
          </cell>
          <cell r="G166" t="str">
            <v>Y1</v>
          </cell>
          <cell r="J166">
            <v>1</v>
          </cell>
        </row>
        <row r="167">
          <cell r="A167" t="str">
            <v>Y</v>
          </cell>
          <cell r="E167" t="str">
            <v>Y</v>
          </cell>
          <cell r="G167" t="str">
            <v>Y2</v>
          </cell>
          <cell r="J167">
            <v>1</v>
          </cell>
        </row>
        <row r="168">
          <cell r="A168" t="str">
            <v>Y</v>
          </cell>
          <cell r="E168" t="str">
            <v>Y</v>
          </cell>
          <cell r="G168" t="str">
            <v>Y3</v>
          </cell>
          <cell r="J168">
            <v>1</v>
          </cell>
        </row>
        <row r="169">
          <cell r="A169" t="str">
            <v>Y</v>
          </cell>
          <cell r="E169" t="str">
            <v>Y</v>
          </cell>
          <cell r="G169" t="str">
            <v>Y4</v>
          </cell>
          <cell r="J169">
            <v>1</v>
          </cell>
        </row>
        <row r="170">
          <cell r="A170" t="str">
            <v>Y</v>
          </cell>
          <cell r="E170" t="str">
            <v>Y</v>
          </cell>
          <cell r="G170" t="str">
            <v>Y5</v>
          </cell>
          <cell r="J170">
            <v>1</v>
          </cell>
        </row>
        <row r="171">
          <cell r="A171" t="str">
            <v>Y</v>
          </cell>
          <cell r="E171" t="str">
            <v>Y</v>
          </cell>
          <cell r="G171" t="str">
            <v>Y6</v>
          </cell>
          <cell r="J171">
            <v>1</v>
          </cell>
        </row>
        <row r="172">
          <cell r="A172" t="str">
            <v>Y</v>
          </cell>
          <cell r="E172" t="str">
            <v>Y</v>
          </cell>
          <cell r="G172" t="str">
            <v>Y7</v>
          </cell>
          <cell r="J172">
            <v>1</v>
          </cell>
        </row>
        <row r="173">
          <cell r="A173" t="str">
            <v>Y</v>
          </cell>
          <cell r="E173" t="str">
            <v>Y</v>
          </cell>
          <cell r="G173" t="str">
            <v>Y8</v>
          </cell>
          <cell r="J173">
            <v>1</v>
          </cell>
        </row>
        <row r="174">
          <cell r="A174" t="str">
            <v>Y</v>
          </cell>
          <cell r="E174" t="str">
            <v>Y</v>
          </cell>
          <cell r="G174" t="str">
            <v>Y9</v>
          </cell>
          <cell r="J174">
            <v>1</v>
          </cell>
        </row>
        <row r="175">
          <cell r="A175" t="str">
            <v>Y</v>
          </cell>
          <cell r="E175" t="str">
            <v>Y</v>
          </cell>
          <cell r="G175" t="str">
            <v>Y10</v>
          </cell>
          <cell r="J175">
            <v>1</v>
          </cell>
        </row>
        <row r="176">
          <cell r="A176" t="str">
            <v>Y</v>
          </cell>
          <cell r="E176" t="str">
            <v>Y</v>
          </cell>
          <cell r="G176" t="str">
            <v>Y11</v>
          </cell>
          <cell r="J176">
            <v>1</v>
          </cell>
        </row>
        <row r="177">
          <cell r="A177" t="str">
            <v>Y</v>
          </cell>
          <cell r="E177" t="str">
            <v>Y</v>
          </cell>
          <cell r="G177" t="str">
            <v>Y12</v>
          </cell>
          <cell r="J177">
            <v>1</v>
          </cell>
        </row>
        <row r="178">
          <cell r="A178" t="str">
            <v>Y</v>
          </cell>
          <cell r="E178" t="str">
            <v>Y</v>
          </cell>
          <cell r="G178" t="str">
            <v>Y13</v>
          </cell>
          <cell r="J178">
            <v>1</v>
          </cell>
        </row>
        <row r="179">
          <cell r="A179" t="str">
            <v>Y</v>
          </cell>
          <cell r="E179" t="str">
            <v>Y</v>
          </cell>
          <cell r="G179" t="str">
            <v>Y14</v>
          </cell>
          <cell r="J179">
            <v>1</v>
          </cell>
        </row>
        <row r="180">
          <cell r="A180" t="str">
            <v>Y</v>
          </cell>
          <cell r="E180" t="str">
            <v>Y</v>
          </cell>
          <cell r="G180" t="str">
            <v>Y15</v>
          </cell>
          <cell r="J180">
            <v>1</v>
          </cell>
        </row>
        <row r="181">
          <cell r="A181" t="str">
            <v>Y</v>
          </cell>
          <cell r="E181" t="str">
            <v>Y</v>
          </cell>
          <cell r="G181" t="str">
            <v>Y16</v>
          </cell>
          <cell r="J181">
            <v>1</v>
          </cell>
        </row>
        <row r="182">
          <cell r="A182" t="str">
            <v>Y</v>
          </cell>
          <cell r="E182" t="str">
            <v>Y</v>
          </cell>
          <cell r="G182" t="str">
            <v>Y17</v>
          </cell>
          <cell r="J182">
            <v>1</v>
          </cell>
        </row>
        <row r="183">
          <cell r="A183" t="str">
            <v>Y</v>
          </cell>
          <cell r="E183" t="str">
            <v>Y</v>
          </cell>
          <cell r="G183" t="str">
            <v>Y18</v>
          </cell>
          <cell r="J183">
            <v>1</v>
          </cell>
        </row>
        <row r="184">
          <cell r="A184" t="str">
            <v>Y</v>
          </cell>
          <cell r="E184" t="str">
            <v>Y</v>
          </cell>
          <cell r="G184" t="str">
            <v>Y19</v>
          </cell>
          <cell r="J184">
            <v>1</v>
          </cell>
        </row>
        <row r="185">
          <cell r="A185" t="str">
            <v>Y</v>
          </cell>
          <cell r="E185" t="str">
            <v>Y</v>
          </cell>
          <cell r="G185" t="str">
            <v>Y20</v>
          </cell>
          <cell r="J185">
            <v>1</v>
          </cell>
        </row>
        <row r="186">
          <cell r="A186" t="str">
            <v>Y</v>
          </cell>
          <cell r="E186" t="str">
            <v>Y</v>
          </cell>
          <cell r="G186" t="str">
            <v>Y21</v>
          </cell>
          <cell r="J186">
            <v>1</v>
          </cell>
        </row>
        <row r="187">
          <cell r="A187" t="str">
            <v>Y</v>
          </cell>
          <cell r="E187" t="str">
            <v>Y</v>
          </cell>
          <cell r="G187" t="str">
            <v>Y22</v>
          </cell>
          <cell r="J187">
            <v>1</v>
          </cell>
        </row>
        <row r="188">
          <cell r="A188" t="str">
            <v>Y</v>
          </cell>
          <cell r="E188" t="str">
            <v>Y</v>
          </cell>
          <cell r="G188" t="str">
            <v>Y23</v>
          </cell>
          <cell r="J188">
            <v>1</v>
          </cell>
        </row>
        <row r="189">
          <cell r="A189" t="str">
            <v>Y</v>
          </cell>
          <cell r="E189" t="str">
            <v>Y</v>
          </cell>
          <cell r="G189" t="str">
            <v>Y24</v>
          </cell>
          <cell r="J189">
            <v>1</v>
          </cell>
        </row>
        <row r="190">
          <cell r="A190" t="str">
            <v>Y</v>
          </cell>
          <cell r="E190" t="str">
            <v>Y</v>
          </cell>
          <cell r="G190" t="str">
            <v>Y25</v>
          </cell>
          <cell r="J190">
            <v>1</v>
          </cell>
        </row>
        <row r="191">
          <cell r="A191" t="str">
            <v>Y</v>
          </cell>
          <cell r="E191" t="str">
            <v>Y</v>
          </cell>
          <cell r="G191" t="str">
            <v>Y26</v>
          </cell>
          <cell r="J191">
            <v>1</v>
          </cell>
        </row>
      </sheetData>
      <sheetData sheetId="8">
        <row r="1">
          <cell r="A1">
            <v>0</v>
          </cell>
          <cell r="B1" t="str">
            <v>QA</v>
          </cell>
          <cell r="C1" t="str">
            <v>SA</v>
          </cell>
          <cell r="D1" t="str">
            <v>QI</v>
          </cell>
          <cell r="E1" t="str">
            <v>QC</v>
          </cell>
        </row>
        <row r="2">
          <cell r="A2" t="str">
            <v>% of entire form</v>
          </cell>
          <cell r="B2">
            <v>0.3</v>
          </cell>
          <cell r="C2">
            <v>-0.25</v>
          </cell>
          <cell r="D2">
            <v>0.3</v>
          </cell>
          <cell r="E2">
            <v>0.3</v>
          </cell>
        </row>
        <row r="3">
          <cell r="A3" t="str">
            <v>count of answered questions</v>
          </cell>
          <cell r="B3">
            <v>65</v>
          </cell>
          <cell r="C3">
            <v>1</v>
          </cell>
          <cell r="D3">
            <v>13</v>
          </cell>
          <cell r="E3">
            <v>2</v>
          </cell>
        </row>
        <row r="4">
          <cell r="A4" t="str">
            <v>count of NA questions</v>
          </cell>
          <cell r="B4">
            <v>39</v>
          </cell>
          <cell r="C4">
            <v>0</v>
          </cell>
          <cell r="D4">
            <v>6</v>
          </cell>
          <cell r="E4">
            <v>0</v>
          </cell>
        </row>
        <row r="5">
          <cell r="A5" t="str">
            <v>% points of each question</v>
          </cell>
          <cell r="B5">
            <v>4.6153846153846149E-3</v>
          </cell>
          <cell r="C5">
            <v>-0.25</v>
          </cell>
          <cell r="D5">
            <v>2.3076923076923075E-2</v>
          </cell>
          <cell r="E5">
            <v>0.15</v>
          </cell>
        </row>
      </sheetData>
      <sheetData sheetId="9"/>
      <sheetData sheetId="10">
        <row r="1">
          <cell r="F1" t="str">
            <v>QA</v>
          </cell>
          <cell r="G1" t="str">
            <v>A1</v>
          </cell>
          <cell r="H1" t="str">
            <v>OK</v>
          </cell>
        </row>
        <row r="2">
          <cell r="F2" t="str">
            <v>QA</v>
          </cell>
          <cell r="G2" t="str">
            <v>A2</v>
          </cell>
          <cell r="H2" t="str">
            <v>OK</v>
          </cell>
        </row>
        <row r="3">
          <cell r="F3" t="str">
            <v>QA</v>
          </cell>
          <cell r="G3" t="str">
            <v>B1</v>
          </cell>
          <cell r="H3" t="str">
            <v>OK</v>
          </cell>
        </row>
        <row r="4">
          <cell r="F4" t="str">
            <v>QA</v>
          </cell>
          <cell r="G4" t="str">
            <v>B2</v>
          </cell>
          <cell r="H4" t="str">
            <v>OK</v>
          </cell>
        </row>
        <row r="5">
          <cell r="F5" t="str">
            <v>QA</v>
          </cell>
          <cell r="G5" t="str">
            <v>B3</v>
          </cell>
          <cell r="H5" t="str">
            <v>OK</v>
          </cell>
        </row>
        <row r="6">
          <cell r="F6" t="str">
            <v>QA</v>
          </cell>
          <cell r="G6" t="str">
            <v>B4</v>
          </cell>
          <cell r="H6" t="str">
            <v>OK</v>
          </cell>
        </row>
        <row r="7">
          <cell r="F7" t="str">
            <v>QA</v>
          </cell>
          <cell r="G7" t="str">
            <v>B5</v>
          </cell>
          <cell r="H7" t="str">
            <v>OK</v>
          </cell>
        </row>
        <row r="8">
          <cell r="F8" t="str">
            <v>QA</v>
          </cell>
          <cell r="G8" t="str">
            <v>B6</v>
          </cell>
          <cell r="H8" t="str">
            <v>OK</v>
          </cell>
        </row>
        <row r="9">
          <cell r="F9" t="str">
            <v>QA</v>
          </cell>
          <cell r="G9" t="str">
            <v>B7</v>
          </cell>
          <cell r="H9" t="str">
            <v>OK</v>
          </cell>
        </row>
        <row r="10">
          <cell r="F10" t="str">
            <v>QA</v>
          </cell>
          <cell r="G10" t="str">
            <v>B8</v>
          </cell>
          <cell r="H10" t="str">
            <v>NO</v>
          </cell>
        </row>
        <row r="11">
          <cell r="F11" t="str">
            <v>QA</v>
          </cell>
          <cell r="G11" t="str">
            <v>B9</v>
          </cell>
          <cell r="H11" t="str">
            <v>NO</v>
          </cell>
        </row>
        <row r="12">
          <cell r="F12" t="str">
            <v>QA</v>
          </cell>
          <cell r="G12" t="str">
            <v>B10</v>
          </cell>
          <cell r="H12" t="str">
            <v>NA</v>
          </cell>
        </row>
        <row r="13">
          <cell r="F13" t="str">
            <v>QA</v>
          </cell>
          <cell r="G13" t="str">
            <v>B11</v>
          </cell>
          <cell r="H13" t="str">
            <v>NA</v>
          </cell>
        </row>
        <row r="14">
          <cell r="F14" t="str">
            <v>QI</v>
          </cell>
          <cell r="G14" t="str">
            <v>B12</v>
          </cell>
          <cell r="H14" t="str">
            <v>OK</v>
          </cell>
        </row>
        <row r="15">
          <cell r="F15" t="str">
            <v>QI</v>
          </cell>
          <cell r="G15" t="str">
            <v>B13</v>
          </cell>
          <cell r="H15" t="str">
            <v>OK</v>
          </cell>
        </row>
        <row r="16">
          <cell r="F16" t="str">
            <v>QA</v>
          </cell>
          <cell r="G16" t="str">
            <v>C1</v>
          </cell>
          <cell r="H16" t="str">
            <v>OK</v>
          </cell>
        </row>
        <row r="17">
          <cell r="F17" t="str">
            <v>QA</v>
          </cell>
          <cell r="G17" t="str">
            <v>C2</v>
          </cell>
          <cell r="H17" t="str">
            <v>OK</v>
          </cell>
        </row>
        <row r="18">
          <cell r="F18" t="str">
            <v>QA</v>
          </cell>
          <cell r="G18" t="str">
            <v>C3</v>
          </cell>
          <cell r="H18" t="str">
            <v>OK</v>
          </cell>
        </row>
        <row r="19">
          <cell r="F19" t="str">
            <v>QA</v>
          </cell>
          <cell r="G19" t="str">
            <v>C4</v>
          </cell>
          <cell r="H19" t="str">
            <v>NO</v>
          </cell>
        </row>
        <row r="20">
          <cell r="F20" t="str">
            <v>QA</v>
          </cell>
          <cell r="G20" t="str">
            <v>C5</v>
          </cell>
          <cell r="H20" t="str">
            <v>NO</v>
          </cell>
        </row>
        <row r="21">
          <cell r="F21" t="str">
            <v>QI</v>
          </cell>
          <cell r="G21" t="str">
            <v>C6</v>
          </cell>
          <cell r="H21" t="str">
            <v>OK</v>
          </cell>
        </row>
        <row r="22">
          <cell r="F22" t="str">
            <v>QA</v>
          </cell>
          <cell r="G22" t="str">
            <v>D1</v>
          </cell>
          <cell r="H22" t="str">
            <v>OK</v>
          </cell>
        </row>
        <row r="23">
          <cell r="F23" t="str">
            <v>QA</v>
          </cell>
          <cell r="G23" t="str">
            <v>D2</v>
          </cell>
          <cell r="H23" t="str">
            <v>OK</v>
          </cell>
        </row>
        <row r="24">
          <cell r="F24" t="str">
            <v>QA</v>
          </cell>
          <cell r="G24" t="str">
            <v>D3</v>
          </cell>
          <cell r="H24" t="str">
            <v>OK</v>
          </cell>
        </row>
        <row r="25">
          <cell r="F25" t="str">
            <v>QA</v>
          </cell>
          <cell r="G25" t="str">
            <v>D4</v>
          </cell>
          <cell r="H25" t="str">
            <v>NO</v>
          </cell>
        </row>
        <row r="26">
          <cell r="F26" t="str">
            <v>QA</v>
          </cell>
          <cell r="G26" t="str">
            <v>D5</v>
          </cell>
          <cell r="H26" t="str">
            <v>NA</v>
          </cell>
        </row>
        <row r="27">
          <cell r="F27" t="str">
            <v>QA</v>
          </cell>
          <cell r="G27" t="str">
            <v>D6</v>
          </cell>
          <cell r="H27" t="str">
            <v>OK</v>
          </cell>
        </row>
        <row r="28">
          <cell r="F28" t="str">
            <v>QA</v>
          </cell>
          <cell r="G28" t="str">
            <v>D7</v>
          </cell>
          <cell r="H28" t="str">
            <v>OK</v>
          </cell>
        </row>
        <row r="29">
          <cell r="F29" t="str">
            <v>QA</v>
          </cell>
          <cell r="G29" t="str">
            <v>D8</v>
          </cell>
          <cell r="H29" t="str">
            <v>OK</v>
          </cell>
        </row>
        <row r="30">
          <cell r="F30" t="str">
            <v>QI</v>
          </cell>
          <cell r="G30" t="str">
            <v>D9</v>
          </cell>
          <cell r="H30" t="str">
            <v>OK</v>
          </cell>
        </row>
        <row r="31">
          <cell r="F31" t="str">
            <v>QI</v>
          </cell>
          <cell r="G31" t="str">
            <v>D10</v>
          </cell>
          <cell r="H31" t="str">
            <v>OK</v>
          </cell>
        </row>
        <row r="32">
          <cell r="F32" t="str">
            <v>QA</v>
          </cell>
          <cell r="G32" t="str">
            <v>E1</v>
          </cell>
          <cell r="H32" t="str">
            <v>OK</v>
          </cell>
        </row>
        <row r="33">
          <cell r="F33" t="str">
            <v>QA</v>
          </cell>
          <cell r="G33" t="str">
            <v>E2</v>
          </cell>
          <cell r="H33" t="str">
            <v>OK</v>
          </cell>
        </row>
        <row r="34">
          <cell r="F34" t="str">
            <v>QA</v>
          </cell>
          <cell r="G34" t="str">
            <v>E3</v>
          </cell>
          <cell r="H34" t="str">
            <v>OK</v>
          </cell>
        </row>
        <row r="35">
          <cell r="F35" t="str">
            <v>QA</v>
          </cell>
          <cell r="G35" t="str">
            <v>F1</v>
          </cell>
          <cell r="H35" t="str">
            <v>NO</v>
          </cell>
        </row>
        <row r="36">
          <cell r="F36" t="str">
            <v>QA</v>
          </cell>
          <cell r="G36" t="str">
            <v>F2</v>
          </cell>
          <cell r="H36" t="str">
            <v>OK</v>
          </cell>
        </row>
        <row r="37">
          <cell r="F37" t="str">
            <v>QA</v>
          </cell>
          <cell r="G37" t="str">
            <v>F3</v>
          </cell>
          <cell r="H37" t="str">
            <v>OK</v>
          </cell>
        </row>
        <row r="38">
          <cell r="F38" t="str">
            <v>QA</v>
          </cell>
          <cell r="G38" t="str">
            <v>F4</v>
          </cell>
          <cell r="H38" t="str">
            <v>OK</v>
          </cell>
        </row>
        <row r="39">
          <cell r="F39" t="str">
            <v>QA</v>
          </cell>
          <cell r="G39" t="str">
            <v>F5</v>
          </cell>
          <cell r="H39" t="str">
            <v>NO</v>
          </cell>
        </row>
        <row r="40">
          <cell r="F40" t="str">
            <v>QA</v>
          </cell>
          <cell r="G40" t="str">
            <v>F6</v>
          </cell>
          <cell r="H40" t="str">
            <v>NO</v>
          </cell>
        </row>
        <row r="41">
          <cell r="F41" t="str">
            <v>QA</v>
          </cell>
          <cell r="G41" t="str">
            <v>F7</v>
          </cell>
          <cell r="H41" t="str">
            <v>OK</v>
          </cell>
        </row>
        <row r="42">
          <cell r="F42" t="str">
            <v>QA</v>
          </cell>
          <cell r="G42" t="str">
            <v>F8</v>
          </cell>
          <cell r="H42" t="str">
            <v>OK</v>
          </cell>
        </row>
        <row r="43">
          <cell r="F43" t="str">
            <v>QC</v>
          </cell>
          <cell r="G43" t="str">
            <v>F9</v>
          </cell>
          <cell r="H43">
            <v>5</v>
          </cell>
        </row>
        <row r="44">
          <cell r="F44" t="str">
            <v>QA</v>
          </cell>
          <cell r="G44" t="str">
            <v>F10</v>
          </cell>
          <cell r="H44" t="str">
            <v>OK</v>
          </cell>
        </row>
        <row r="45">
          <cell r="F45" t="str">
            <v>QI</v>
          </cell>
          <cell r="G45" t="str">
            <v>F11</v>
          </cell>
          <cell r="H45" t="str">
            <v>OK</v>
          </cell>
        </row>
        <row r="46">
          <cell r="F46" t="str">
            <v>QI</v>
          </cell>
          <cell r="G46" t="str">
            <v>F12</v>
          </cell>
          <cell r="H46" t="str">
            <v>OK</v>
          </cell>
        </row>
        <row r="47">
          <cell r="F47" t="str">
            <v>QA</v>
          </cell>
          <cell r="G47" t="str">
            <v>G1</v>
          </cell>
          <cell r="H47" t="str">
            <v>NA</v>
          </cell>
        </row>
        <row r="48">
          <cell r="F48" t="str">
            <v>QA</v>
          </cell>
          <cell r="G48" t="str">
            <v>G2</v>
          </cell>
          <cell r="H48" t="str">
            <v>NA</v>
          </cell>
        </row>
        <row r="49">
          <cell r="F49" t="str">
            <v>QA</v>
          </cell>
          <cell r="G49" t="str">
            <v>G3</v>
          </cell>
          <cell r="H49" t="str">
            <v>NA</v>
          </cell>
        </row>
        <row r="50">
          <cell r="F50" t="str">
            <v>QA</v>
          </cell>
          <cell r="G50" t="str">
            <v>G4</v>
          </cell>
          <cell r="H50" t="str">
            <v>NA</v>
          </cell>
        </row>
        <row r="51">
          <cell r="F51" t="str">
            <v>QA</v>
          </cell>
          <cell r="G51" t="str">
            <v>G5</v>
          </cell>
          <cell r="H51" t="str">
            <v>NA</v>
          </cell>
        </row>
        <row r="52">
          <cell r="F52" t="str">
            <v>QA</v>
          </cell>
          <cell r="G52" t="str">
            <v>G6</v>
          </cell>
          <cell r="H52" t="str">
            <v>NA</v>
          </cell>
        </row>
        <row r="53">
          <cell r="F53" t="str">
            <v>QA</v>
          </cell>
          <cell r="G53" t="str">
            <v>G7</v>
          </cell>
          <cell r="H53" t="str">
            <v>NA</v>
          </cell>
        </row>
        <row r="54">
          <cell r="F54" t="str">
            <v>QA</v>
          </cell>
          <cell r="G54" t="str">
            <v>G8</v>
          </cell>
          <cell r="H54" t="str">
            <v>NA</v>
          </cell>
        </row>
        <row r="55">
          <cell r="F55" t="str">
            <v>QA</v>
          </cell>
          <cell r="G55" t="str">
            <v>G9</v>
          </cell>
          <cell r="H55" t="str">
            <v>OK</v>
          </cell>
        </row>
        <row r="56">
          <cell r="F56" t="str">
            <v>QA</v>
          </cell>
          <cell r="G56" t="str">
            <v>G10</v>
          </cell>
          <cell r="H56" t="str">
            <v>OK</v>
          </cell>
        </row>
        <row r="57">
          <cell r="F57" t="str">
            <v>QA</v>
          </cell>
          <cell r="G57" t="str">
            <v>G11</v>
          </cell>
          <cell r="H57" t="str">
            <v>OK</v>
          </cell>
        </row>
        <row r="58">
          <cell r="F58" t="str">
            <v>QA</v>
          </cell>
          <cell r="G58" t="str">
            <v>G12</v>
          </cell>
          <cell r="H58" t="str">
            <v>OK</v>
          </cell>
        </row>
        <row r="59">
          <cell r="F59" t="str">
            <v>QA</v>
          </cell>
          <cell r="G59" t="str">
            <v>G13</v>
          </cell>
          <cell r="H59" t="str">
            <v>OK</v>
          </cell>
        </row>
        <row r="60">
          <cell r="F60" t="str">
            <v>QA</v>
          </cell>
          <cell r="G60" t="str">
            <v>G14</v>
          </cell>
          <cell r="H60" t="str">
            <v>OK</v>
          </cell>
        </row>
        <row r="61">
          <cell r="F61" t="str">
            <v>QA</v>
          </cell>
          <cell r="G61" t="str">
            <v>H1</v>
          </cell>
          <cell r="H61" t="str">
            <v>NA</v>
          </cell>
        </row>
        <row r="62">
          <cell r="F62" t="str">
            <v>QA</v>
          </cell>
          <cell r="G62" t="str">
            <v>H2</v>
          </cell>
          <cell r="H62" t="str">
            <v>NA</v>
          </cell>
        </row>
        <row r="63">
          <cell r="F63" t="str">
            <v>QA</v>
          </cell>
          <cell r="G63" t="str">
            <v>H3</v>
          </cell>
          <cell r="H63" t="str">
            <v>NA</v>
          </cell>
        </row>
        <row r="64">
          <cell r="F64" t="str">
            <v>QA</v>
          </cell>
          <cell r="G64" t="str">
            <v>H4</v>
          </cell>
          <cell r="H64" t="str">
            <v>NA</v>
          </cell>
        </row>
        <row r="65">
          <cell r="F65" t="str">
            <v>QA</v>
          </cell>
          <cell r="G65" t="str">
            <v>H5</v>
          </cell>
          <cell r="H65" t="str">
            <v>NA</v>
          </cell>
        </row>
        <row r="66">
          <cell r="F66" t="str">
            <v>QA</v>
          </cell>
          <cell r="G66" t="str">
            <v>H6</v>
          </cell>
          <cell r="H66" t="str">
            <v>NA</v>
          </cell>
        </row>
        <row r="67">
          <cell r="F67" t="str">
            <v>QA</v>
          </cell>
          <cell r="G67" t="str">
            <v>H7</v>
          </cell>
          <cell r="H67" t="str">
            <v>NA</v>
          </cell>
        </row>
        <row r="68">
          <cell r="F68" t="str">
            <v>QA</v>
          </cell>
          <cell r="G68" t="str">
            <v>H8</v>
          </cell>
          <cell r="H68" t="str">
            <v>NA</v>
          </cell>
        </row>
        <row r="69">
          <cell r="F69" t="str">
            <v>QA</v>
          </cell>
          <cell r="G69" t="str">
            <v>H9</v>
          </cell>
          <cell r="H69" t="str">
            <v>NA</v>
          </cell>
        </row>
        <row r="70">
          <cell r="F70" t="str">
            <v>QI</v>
          </cell>
          <cell r="G70" t="str">
            <v>H10</v>
          </cell>
          <cell r="H70" t="str">
            <v>NA</v>
          </cell>
        </row>
        <row r="71">
          <cell r="F71" t="str">
            <v>QI</v>
          </cell>
          <cell r="G71" t="str">
            <v>H11</v>
          </cell>
          <cell r="H71" t="str">
            <v>NA</v>
          </cell>
        </row>
        <row r="72">
          <cell r="F72" t="str">
            <v>QA</v>
          </cell>
          <cell r="G72" t="str">
            <v>I1</v>
          </cell>
          <cell r="H72" t="str">
            <v>NA</v>
          </cell>
        </row>
        <row r="73">
          <cell r="F73" t="str">
            <v>QA</v>
          </cell>
          <cell r="G73" t="str">
            <v>I2</v>
          </cell>
          <cell r="H73" t="str">
            <v>NA</v>
          </cell>
        </row>
        <row r="74">
          <cell r="F74" t="str">
            <v>QI</v>
          </cell>
          <cell r="G74" t="str">
            <v>I3</v>
          </cell>
          <cell r="H74" t="str">
            <v>NA</v>
          </cell>
        </row>
        <row r="75">
          <cell r="F75" t="str">
            <v>QA</v>
          </cell>
          <cell r="G75" t="str">
            <v>J1</v>
          </cell>
          <cell r="H75" t="str">
            <v>NA</v>
          </cell>
        </row>
        <row r="76">
          <cell r="F76" t="str">
            <v>QA</v>
          </cell>
          <cell r="G76" t="str">
            <v>J2</v>
          </cell>
          <cell r="H76" t="str">
            <v>NA</v>
          </cell>
        </row>
        <row r="77">
          <cell r="F77" t="str">
            <v>QA</v>
          </cell>
          <cell r="G77" t="str">
            <v>J3</v>
          </cell>
          <cell r="H77" t="str">
            <v>NA</v>
          </cell>
        </row>
        <row r="78">
          <cell r="F78" t="str">
            <v>QA</v>
          </cell>
          <cell r="G78" t="str">
            <v>J4</v>
          </cell>
          <cell r="H78" t="str">
            <v>NA</v>
          </cell>
        </row>
        <row r="79">
          <cell r="F79" t="str">
            <v>QA</v>
          </cell>
          <cell r="G79" t="str">
            <v>J5</v>
          </cell>
          <cell r="H79" t="str">
            <v>NA</v>
          </cell>
        </row>
        <row r="80">
          <cell r="F80" t="str">
            <v>QA</v>
          </cell>
          <cell r="G80" t="str">
            <v>J6</v>
          </cell>
          <cell r="H80" t="str">
            <v>NA</v>
          </cell>
        </row>
        <row r="81">
          <cell r="F81" t="str">
            <v>QA</v>
          </cell>
          <cell r="G81" t="str">
            <v>J7</v>
          </cell>
          <cell r="H81" t="str">
            <v>NA</v>
          </cell>
        </row>
        <row r="82">
          <cell r="F82" t="str">
            <v>QA</v>
          </cell>
          <cell r="G82" t="str">
            <v>J8</v>
          </cell>
          <cell r="H82" t="str">
            <v>NA</v>
          </cell>
        </row>
        <row r="83">
          <cell r="F83" t="str">
            <v>QA</v>
          </cell>
          <cell r="G83" t="str">
            <v>J9</v>
          </cell>
          <cell r="H83" t="str">
            <v>NA</v>
          </cell>
        </row>
        <row r="84">
          <cell r="F84" t="str">
            <v>QA</v>
          </cell>
          <cell r="G84" t="str">
            <v>J10</v>
          </cell>
          <cell r="H84" t="str">
            <v>NA</v>
          </cell>
        </row>
        <row r="85">
          <cell r="F85" t="str">
            <v>QA</v>
          </cell>
          <cell r="G85" t="str">
            <v>J11</v>
          </cell>
          <cell r="H85" t="str">
            <v>NA</v>
          </cell>
        </row>
        <row r="86">
          <cell r="F86" t="str">
            <v>QA</v>
          </cell>
          <cell r="G86" t="str">
            <v>J12</v>
          </cell>
          <cell r="H86" t="str">
            <v>NA</v>
          </cell>
        </row>
        <row r="87">
          <cell r="F87" t="str">
            <v>QA</v>
          </cell>
          <cell r="G87" t="str">
            <v>J13</v>
          </cell>
          <cell r="H87" t="str">
            <v>NA</v>
          </cell>
        </row>
        <row r="88">
          <cell r="F88" t="str">
            <v>QA</v>
          </cell>
          <cell r="G88" t="str">
            <v>J14</v>
          </cell>
          <cell r="H88" t="str">
            <v>NA</v>
          </cell>
        </row>
        <row r="89">
          <cell r="F89" t="str">
            <v>QI</v>
          </cell>
          <cell r="G89" t="str">
            <v>J15</v>
          </cell>
          <cell r="H89" t="str">
            <v>NA</v>
          </cell>
        </row>
        <row r="90">
          <cell r="F90" t="str">
            <v>QI</v>
          </cell>
          <cell r="G90" t="str">
            <v>J16</v>
          </cell>
          <cell r="H90" t="str">
            <v>NA</v>
          </cell>
        </row>
        <row r="91">
          <cell r="F91" t="str">
            <v>QA</v>
          </cell>
          <cell r="G91" t="str">
            <v>K1</v>
          </cell>
          <cell r="H91" t="str">
            <v>OK</v>
          </cell>
        </row>
        <row r="92">
          <cell r="F92" t="str">
            <v>QA</v>
          </cell>
          <cell r="G92" t="str">
            <v>K2</v>
          </cell>
          <cell r="H92" t="str">
            <v>OK</v>
          </cell>
        </row>
        <row r="93">
          <cell r="F93" t="str">
            <v>QA</v>
          </cell>
          <cell r="G93" t="str">
            <v>K3</v>
          </cell>
          <cell r="H93" t="str">
            <v>OK</v>
          </cell>
        </row>
        <row r="94">
          <cell r="F94" t="str">
            <v>QA</v>
          </cell>
          <cell r="G94" t="str">
            <v>K4</v>
          </cell>
          <cell r="H94" t="str">
            <v>OK</v>
          </cell>
        </row>
        <row r="95">
          <cell r="F95" t="str">
            <v>QA</v>
          </cell>
          <cell r="G95" t="str">
            <v>K5</v>
          </cell>
          <cell r="H95" t="str">
            <v>OK</v>
          </cell>
        </row>
        <row r="96">
          <cell r="F96" t="str">
            <v>QA</v>
          </cell>
          <cell r="G96" t="str">
            <v>K6</v>
          </cell>
          <cell r="H96" t="str">
            <v>OK</v>
          </cell>
        </row>
        <row r="97">
          <cell r="F97" t="str">
            <v>QA</v>
          </cell>
          <cell r="G97" t="str">
            <v>K7</v>
          </cell>
          <cell r="H97" t="str">
            <v>NA</v>
          </cell>
        </row>
        <row r="98">
          <cell r="F98" t="str">
            <v>QA</v>
          </cell>
          <cell r="G98" t="str">
            <v>K8</v>
          </cell>
          <cell r="H98" t="str">
            <v>NA</v>
          </cell>
        </row>
        <row r="99">
          <cell r="F99" t="str">
            <v>QA</v>
          </cell>
          <cell r="G99" t="str">
            <v>K9</v>
          </cell>
          <cell r="H99" t="str">
            <v>OK</v>
          </cell>
        </row>
        <row r="100">
          <cell r="F100" t="str">
            <v>QA</v>
          </cell>
          <cell r="G100" t="str">
            <v>K10</v>
          </cell>
          <cell r="H100" t="str">
            <v>OK</v>
          </cell>
        </row>
        <row r="101">
          <cell r="F101" t="str">
            <v>QA</v>
          </cell>
          <cell r="G101" t="str">
            <v>K11</v>
          </cell>
          <cell r="H101" t="str">
            <v>OK</v>
          </cell>
        </row>
        <row r="102">
          <cell r="F102" t="str">
            <v>QC</v>
          </cell>
          <cell r="G102" t="str">
            <v>K12</v>
          </cell>
          <cell r="H102">
            <v>12</v>
          </cell>
        </row>
        <row r="103">
          <cell r="F103" t="str">
            <v>QI</v>
          </cell>
          <cell r="G103" t="str">
            <v>K13</v>
          </cell>
          <cell r="H103" t="str">
            <v>OK</v>
          </cell>
        </row>
        <row r="104">
          <cell r="F104" t="str">
            <v>QI</v>
          </cell>
          <cell r="G104" t="str">
            <v>K14</v>
          </cell>
          <cell r="H104" t="str">
            <v>OK</v>
          </cell>
        </row>
        <row r="105">
          <cell r="F105" t="str">
            <v>QA</v>
          </cell>
          <cell r="G105" t="str">
            <v>L1</v>
          </cell>
          <cell r="H105" t="str">
            <v>OK</v>
          </cell>
        </row>
        <row r="106">
          <cell r="F106" t="str">
            <v>QA</v>
          </cell>
          <cell r="G106" t="str">
            <v>L2</v>
          </cell>
          <cell r="H106" t="str">
            <v>OK</v>
          </cell>
        </row>
        <row r="107">
          <cell r="F107" t="str">
            <v>QA</v>
          </cell>
          <cell r="G107" t="str">
            <v>L3</v>
          </cell>
          <cell r="H107" t="str">
            <v>OK</v>
          </cell>
        </row>
        <row r="108">
          <cell r="F108" t="str">
            <v>QA</v>
          </cell>
          <cell r="G108" t="str">
            <v>L4</v>
          </cell>
          <cell r="H108" t="str">
            <v>OK</v>
          </cell>
        </row>
        <row r="109">
          <cell r="F109" t="str">
            <v>QA</v>
          </cell>
          <cell r="G109" t="str">
            <v>M1</v>
          </cell>
          <cell r="H109" t="str">
            <v>OK</v>
          </cell>
        </row>
        <row r="110">
          <cell r="F110" t="str">
            <v>QA</v>
          </cell>
          <cell r="G110" t="str">
            <v>M2</v>
          </cell>
          <cell r="H110" t="str">
            <v>OK</v>
          </cell>
        </row>
        <row r="111">
          <cell r="F111" t="str">
            <v>QA</v>
          </cell>
          <cell r="G111" t="str">
            <v>M3</v>
          </cell>
          <cell r="H111" t="str">
            <v>OK</v>
          </cell>
        </row>
        <row r="112">
          <cell r="F112" t="str">
            <v>QA</v>
          </cell>
          <cell r="G112" t="str">
            <v>N1</v>
          </cell>
          <cell r="H112" t="str">
            <v>OK</v>
          </cell>
        </row>
        <row r="113">
          <cell r="F113" t="str">
            <v>QA</v>
          </cell>
          <cell r="G113" t="str">
            <v>N2</v>
          </cell>
          <cell r="H113" t="str">
            <v>OK</v>
          </cell>
        </row>
        <row r="114">
          <cell r="F114" t="str">
            <v>QA</v>
          </cell>
          <cell r="G114" t="str">
            <v>O1</v>
          </cell>
          <cell r="H114" t="str">
            <v>OK</v>
          </cell>
        </row>
        <row r="115">
          <cell r="F115" t="str">
            <v>QA</v>
          </cell>
          <cell r="G115" t="str">
            <v>O2</v>
          </cell>
          <cell r="H115" t="str">
            <v>OK</v>
          </cell>
        </row>
        <row r="116">
          <cell r="F116" t="str">
            <v>SA</v>
          </cell>
          <cell r="G116" t="str">
            <v>O3</v>
          </cell>
          <cell r="H116" t="str">
            <v>OK</v>
          </cell>
        </row>
        <row r="117">
          <cell r="F117" t="str">
            <v>QA</v>
          </cell>
          <cell r="G117" t="str">
            <v>O4</v>
          </cell>
          <cell r="H117" t="str">
            <v>OK</v>
          </cell>
        </row>
        <row r="118">
          <cell r="F118" t="str">
            <v>QA</v>
          </cell>
          <cell r="G118" t="str">
            <v>P1</v>
          </cell>
          <cell r="H118" t="str">
            <v>OK</v>
          </cell>
        </row>
        <row r="119">
          <cell r="F119" t="str">
            <v>QA</v>
          </cell>
          <cell r="G119" t="str">
            <v>P2</v>
          </cell>
          <cell r="H119" t="str">
            <v>NO</v>
          </cell>
        </row>
        <row r="120">
          <cell r="F120" t="str">
            <v>QA</v>
          </cell>
          <cell r="G120" t="str">
            <v>P3</v>
          </cell>
          <cell r="H120" t="str">
            <v>NA</v>
          </cell>
        </row>
        <row r="121">
          <cell r="F121" t="str">
            <v>QA</v>
          </cell>
          <cell r="G121" t="str">
            <v>P4</v>
          </cell>
          <cell r="H121" t="str">
            <v>OK</v>
          </cell>
        </row>
        <row r="122">
          <cell r="F122" t="str">
            <v>QI</v>
          </cell>
          <cell r="G122" t="str">
            <v>P5</v>
          </cell>
          <cell r="H122" t="str">
            <v>OK</v>
          </cell>
        </row>
        <row r="123">
          <cell r="F123" t="str">
            <v>QI</v>
          </cell>
          <cell r="G123" t="str">
            <v>P6</v>
          </cell>
          <cell r="H123" t="str">
            <v>NO</v>
          </cell>
        </row>
        <row r="124">
          <cell r="F124" t="str">
            <v>QI</v>
          </cell>
          <cell r="G124" t="str">
            <v>P7</v>
          </cell>
          <cell r="H124" t="str">
            <v>OK</v>
          </cell>
        </row>
        <row r="125">
          <cell r="F125" t="str">
            <v>QI</v>
          </cell>
          <cell r="G125" t="str">
            <v>P8</v>
          </cell>
          <cell r="H125" t="str">
            <v>NA</v>
          </cell>
        </row>
        <row r="126">
          <cell r="F126" t="str">
            <v>QI</v>
          </cell>
          <cell r="G126" t="str">
            <v>P9</v>
          </cell>
          <cell r="H126" t="str">
            <v>OK</v>
          </cell>
        </row>
        <row r="127">
          <cell r="F127" t="str">
            <v>X</v>
          </cell>
          <cell r="G127" t="str">
            <v>X1</v>
          </cell>
          <cell r="H127">
            <v>0</v>
          </cell>
        </row>
        <row r="128">
          <cell r="F128" t="str">
            <v>X</v>
          </cell>
          <cell r="G128" t="str">
            <v>X2</v>
          </cell>
          <cell r="H128">
            <v>0</v>
          </cell>
        </row>
        <row r="129">
          <cell r="F129" t="str">
            <v>X</v>
          </cell>
          <cell r="G129" t="str">
            <v>X3</v>
          </cell>
          <cell r="H129">
            <v>0</v>
          </cell>
        </row>
        <row r="130">
          <cell r="F130" t="str">
            <v>X</v>
          </cell>
          <cell r="G130" t="str">
            <v>X4</v>
          </cell>
          <cell r="H130">
            <v>0</v>
          </cell>
        </row>
        <row r="131">
          <cell r="F131" t="str">
            <v>X</v>
          </cell>
          <cell r="G131" t="str">
            <v>X5</v>
          </cell>
          <cell r="H131">
            <v>0</v>
          </cell>
        </row>
        <row r="132">
          <cell r="F132" t="str">
            <v>X</v>
          </cell>
          <cell r="G132" t="str">
            <v>X6</v>
          </cell>
          <cell r="H132">
            <v>0</v>
          </cell>
        </row>
        <row r="133">
          <cell r="F133" t="str">
            <v>X</v>
          </cell>
          <cell r="G133" t="str">
            <v>X7</v>
          </cell>
          <cell r="H133">
            <v>0</v>
          </cell>
        </row>
        <row r="134">
          <cell r="F134" t="str">
            <v>X</v>
          </cell>
          <cell r="G134" t="str">
            <v>X8</v>
          </cell>
          <cell r="H134">
            <v>0</v>
          </cell>
        </row>
        <row r="135">
          <cell r="F135" t="str">
            <v>X</v>
          </cell>
          <cell r="G135" t="str">
            <v>X9</v>
          </cell>
          <cell r="H135">
            <v>0</v>
          </cell>
        </row>
        <row r="136">
          <cell r="F136" t="str">
            <v>X</v>
          </cell>
          <cell r="G136" t="str">
            <v>X10</v>
          </cell>
          <cell r="H136">
            <v>0</v>
          </cell>
        </row>
        <row r="137">
          <cell r="F137" t="str">
            <v>X</v>
          </cell>
          <cell r="G137" t="str">
            <v>X11</v>
          </cell>
          <cell r="H137">
            <v>0</v>
          </cell>
        </row>
        <row r="138">
          <cell r="F138" t="str">
            <v>X</v>
          </cell>
          <cell r="G138" t="str">
            <v>X12</v>
          </cell>
          <cell r="H138">
            <v>0</v>
          </cell>
        </row>
        <row r="139">
          <cell r="F139" t="str">
            <v>X</v>
          </cell>
          <cell r="G139" t="str">
            <v>X13</v>
          </cell>
          <cell r="H139">
            <v>0</v>
          </cell>
        </row>
        <row r="140">
          <cell r="F140" t="str">
            <v>X</v>
          </cell>
          <cell r="G140" t="str">
            <v>X14</v>
          </cell>
          <cell r="H140">
            <v>0</v>
          </cell>
        </row>
        <row r="141">
          <cell r="F141" t="str">
            <v>X</v>
          </cell>
          <cell r="G141" t="str">
            <v>X15</v>
          </cell>
          <cell r="H141">
            <v>0</v>
          </cell>
        </row>
        <row r="142">
          <cell r="F142" t="str">
            <v>X</v>
          </cell>
          <cell r="G142" t="str">
            <v>X16</v>
          </cell>
          <cell r="H142" t="str">
            <v>✔</v>
          </cell>
        </row>
        <row r="143">
          <cell r="F143" t="str">
            <v>X</v>
          </cell>
          <cell r="G143" t="str">
            <v>X17</v>
          </cell>
          <cell r="H143">
            <v>0</v>
          </cell>
        </row>
        <row r="144">
          <cell r="F144" t="str">
            <v>X</v>
          </cell>
          <cell r="G144" t="str">
            <v>X18</v>
          </cell>
          <cell r="H144">
            <v>0</v>
          </cell>
        </row>
        <row r="145">
          <cell r="F145" t="str">
            <v>X</v>
          </cell>
          <cell r="G145" t="str">
            <v>X19</v>
          </cell>
          <cell r="H145">
            <v>0</v>
          </cell>
        </row>
        <row r="146">
          <cell r="F146" t="str">
            <v>X</v>
          </cell>
          <cell r="G146" t="str">
            <v>X20</v>
          </cell>
          <cell r="H146">
            <v>0</v>
          </cell>
        </row>
        <row r="147">
          <cell r="F147" t="str">
            <v>X</v>
          </cell>
          <cell r="G147" t="str">
            <v>X21</v>
          </cell>
          <cell r="H147">
            <v>0</v>
          </cell>
        </row>
        <row r="148">
          <cell r="F148" t="str">
            <v>Y</v>
          </cell>
          <cell r="G148" t="str">
            <v>Y1</v>
          </cell>
          <cell r="H148">
            <v>0</v>
          </cell>
        </row>
        <row r="149">
          <cell r="F149" t="str">
            <v>Y</v>
          </cell>
          <cell r="G149" t="str">
            <v>Y2</v>
          </cell>
          <cell r="H149">
            <v>0</v>
          </cell>
        </row>
        <row r="150">
          <cell r="F150" t="str">
            <v>Y</v>
          </cell>
          <cell r="G150" t="str">
            <v>Y3</v>
          </cell>
          <cell r="H150">
            <v>0</v>
          </cell>
        </row>
        <row r="151">
          <cell r="F151" t="str">
            <v>Y</v>
          </cell>
          <cell r="G151" t="str">
            <v>Y4</v>
          </cell>
          <cell r="H151">
            <v>0</v>
          </cell>
        </row>
        <row r="152">
          <cell r="F152" t="str">
            <v>Y</v>
          </cell>
          <cell r="G152" t="str">
            <v>Y5</v>
          </cell>
          <cell r="H152">
            <v>0</v>
          </cell>
        </row>
        <row r="153">
          <cell r="F153" t="str">
            <v>Y</v>
          </cell>
          <cell r="G153" t="str">
            <v>Y6</v>
          </cell>
          <cell r="H153">
            <v>0</v>
          </cell>
        </row>
        <row r="154">
          <cell r="F154" t="str">
            <v>Y</v>
          </cell>
          <cell r="G154" t="str">
            <v>Y7</v>
          </cell>
          <cell r="H154">
            <v>0</v>
          </cell>
        </row>
        <row r="155">
          <cell r="F155" t="str">
            <v>Y</v>
          </cell>
          <cell r="G155" t="str">
            <v>Y8</v>
          </cell>
          <cell r="H155">
            <v>0</v>
          </cell>
        </row>
        <row r="156">
          <cell r="F156" t="str">
            <v>Y</v>
          </cell>
          <cell r="G156" t="str">
            <v>Y9</v>
          </cell>
          <cell r="H156">
            <v>0</v>
          </cell>
        </row>
        <row r="157">
          <cell r="F157" t="str">
            <v>Y</v>
          </cell>
          <cell r="G157" t="str">
            <v>Y10</v>
          </cell>
          <cell r="H157">
            <v>0</v>
          </cell>
        </row>
        <row r="158">
          <cell r="F158" t="str">
            <v>Y</v>
          </cell>
          <cell r="G158" t="str">
            <v>Y11</v>
          </cell>
          <cell r="H158" t="str">
            <v>✔</v>
          </cell>
        </row>
        <row r="159">
          <cell r="F159" t="str">
            <v>Y</v>
          </cell>
          <cell r="G159" t="str">
            <v>Y12</v>
          </cell>
          <cell r="H159">
            <v>0</v>
          </cell>
        </row>
        <row r="160">
          <cell r="F160" t="str">
            <v>Y</v>
          </cell>
          <cell r="G160" t="str">
            <v>Y13</v>
          </cell>
          <cell r="H160">
            <v>0</v>
          </cell>
        </row>
        <row r="161">
          <cell r="F161" t="str">
            <v>Y</v>
          </cell>
          <cell r="G161" t="str">
            <v>Y14</v>
          </cell>
          <cell r="H161">
            <v>0</v>
          </cell>
        </row>
        <row r="162">
          <cell r="F162" t="str">
            <v>Y</v>
          </cell>
          <cell r="G162" t="str">
            <v>Y15</v>
          </cell>
          <cell r="H162">
            <v>0</v>
          </cell>
        </row>
        <row r="163">
          <cell r="F163" t="str">
            <v>Y</v>
          </cell>
          <cell r="G163" t="str">
            <v>Y16</v>
          </cell>
          <cell r="H163">
            <v>0</v>
          </cell>
        </row>
        <row r="164">
          <cell r="F164" t="str">
            <v>Y</v>
          </cell>
          <cell r="G164" t="str">
            <v>Y17</v>
          </cell>
          <cell r="H164">
            <v>0</v>
          </cell>
        </row>
        <row r="165">
          <cell r="F165" t="str">
            <v>Y</v>
          </cell>
          <cell r="G165" t="str">
            <v>Y18</v>
          </cell>
          <cell r="H165">
            <v>0</v>
          </cell>
        </row>
        <row r="166">
          <cell r="F166" t="str">
            <v>Y</v>
          </cell>
          <cell r="G166" t="str">
            <v>Y19</v>
          </cell>
          <cell r="H166">
            <v>0</v>
          </cell>
        </row>
        <row r="167">
          <cell r="F167" t="str">
            <v>Y</v>
          </cell>
          <cell r="G167" t="str">
            <v>Y20</v>
          </cell>
          <cell r="H167" t="str">
            <v>✔</v>
          </cell>
        </row>
        <row r="168">
          <cell r="F168" t="str">
            <v>Y</v>
          </cell>
          <cell r="G168" t="str">
            <v>Y21</v>
          </cell>
          <cell r="H168" t="str">
            <v>✔</v>
          </cell>
        </row>
        <row r="169">
          <cell r="F169" t="str">
            <v>Y</v>
          </cell>
          <cell r="G169" t="str">
            <v>Y22</v>
          </cell>
          <cell r="H169">
            <v>0</v>
          </cell>
        </row>
        <row r="170">
          <cell r="F170" t="str">
            <v>Y</v>
          </cell>
          <cell r="G170" t="str">
            <v>Y23</v>
          </cell>
          <cell r="H170">
            <v>0</v>
          </cell>
        </row>
        <row r="171">
          <cell r="F171" t="str">
            <v>Y</v>
          </cell>
          <cell r="G171" t="str">
            <v>Y24</v>
          </cell>
          <cell r="H171" t="str">
            <v>✔</v>
          </cell>
        </row>
        <row r="172">
          <cell r="F172" t="str">
            <v>Y</v>
          </cell>
          <cell r="G172" t="str">
            <v>Y25</v>
          </cell>
          <cell r="H172" t="str">
            <v>✔</v>
          </cell>
        </row>
        <row r="173">
          <cell r="F173" t="str">
            <v>Y</v>
          </cell>
          <cell r="G173" t="str">
            <v>Y26</v>
          </cell>
          <cell r="H173">
            <v>0</v>
          </cell>
        </row>
        <row r="174">
          <cell r="F174" t="str">
            <v>Z</v>
          </cell>
          <cell r="G174" t="str">
            <v>Z1</v>
          </cell>
          <cell r="H174">
            <v>0</v>
          </cell>
        </row>
        <row r="175">
          <cell r="F175" t="str">
            <v>Z</v>
          </cell>
          <cell r="G175" t="str">
            <v>Z2</v>
          </cell>
          <cell r="H175">
            <v>0</v>
          </cell>
        </row>
        <row r="176">
          <cell r="F176" t="str">
            <v>Z</v>
          </cell>
          <cell r="G176" t="str">
            <v>Z3</v>
          </cell>
          <cell r="H176">
            <v>0</v>
          </cell>
        </row>
        <row r="177">
          <cell r="F177" t="str">
            <v>Z</v>
          </cell>
          <cell r="G177" t="str">
            <v>Z4</v>
          </cell>
          <cell r="H177">
            <v>0</v>
          </cell>
        </row>
        <row r="178">
          <cell r="F178" t="str">
            <v>Z</v>
          </cell>
          <cell r="G178" t="str">
            <v>Z5</v>
          </cell>
          <cell r="H178">
            <v>0</v>
          </cell>
        </row>
        <row r="179">
          <cell r="F179" t="str">
            <v>Z</v>
          </cell>
          <cell r="G179" t="str">
            <v>Z6</v>
          </cell>
          <cell r="H179">
            <v>0</v>
          </cell>
        </row>
        <row r="180">
          <cell r="F180" t="str">
            <v>Z</v>
          </cell>
          <cell r="G180" t="str">
            <v>Z7</v>
          </cell>
          <cell r="H180">
            <v>0</v>
          </cell>
        </row>
        <row r="181">
          <cell r="F181" t="str">
            <v>Z</v>
          </cell>
          <cell r="G181" t="str">
            <v>Z8</v>
          </cell>
          <cell r="H181">
            <v>0</v>
          </cell>
        </row>
        <row r="182">
          <cell r="F182" t="str">
            <v>Z</v>
          </cell>
          <cell r="G182" t="str">
            <v>Z9</v>
          </cell>
          <cell r="H182">
            <v>0</v>
          </cell>
        </row>
        <row r="183">
          <cell r="F183" t="str">
            <v>Z</v>
          </cell>
          <cell r="G183" t="str">
            <v>Z10</v>
          </cell>
          <cell r="H183">
            <v>0</v>
          </cell>
        </row>
        <row r="184">
          <cell r="F184" t="str">
            <v>Z</v>
          </cell>
          <cell r="G184" t="str">
            <v>Z11</v>
          </cell>
          <cell r="H184">
            <v>0</v>
          </cell>
        </row>
        <row r="185">
          <cell r="F185" t="str">
            <v>Z</v>
          </cell>
          <cell r="G185" t="str">
            <v>Z12</v>
          </cell>
          <cell r="H185">
            <v>0</v>
          </cell>
        </row>
        <row r="186">
          <cell r="F186" t="str">
            <v>Z</v>
          </cell>
          <cell r="G186" t="str">
            <v>Z13</v>
          </cell>
          <cell r="H186">
            <v>0</v>
          </cell>
        </row>
        <row r="187">
          <cell r="F187" t="str">
            <v>Z</v>
          </cell>
          <cell r="G187" t="str">
            <v>Z14</v>
          </cell>
          <cell r="H187">
            <v>0</v>
          </cell>
        </row>
        <row r="188">
          <cell r="F188" t="str">
            <v>Z</v>
          </cell>
          <cell r="G188" t="str">
            <v>Z15</v>
          </cell>
          <cell r="H188">
            <v>0</v>
          </cell>
        </row>
        <row r="189">
          <cell r="F189" t="str">
            <v>Z</v>
          </cell>
          <cell r="G189" t="str">
            <v>Z16</v>
          </cell>
          <cell r="H189">
            <v>0</v>
          </cell>
        </row>
        <row r="190">
          <cell r="F190" t="str">
            <v>Z</v>
          </cell>
          <cell r="G190" t="str">
            <v>Z17</v>
          </cell>
          <cell r="H190">
            <v>0</v>
          </cell>
        </row>
        <row r="191">
          <cell r="F191" t="str">
            <v>(blank)</v>
          </cell>
          <cell r="G191" t="str">
            <v>(blank)</v>
          </cell>
          <cell r="H191">
            <v>0</v>
          </cell>
        </row>
        <row r="192">
          <cell r="F192">
            <v>0</v>
          </cell>
          <cell r="G192">
            <v>0</v>
          </cell>
          <cell r="H192">
            <v>0</v>
          </cell>
        </row>
        <row r="193">
          <cell r="F193">
            <v>0</v>
          </cell>
          <cell r="G193">
            <v>0</v>
          </cell>
          <cell r="H193">
            <v>0</v>
          </cell>
        </row>
        <row r="194">
          <cell r="F194">
            <v>0</v>
          </cell>
          <cell r="G194">
            <v>0</v>
          </cell>
          <cell r="H194">
            <v>0</v>
          </cell>
        </row>
        <row r="195">
          <cell r="F195">
            <v>0</v>
          </cell>
          <cell r="G195">
            <v>0</v>
          </cell>
          <cell r="H195">
            <v>0</v>
          </cell>
        </row>
        <row r="196">
          <cell r="F196">
            <v>0</v>
          </cell>
          <cell r="G196">
            <v>0</v>
          </cell>
          <cell r="H196">
            <v>0</v>
          </cell>
        </row>
        <row r="197">
          <cell r="F197">
            <v>0</v>
          </cell>
          <cell r="G197">
            <v>0</v>
          </cell>
          <cell r="H197">
            <v>0</v>
          </cell>
        </row>
        <row r="198">
          <cell r="F198">
            <v>0</v>
          </cell>
          <cell r="G198">
            <v>0</v>
          </cell>
          <cell r="H198">
            <v>0</v>
          </cell>
        </row>
        <row r="199">
          <cell r="F199">
            <v>0</v>
          </cell>
          <cell r="G199">
            <v>0</v>
          </cell>
          <cell r="H199">
            <v>0</v>
          </cell>
        </row>
        <row r="200">
          <cell r="F200">
            <v>0</v>
          </cell>
          <cell r="G200">
            <v>0</v>
          </cell>
          <cell r="H200">
            <v>0</v>
          </cell>
        </row>
        <row r="201">
          <cell r="F201">
            <v>0</v>
          </cell>
          <cell r="G201">
            <v>0</v>
          </cell>
          <cell r="H201">
            <v>0</v>
          </cell>
        </row>
        <row r="202">
          <cell r="F202">
            <v>0</v>
          </cell>
          <cell r="G202">
            <v>0</v>
          </cell>
          <cell r="H202">
            <v>0</v>
          </cell>
        </row>
        <row r="203">
          <cell r="F203">
            <v>0</v>
          </cell>
          <cell r="G203">
            <v>0</v>
          </cell>
          <cell r="H203">
            <v>0</v>
          </cell>
        </row>
        <row r="204">
          <cell r="F204">
            <v>0</v>
          </cell>
          <cell r="G204">
            <v>0</v>
          </cell>
          <cell r="H204">
            <v>0</v>
          </cell>
        </row>
      </sheetData>
      <sheetData sheetId="11">
        <row r="1">
          <cell r="C1">
            <v>0</v>
          </cell>
        </row>
        <row r="2">
          <cell r="C2">
            <v>0</v>
          </cell>
        </row>
        <row r="3">
          <cell r="C3">
            <v>0</v>
          </cell>
        </row>
        <row r="4">
          <cell r="C4">
            <v>0</v>
          </cell>
        </row>
        <row r="5">
          <cell r="C5">
            <v>0</v>
          </cell>
        </row>
        <row r="6">
          <cell r="C6">
            <v>0</v>
          </cell>
        </row>
        <row r="7">
          <cell r="C7">
            <v>0</v>
          </cell>
        </row>
        <row r="8">
          <cell r="C8">
            <v>0</v>
          </cell>
        </row>
        <row r="9">
          <cell r="C9">
            <v>0</v>
          </cell>
        </row>
        <row r="10">
          <cell r="C10">
            <v>0</v>
          </cell>
        </row>
        <row r="11">
          <cell r="C11">
            <v>0</v>
          </cell>
        </row>
        <row r="12">
          <cell r="C12">
            <v>0</v>
          </cell>
        </row>
        <row r="13">
          <cell r="C13" t="str">
            <v>B8</v>
          </cell>
        </row>
        <row r="14">
          <cell r="C14" t="str">
            <v>B9</v>
          </cell>
        </row>
        <row r="15">
          <cell r="C15" t="str">
            <v>C4</v>
          </cell>
        </row>
        <row r="16">
          <cell r="C16" t="str">
            <v>C5</v>
          </cell>
        </row>
        <row r="17">
          <cell r="C17" t="str">
            <v>D4</v>
          </cell>
        </row>
        <row r="18">
          <cell r="C18" t="str">
            <v>F1</v>
          </cell>
        </row>
        <row r="19">
          <cell r="C19" t="str">
            <v>F5</v>
          </cell>
        </row>
        <row r="20">
          <cell r="C20" t="str">
            <v>F6</v>
          </cell>
        </row>
        <row r="21">
          <cell r="C21" t="str">
            <v>K12</v>
          </cell>
        </row>
        <row r="22">
          <cell r="C22" t="str">
            <v>P2</v>
          </cell>
        </row>
        <row r="23">
          <cell r="C23" t="str">
            <v>P6</v>
          </cell>
        </row>
        <row r="24">
          <cell r="C24" t="str">
            <v/>
          </cell>
        </row>
        <row r="25">
          <cell r="C25" t="str">
            <v/>
          </cell>
        </row>
        <row r="26">
          <cell r="C26" t="str">
            <v/>
          </cell>
        </row>
        <row r="27">
          <cell r="C27" t="str">
            <v/>
          </cell>
        </row>
        <row r="28">
          <cell r="C28" t="str">
            <v/>
          </cell>
        </row>
        <row r="29">
          <cell r="C29" t="str">
            <v/>
          </cell>
        </row>
        <row r="30">
          <cell r="C30" t="str">
            <v/>
          </cell>
        </row>
        <row r="31">
          <cell r="C31" t="str">
            <v/>
          </cell>
        </row>
        <row r="32">
          <cell r="C32" t="str">
            <v/>
          </cell>
        </row>
        <row r="33">
          <cell r="C33" t="str">
            <v/>
          </cell>
        </row>
        <row r="34">
          <cell r="C34" t="str">
            <v/>
          </cell>
        </row>
        <row r="35">
          <cell r="C35" t="str">
            <v/>
          </cell>
        </row>
        <row r="36">
          <cell r="C36" t="str">
            <v/>
          </cell>
        </row>
        <row r="37">
          <cell r="C37" t="str">
            <v/>
          </cell>
        </row>
        <row r="38">
          <cell r="C38" t="str">
            <v/>
          </cell>
        </row>
        <row r="39">
          <cell r="C39" t="str">
            <v/>
          </cell>
        </row>
        <row r="40">
          <cell r="C40" t="str">
            <v/>
          </cell>
        </row>
        <row r="41">
          <cell r="C41" t="str">
            <v/>
          </cell>
        </row>
        <row r="42">
          <cell r="C42" t="str">
            <v/>
          </cell>
        </row>
        <row r="43">
          <cell r="C43" t="str">
            <v/>
          </cell>
        </row>
        <row r="44">
          <cell r="C44" t="str">
            <v/>
          </cell>
        </row>
        <row r="45">
          <cell r="C45" t="str">
            <v/>
          </cell>
        </row>
        <row r="46">
          <cell r="C46" t="str">
            <v/>
          </cell>
        </row>
        <row r="47">
          <cell r="C47" t="str">
            <v/>
          </cell>
        </row>
        <row r="48">
          <cell r="C48" t="str">
            <v/>
          </cell>
        </row>
        <row r="49">
          <cell r="C49" t="str">
            <v/>
          </cell>
        </row>
        <row r="50">
          <cell r="C50" t="str">
            <v/>
          </cell>
        </row>
        <row r="51">
          <cell r="C51" t="str">
            <v/>
          </cell>
        </row>
        <row r="52">
          <cell r="C52" t="str">
            <v/>
          </cell>
        </row>
        <row r="53">
          <cell r="C53" t="str">
            <v/>
          </cell>
        </row>
        <row r="54">
          <cell r="C54" t="str">
            <v/>
          </cell>
        </row>
        <row r="55">
          <cell r="C55" t="str">
            <v/>
          </cell>
        </row>
        <row r="56">
          <cell r="C56" t="str">
            <v/>
          </cell>
        </row>
        <row r="57">
          <cell r="C57" t="str">
            <v/>
          </cell>
        </row>
        <row r="58">
          <cell r="C58" t="str">
            <v/>
          </cell>
        </row>
        <row r="59">
          <cell r="C59" t="str">
            <v/>
          </cell>
        </row>
        <row r="60">
          <cell r="C60" t="str">
            <v/>
          </cell>
        </row>
        <row r="61">
          <cell r="C61" t="str">
            <v/>
          </cell>
        </row>
        <row r="62">
          <cell r="C62" t="str">
            <v/>
          </cell>
        </row>
        <row r="63">
          <cell r="C63" t="str">
            <v/>
          </cell>
        </row>
        <row r="64">
          <cell r="C64" t="str">
            <v/>
          </cell>
        </row>
        <row r="65">
          <cell r="C65" t="str">
            <v/>
          </cell>
        </row>
        <row r="66">
          <cell r="C66" t="str">
            <v/>
          </cell>
        </row>
        <row r="67">
          <cell r="C67" t="str">
            <v/>
          </cell>
        </row>
        <row r="68">
          <cell r="C68" t="str">
            <v/>
          </cell>
        </row>
        <row r="69">
          <cell r="C69" t="str">
            <v/>
          </cell>
        </row>
        <row r="70">
          <cell r="C70" t="str">
            <v/>
          </cell>
        </row>
        <row r="71">
          <cell r="C71" t="str">
            <v/>
          </cell>
        </row>
        <row r="72">
          <cell r="C72" t="str">
            <v/>
          </cell>
        </row>
        <row r="73">
          <cell r="C73" t="str">
            <v/>
          </cell>
        </row>
        <row r="74">
          <cell r="C74" t="str">
            <v/>
          </cell>
        </row>
        <row r="75">
          <cell r="C75" t="str">
            <v/>
          </cell>
        </row>
        <row r="76">
          <cell r="C76" t="str">
            <v/>
          </cell>
        </row>
        <row r="77">
          <cell r="C77" t="str">
            <v/>
          </cell>
        </row>
        <row r="78">
          <cell r="C78" t="str">
            <v/>
          </cell>
        </row>
        <row r="79">
          <cell r="C79" t="str">
            <v/>
          </cell>
        </row>
        <row r="80">
          <cell r="C80" t="str">
            <v/>
          </cell>
        </row>
        <row r="81">
          <cell r="C81" t="str">
            <v/>
          </cell>
        </row>
        <row r="82">
          <cell r="C82" t="str">
            <v/>
          </cell>
        </row>
        <row r="83">
          <cell r="C83" t="str">
            <v/>
          </cell>
        </row>
        <row r="84">
          <cell r="C84" t="str">
            <v/>
          </cell>
        </row>
        <row r="85">
          <cell r="C85" t="str">
            <v/>
          </cell>
        </row>
        <row r="86">
          <cell r="C86" t="str">
            <v/>
          </cell>
        </row>
        <row r="87">
          <cell r="C87" t="str">
            <v/>
          </cell>
        </row>
        <row r="88">
          <cell r="C88" t="str">
            <v/>
          </cell>
        </row>
        <row r="89">
          <cell r="C89" t="str">
            <v/>
          </cell>
        </row>
        <row r="90">
          <cell r="C90" t="str">
            <v/>
          </cell>
        </row>
        <row r="91">
          <cell r="C91" t="str">
            <v/>
          </cell>
        </row>
        <row r="92">
          <cell r="C92" t="str">
            <v/>
          </cell>
        </row>
        <row r="93">
          <cell r="C93" t="str">
            <v/>
          </cell>
        </row>
        <row r="94">
          <cell r="C94" t="str">
            <v/>
          </cell>
        </row>
        <row r="95">
          <cell r="C95" t="str">
            <v/>
          </cell>
        </row>
        <row r="96">
          <cell r="C96" t="str">
            <v/>
          </cell>
        </row>
        <row r="97">
          <cell r="C97" t="str">
            <v/>
          </cell>
        </row>
        <row r="98">
          <cell r="C98" t="str">
            <v/>
          </cell>
        </row>
        <row r="99">
          <cell r="C99" t="str">
            <v/>
          </cell>
        </row>
        <row r="100">
          <cell r="C100" t="str">
            <v/>
          </cell>
        </row>
        <row r="101">
          <cell r="C101" t="str">
            <v/>
          </cell>
        </row>
        <row r="102">
          <cell r="C102" t="str">
            <v/>
          </cell>
        </row>
        <row r="103">
          <cell r="C103" t="str">
            <v/>
          </cell>
        </row>
        <row r="104">
          <cell r="C104" t="str">
            <v/>
          </cell>
        </row>
        <row r="105">
          <cell r="C105" t="str">
            <v/>
          </cell>
        </row>
        <row r="106">
          <cell r="C106" t="str">
            <v/>
          </cell>
        </row>
        <row r="107">
          <cell r="C107" t="str">
            <v/>
          </cell>
        </row>
        <row r="108">
          <cell r="C108" t="str">
            <v/>
          </cell>
        </row>
        <row r="109">
          <cell r="C109" t="str">
            <v/>
          </cell>
        </row>
        <row r="110">
          <cell r="C110" t="str">
            <v/>
          </cell>
        </row>
        <row r="111">
          <cell r="C111" t="str">
            <v/>
          </cell>
        </row>
        <row r="112">
          <cell r="C112" t="str">
            <v/>
          </cell>
        </row>
        <row r="113">
          <cell r="C113" t="str">
            <v/>
          </cell>
        </row>
        <row r="114">
          <cell r="C114" t="str">
            <v/>
          </cell>
        </row>
        <row r="115">
          <cell r="C115" t="str">
            <v/>
          </cell>
        </row>
        <row r="116">
          <cell r="C116" t="str">
            <v/>
          </cell>
        </row>
        <row r="117">
          <cell r="C117" t="str">
            <v/>
          </cell>
        </row>
        <row r="118">
          <cell r="C118" t="str">
            <v/>
          </cell>
        </row>
        <row r="119">
          <cell r="C119" t="str">
            <v/>
          </cell>
        </row>
        <row r="120">
          <cell r="C120" t="str">
            <v/>
          </cell>
        </row>
        <row r="121">
          <cell r="C121" t="str">
            <v/>
          </cell>
        </row>
        <row r="122">
          <cell r="C122" t="str">
            <v/>
          </cell>
        </row>
        <row r="123">
          <cell r="C123" t="str">
            <v/>
          </cell>
        </row>
        <row r="124">
          <cell r="C124" t="str">
            <v/>
          </cell>
        </row>
        <row r="125">
          <cell r="C125" t="str">
            <v/>
          </cell>
        </row>
        <row r="126">
          <cell r="C126" t="str">
            <v/>
          </cell>
        </row>
        <row r="127">
          <cell r="C127" t="str">
            <v/>
          </cell>
        </row>
        <row r="128">
          <cell r="C128" t="str">
            <v/>
          </cell>
        </row>
        <row r="129">
          <cell r="C129" t="str">
            <v/>
          </cell>
        </row>
        <row r="130">
          <cell r="C130" t="str">
            <v/>
          </cell>
        </row>
        <row r="131">
          <cell r="C131" t="str">
            <v/>
          </cell>
        </row>
        <row r="132">
          <cell r="C132" t="str">
            <v/>
          </cell>
        </row>
        <row r="133">
          <cell r="C133" t="str">
            <v/>
          </cell>
        </row>
        <row r="134">
          <cell r="C134" t="str">
            <v/>
          </cell>
        </row>
        <row r="135">
          <cell r="C135" t="str">
            <v/>
          </cell>
        </row>
        <row r="136">
          <cell r="C136" t="str">
            <v/>
          </cell>
        </row>
        <row r="137">
          <cell r="C137" t="str">
            <v/>
          </cell>
        </row>
        <row r="138">
          <cell r="C138" t="str">
            <v/>
          </cell>
        </row>
        <row r="139">
          <cell r="C139" t="str">
            <v/>
          </cell>
        </row>
        <row r="140">
          <cell r="C140" t="str">
            <v/>
          </cell>
        </row>
        <row r="141">
          <cell r="C141" t="str">
            <v/>
          </cell>
        </row>
        <row r="142">
          <cell r="C142" t="str">
            <v/>
          </cell>
        </row>
        <row r="143">
          <cell r="C143" t="str">
            <v/>
          </cell>
        </row>
        <row r="144">
          <cell r="C144" t="str">
            <v/>
          </cell>
        </row>
        <row r="145">
          <cell r="C145" t="str">
            <v/>
          </cell>
        </row>
        <row r="146">
          <cell r="C146" t="str">
            <v/>
          </cell>
        </row>
        <row r="147">
          <cell r="C147" t="str">
            <v/>
          </cell>
        </row>
        <row r="148">
          <cell r="C148" t="str">
            <v/>
          </cell>
        </row>
        <row r="149">
          <cell r="C149" t="str">
            <v/>
          </cell>
        </row>
        <row r="150">
          <cell r="C150" t="str">
            <v/>
          </cell>
        </row>
        <row r="151">
          <cell r="C151" t="str">
            <v/>
          </cell>
        </row>
        <row r="152">
          <cell r="C152" t="str">
            <v/>
          </cell>
        </row>
        <row r="153">
          <cell r="C153" t="str">
            <v/>
          </cell>
        </row>
        <row r="154">
          <cell r="C154" t="str">
            <v/>
          </cell>
        </row>
        <row r="155">
          <cell r="C155" t="str">
            <v/>
          </cell>
        </row>
        <row r="156">
          <cell r="C156" t="str">
            <v/>
          </cell>
        </row>
        <row r="157">
          <cell r="C157" t="str">
            <v/>
          </cell>
        </row>
        <row r="158">
          <cell r="C158" t="str">
            <v/>
          </cell>
        </row>
        <row r="159">
          <cell r="C159" t="str">
            <v/>
          </cell>
        </row>
        <row r="160">
          <cell r="C160" t="str">
            <v/>
          </cell>
        </row>
        <row r="161">
          <cell r="C161" t="str">
            <v/>
          </cell>
        </row>
        <row r="162">
          <cell r="C162" t="str">
            <v/>
          </cell>
        </row>
        <row r="163">
          <cell r="C163" t="str">
            <v/>
          </cell>
        </row>
        <row r="164">
          <cell r="C164" t="str">
            <v/>
          </cell>
        </row>
        <row r="165">
          <cell r="C165" t="str">
            <v/>
          </cell>
        </row>
        <row r="166">
          <cell r="C166">
            <v>0</v>
          </cell>
        </row>
        <row r="167">
          <cell r="C167">
            <v>0</v>
          </cell>
        </row>
        <row r="168">
          <cell r="C168">
            <v>0</v>
          </cell>
        </row>
        <row r="169">
          <cell r="C169">
            <v>0</v>
          </cell>
        </row>
        <row r="170">
          <cell r="C170">
            <v>0</v>
          </cell>
        </row>
      </sheetData>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otwear.view.summary"/>
      <sheetName val="PPA date request"/>
      <sheetName val="email cover"/>
      <sheetName val="Auditor"/>
      <sheetName val="mapping"/>
      <sheetName val="Data"/>
      <sheetName val="PPA"/>
      <sheetName val="Name"/>
      <sheetName val="footwear.factory_list"/>
      <sheetName val="footwear.view.input"/>
      <sheetName val="test model"/>
      <sheetName val="footwear.model"/>
      <sheetName val="Sheet1"/>
      <sheetName val="Questions with unique formula"/>
      <sheetName val="footwear.controller"/>
      <sheetName val="footwear.ppa_report"/>
      <sheetName val="changelog"/>
    </sheetNames>
    <sheetDataSet>
      <sheetData sheetId="0"/>
      <sheetData sheetId="1"/>
      <sheetData sheetId="2"/>
      <sheetData sheetId="3"/>
      <sheetData sheetId="4"/>
      <sheetData sheetId="5"/>
      <sheetData sheetId="6"/>
      <sheetData sheetId="7">
        <row r="5">
          <cell r="F5">
            <v>42810</v>
          </cell>
        </row>
      </sheetData>
      <sheetData sheetId="8">
        <row r="1">
          <cell r="B1" t="str">
            <v>--Select Factory Name--</v>
          </cell>
          <cell r="C1" t="e">
            <v>#N/A</v>
          </cell>
          <cell r="D1" t="e">
            <v>#N/A</v>
          </cell>
          <cell r="E1" t="e">
            <v>#N/A</v>
          </cell>
          <cell r="F1" t="e">
            <v>#N/A</v>
          </cell>
        </row>
        <row r="2">
          <cell r="B2" t="str">
            <v>BRT</v>
          </cell>
          <cell r="C2">
            <v>31174</v>
          </cell>
          <cell r="D2" t="str">
            <v>Bangkok Rubber (Public) Co.,Lt</v>
          </cell>
          <cell r="E2" t="str">
            <v>THAILANF</v>
          </cell>
          <cell r="F2" t="str">
            <v>Vans</v>
          </cell>
        </row>
        <row r="3">
          <cell r="B3" t="str">
            <v>CLC</v>
          </cell>
          <cell r="C3">
            <v>36171</v>
          </cell>
          <cell r="D3" t="str">
            <v>Carlington Industries Limited</v>
          </cell>
          <cell r="E3" t="str">
            <v>CHINA</v>
          </cell>
          <cell r="F3" t="str">
            <v>Vans &amp; Reef</v>
          </cell>
        </row>
        <row r="4">
          <cell r="B4" t="str">
            <v>CLK</v>
          </cell>
          <cell r="C4">
            <v>59381</v>
          </cell>
          <cell r="D4" t="str">
            <v>Carlington Industries Limited</v>
          </cell>
          <cell r="E4" t="str">
            <v>CAMBODIA</v>
          </cell>
          <cell r="F4" t="str">
            <v>Vans &amp; Reef</v>
          </cell>
        </row>
        <row r="5">
          <cell r="B5" t="str">
            <v>DJC</v>
          </cell>
          <cell r="C5">
            <v>45446</v>
          </cell>
          <cell r="D5" t="str">
            <v>Exhibition Limited</v>
          </cell>
          <cell r="E5" t="str">
            <v>CHINA</v>
          </cell>
          <cell r="F5" t="str">
            <v>Vans &amp; Reef</v>
          </cell>
        </row>
        <row r="6">
          <cell r="B6" t="str">
            <v>DTC</v>
          </cell>
          <cell r="C6">
            <v>17019</v>
          </cell>
          <cell r="D6" t="str">
            <v>Exhibition Limited</v>
          </cell>
          <cell r="E6" t="str">
            <v>CHINA</v>
          </cell>
          <cell r="F6" t="str">
            <v>Vans &amp; Reef</v>
          </cell>
        </row>
        <row r="7">
          <cell r="B7" t="str">
            <v>DTP</v>
          </cell>
          <cell r="C7">
            <v>77014</v>
          </cell>
          <cell r="E7" t="str">
            <v xml:space="preserve">Philippines </v>
          </cell>
          <cell r="F7" t="str">
            <v>Vans &amp; Reef</v>
          </cell>
        </row>
        <row r="8">
          <cell r="B8" t="str">
            <v>EBV</v>
          </cell>
          <cell r="C8">
            <v>16790</v>
          </cell>
          <cell r="D8" t="str">
            <v>Richday Holdings Limited</v>
          </cell>
          <cell r="E8" t="str">
            <v>VIETNAM</v>
          </cell>
          <cell r="F8" t="str">
            <v>Vans &amp; Reef</v>
          </cell>
        </row>
        <row r="9">
          <cell r="B9" t="str">
            <v>EGVT</v>
          </cell>
          <cell r="C9">
            <v>43976</v>
          </cell>
          <cell r="D9" t="str">
            <v>City Light Corp.</v>
          </cell>
          <cell r="E9" t="str">
            <v>VIETNAM</v>
          </cell>
          <cell r="F9" t="str">
            <v>TBL</v>
          </cell>
        </row>
        <row r="10">
          <cell r="B10" t="str">
            <v>Evervan</v>
          </cell>
          <cell r="C10">
            <v>24064</v>
          </cell>
          <cell r="D10" t="str">
            <v xml:space="preserve">Honour Era International Limited </v>
          </cell>
          <cell r="E10" t="str">
            <v>CHINA</v>
          </cell>
          <cell r="F10" t="str">
            <v>TNF</v>
          </cell>
        </row>
        <row r="11">
          <cell r="B11" t="str">
            <v>Fulgent Sun CBD</v>
          </cell>
          <cell r="C11">
            <v>68152</v>
          </cell>
          <cell r="D11" t="str">
            <v xml:space="preserve">Capital Concord Enterprises Limited </v>
          </cell>
          <cell r="E11" t="str">
            <v>CAMBODIA</v>
          </cell>
          <cell r="F11" t="str">
            <v>TNF</v>
          </cell>
        </row>
        <row r="12">
          <cell r="B12" t="str">
            <v>Fulgent Sun Hubei</v>
          </cell>
          <cell r="C12">
            <v>55530</v>
          </cell>
          <cell r="D12" t="str">
            <v xml:space="preserve">Capital Concord Enterprises Limited </v>
          </cell>
          <cell r="E12" t="str">
            <v>CHINA</v>
          </cell>
          <cell r="F12" t="str">
            <v>TNF</v>
          </cell>
        </row>
        <row r="13">
          <cell r="B13" t="str">
            <v>Fulgent Sun Quanzhou</v>
          </cell>
          <cell r="C13">
            <v>26250</v>
          </cell>
          <cell r="D13" t="str">
            <v xml:space="preserve">Capital Concord Enterprises Limited </v>
          </cell>
          <cell r="E13" t="str">
            <v>CHINA</v>
          </cell>
          <cell r="F13" t="str">
            <v>TNF</v>
          </cell>
        </row>
        <row r="14">
          <cell r="B14" t="str">
            <v>Fulgent Sun VN</v>
          </cell>
          <cell r="C14">
            <v>56820</v>
          </cell>
          <cell r="D14" t="str">
            <v xml:space="preserve">Capital Concord Enterprises Limited </v>
          </cell>
          <cell r="E14" t="str">
            <v>VIETNAM</v>
          </cell>
          <cell r="F14" t="str">
            <v>TNF</v>
          </cell>
        </row>
        <row r="15">
          <cell r="B15" t="str">
            <v>GC Bangladesh</v>
          </cell>
          <cell r="C15">
            <v>50656</v>
          </cell>
          <cell r="D15" t="str">
            <v>Trade Max Holdings Limited</v>
          </cell>
          <cell r="E15" t="str">
            <v>BANGLADESH</v>
          </cell>
          <cell r="F15" t="str">
            <v>TBL</v>
          </cell>
        </row>
        <row r="16">
          <cell r="B16" t="str">
            <v>General</v>
          </cell>
          <cell r="E16" t="str">
            <v>VIETNAM</v>
          </cell>
          <cell r="F16" t="str">
            <v>TNF</v>
          </cell>
        </row>
        <row r="17">
          <cell r="B17" t="str">
            <v>Golden Chang</v>
          </cell>
          <cell r="C17">
            <v>21193</v>
          </cell>
          <cell r="D17" t="str">
            <v>Victorious Investments Limited</v>
          </cell>
          <cell r="E17" t="str">
            <v>CHINA</v>
          </cell>
          <cell r="F17" t="str">
            <v>TBL</v>
          </cell>
        </row>
        <row r="18">
          <cell r="B18" t="str">
            <v>Golden Chang VN</v>
          </cell>
          <cell r="C18">
            <v>71704</v>
          </cell>
          <cell r="D18" t="str">
            <v>SUNNY STATE ENTERPRISES LIMITE</v>
          </cell>
          <cell r="E18" t="str">
            <v>VIETNAM</v>
          </cell>
          <cell r="F18" t="str">
            <v>TBL</v>
          </cell>
        </row>
        <row r="19">
          <cell r="B19" t="str">
            <v>HSC</v>
          </cell>
          <cell r="C19">
            <v>55081</v>
          </cell>
          <cell r="D19" t="str">
            <v>Top Up Group Limited</v>
          </cell>
          <cell r="E19" t="str">
            <v>CHINA</v>
          </cell>
          <cell r="F19" t="str">
            <v>Vans &amp; Reef</v>
          </cell>
        </row>
        <row r="20">
          <cell r="B20" t="str">
            <v>ICC</v>
          </cell>
          <cell r="C20">
            <v>34720</v>
          </cell>
          <cell r="D20" t="str">
            <v>K.V.E. (Virgin) Trading Co., Ltd.</v>
          </cell>
          <cell r="E20" t="str">
            <v>CHINA</v>
          </cell>
          <cell r="F20" t="str">
            <v>Vans &amp; Reef</v>
          </cell>
        </row>
        <row r="21">
          <cell r="B21" t="str">
            <v>ICC DC</v>
          </cell>
          <cell r="C21">
            <v>55055</v>
          </cell>
          <cell r="D21" t="str">
            <v>K.V.E. (VIRGIN) TRADING CO., LTD.</v>
          </cell>
          <cell r="E21" t="str">
            <v>CHINA</v>
          </cell>
          <cell r="F21" t="str">
            <v>Vans</v>
          </cell>
        </row>
        <row r="22">
          <cell r="B22" t="str">
            <v>JHV</v>
          </cell>
          <cell r="C22">
            <v>43598</v>
          </cell>
          <cell r="D22" t="str">
            <v>Sun Kuan (BVI) Enterprises Ltd</v>
          </cell>
          <cell r="E22" t="str">
            <v>VIETNAM</v>
          </cell>
          <cell r="F22" t="str">
            <v>Vans &amp; Reef</v>
          </cell>
        </row>
        <row r="23">
          <cell r="B23" t="str">
            <v>Maru Chen - VMC</v>
          </cell>
          <cell r="C23">
            <v>64515</v>
          </cell>
          <cell r="D23" t="str">
            <v>Starright Co., Ltd.</v>
          </cell>
          <cell r="E23" t="str">
            <v>VIETNAM</v>
          </cell>
          <cell r="F23" t="str">
            <v>TNF</v>
          </cell>
        </row>
        <row r="24">
          <cell r="B24" t="str">
            <v>Midas Cambodia</v>
          </cell>
          <cell r="C24">
            <v>63550</v>
          </cell>
          <cell r="D24" t="str">
            <v>Allied Jet Limited</v>
          </cell>
          <cell r="E24" t="str">
            <v>CAMBODIA</v>
          </cell>
          <cell r="F24" t="str">
            <v>TBL</v>
          </cell>
        </row>
        <row r="25">
          <cell r="B25" t="str">
            <v>POU LI VT</v>
          </cell>
          <cell r="C25">
            <v>54194</v>
          </cell>
          <cell r="D25" t="str">
            <v>Sky High Trading Co. Limited</v>
          </cell>
          <cell r="E25" t="str">
            <v>VIETNAM</v>
          </cell>
          <cell r="F25" t="str">
            <v>TBL</v>
          </cell>
        </row>
        <row r="26">
          <cell r="B26" t="str">
            <v>POUHN</v>
          </cell>
          <cell r="C26">
            <v>47057</v>
          </cell>
          <cell r="D26" t="str">
            <v>Sky High Trading Co. Limited</v>
          </cell>
          <cell r="E26" t="str">
            <v>BANGLADESH</v>
          </cell>
          <cell r="F26" t="str">
            <v>TBL</v>
          </cell>
        </row>
        <row r="27">
          <cell r="B27" t="str">
            <v>PYVT</v>
          </cell>
          <cell r="C27">
            <v>57498</v>
          </cell>
          <cell r="D27" t="str">
            <v>Sky High Trading Co. Limited</v>
          </cell>
          <cell r="E27" t="str">
            <v>VIETNAM</v>
          </cell>
          <cell r="F27" t="str">
            <v>TBL</v>
          </cell>
        </row>
        <row r="28">
          <cell r="B28" t="str">
            <v>RFC 10</v>
          </cell>
          <cell r="E28" t="str">
            <v>DOMINICAN REPUBLIC</v>
          </cell>
          <cell r="F28" t="str">
            <v>TBL</v>
          </cell>
        </row>
        <row r="29">
          <cell r="B29" t="str">
            <v>RFC 11</v>
          </cell>
          <cell r="E29" t="str">
            <v>DOMINICAN REPUBLIC</v>
          </cell>
          <cell r="F29" t="str">
            <v>TBL</v>
          </cell>
        </row>
        <row r="30">
          <cell r="B30" t="str">
            <v>RFC 4</v>
          </cell>
          <cell r="E30" t="str">
            <v>DOMINICAN REPUBLIC</v>
          </cell>
          <cell r="F30" t="str">
            <v>TBL</v>
          </cell>
        </row>
        <row r="31">
          <cell r="B31" t="str">
            <v>RFC 5</v>
          </cell>
          <cell r="E31" t="str">
            <v>DOMINICAN REPUBLIC</v>
          </cell>
          <cell r="F31" t="str">
            <v>TBL</v>
          </cell>
        </row>
        <row r="32">
          <cell r="B32" t="str">
            <v>RFC 6</v>
          </cell>
          <cell r="E32" t="str">
            <v>DOMINICAN REPUBLIC</v>
          </cell>
          <cell r="F32" t="str">
            <v>TBL</v>
          </cell>
        </row>
        <row r="33">
          <cell r="B33" t="str">
            <v>RFC 8</v>
          </cell>
          <cell r="E33" t="str">
            <v>DOMINICAN REPUBLIC</v>
          </cell>
          <cell r="F33" t="str">
            <v>TBL</v>
          </cell>
        </row>
        <row r="34">
          <cell r="B34" t="str">
            <v>RSV</v>
          </cell>
          <cell r="C34">
            <v>62020</v>
          </cell>
          <cell r="D34" t="str">
            <v>Castle Sky Limited</v>
          </cell>
          <cell r="E34" t="str">
            <v>VIETNAM</v>
          </cell>
          <cell r="F34" t="str">
            <v>TBL</v>
          </cell>
        </row>
        <row r="35">
          <cell r="B35" t="str">
            <v>S2V</v>
          </cell>
          <cell r="C35">
            <v>71185</v>
          </cell>
          <cell r="D35" t="str">
            <v>Vital Powerhouse Limited</v>
          </cell>
          <cell r="E35" t="str">
            <v>VIETNAM</v>
          </cell>
          <cell r="F35" t="str">
            <v>Vans &amp; Reef</v>
          </cell>
        </row>
        <row r="36">
          <cell r="B36" t="str">
            <v>SAV (Amara)</v>
          </cell>
          <cell r="C36">
            <v>72337</v>
          </cell>
          <cell r="D36" t="str">
            <v>Time Profit Ventures Limited</v>
          </cell>
          <cell r="E36" t="str">
            <v>VIETNAM</v>
          </cell>
          <cell r="F36" t="str">
            <v>Vans &amp; Reef</v>
          </cell>
        </row>
        <row r="37">
          <cell r="B37" t="str">
            <v>Saville GX</v>
          </cell>
          <cell r="C37">
            <v>69100</v>
          </cell>
          <cell r="D37" t="str">
            <v>Stella International Limited</v>
          </cell>
          <cell r="E37" t="str">
            <v>CHINA</v>
          </cell>
          <cell r="F37" t="str">
            <v>TBL</v>
          </cell>
        </row>
        <row r="38">
          <cell r="B38" t="str">
            <v>Shoe Premier</v>
          </cell>
          <cell r="C38">
            <v>62324</v>
          </cell>
          <cell r="D38" t="str">
            <v>Shoe Premier International Limited</v>
          </cell>
          <cell r="E38" t="str">
            <v>CAMBODIA</v>
          </cell>
          <cell r="F38" t="str">
            <v>TBL</v>
          </cell>
        </row>
        <row r="39">
          <cell r="B39" t="str">
            <v>SJD</v>
          </cell>
          <cell r="C39">
            <v>64413</v>
          </cell>
          <cell r="E39" t="str">
            <v>DR</v>
          </cell>
          <cell r="F39" t="str">
            <v>Vans &amp; Reef</v>
          </cell>
        </row>
        <row r="40">
          <cell r="B40" t="str">
            <v>SJV</v>
          </cell>
          <cell r="C40">
            <v>34029</v>
          </cell>
          <cell r="D40" t="str">
            <v>Richday Holdings Limited</v>
          </cell>
          <cell r="E40" t="str">
            <v>VIETNAM</v>
          </cell>
          <cell r="F40" t="str">
            <v>Vans &amp; Reef</v>
          </cell>
        </row>
        <row r="41">
          <cell r="B41" t="str">
            <v>SONYCH</v>
          </cell>
          <cell r="C41">
            <v>25885</v>
          </cell>
          <cell r="D41" t="str">
            <v>The Look (Macao Commercial Offshore) Company Limited</v>
          </cell>
          <cell r="E41" t="str">
            <v>CHINA</v>
          </cell>
          <cell r="F41" t="str">
            <v>TBL</v>
          </cell>
        </row>
        <row r="42">
          <cell r="B42" t="str">
            <v>Stella Bangladesh</v>
          </cell>
          <cell r="C42">
            <v>60027</v>
          </cell>
          <cell r="D42" t="str">
            <v xml:space="preserve">Stella International Trading (Macao Commercial Offshore) Limited </v>
          </cell>
          <cell r="E42" t="str">
            <v>BANGLADESH</v>
          </cell>
          <cell r="F42" t="str">
            <v>TBL</v>
          </cell>
        </row>
        <row r="43">
          <cell r="B43" t="str">
            <v>Stella PH</v>
          </cell>
          <cell r="C43">
            <v>73176</v>
          </cell>
          <cell r="E43" t="str">
            <v xml:space="preserve">Philippines </v>
          </cell>
          <cell r="F43" t="str">
            <v>TBL</v>
          </cell>
        </row>
        <row r="44">
          <cell r="B44" t="str">
            <v>Stella VT</v>
          </cell>
          <cell r="C44">
            <v>47065</v>
          </cell>
          <cell r="D44" t="str">
            <v xml:space="preserve">Stella International Trading (Macao Commercial Offshore) Limited </v>
          </cell>
          <cell r="E44" t="str">
            <v>VIETNAM</v>
          </cell>
          <cell r="F44" t="str">
            <v>TBL</v>
          </cell>
        </row>
        <row r="45">
          <cell r="B45" t="str">
            <v>Strong Bunch</v>
          </cell>
          <cell r="C45">
            <v>53904</v>
          </cell>
          <cell r="D45" t="str">
            <v xml:space="preserve">Tripos Enterprises Inc. </v>
          </cell>
          <cell r="E45" t="str">
            <v>VIETNAM</v>
          </cell>
          <cell r="F45" t="str">
            <v>TBL</v>
          </cell>
        </row>
        <row r="46">
          <cell r="B46" t="str">
            <v>SUNLIGHT</v>
          </cell>
          <cell r="C46">
            <v>34869</v>
          </cell>
          <cell r="D46" t="str">
            <v xml:space="preserve">Sunlight Limited -Macao Commercial Offshore </v>
          </cell>
          <cell r="E46" t="str">
            <v>CHINA</v>
          </cell>
          <cell r="F46" t="str">
            <v>TBL</v>
          </cell>
        </row>
      </sheetData>
      <sheetData sheetId="9">
        <row r="1">
          <cell r="G1" t="str">
            <v>A1</v>
          </cell>
          <cell r="H1" t="str">
            <v>OK</v>
          </cell>
        </row>
        <row r="2">
          <cell r="G2" t="str">
            <v>A2</v>
          </cell>
          <cell r="H2" t="str">
            <v>OK</v>
          </cell>
        </row>
        <row r="3">
          <cell r="G3" t="str">
            <v>A3</v>
          </cell>
          <cell r="H3" t="str">
            <v>OK</v>
          </cell>
        </row>
        <row r="4">
          <cell r="G4" t="str">
            <v>A4</v>
          </cell>
          <cell r="H4" t="str">
            <v>OK</v>
          </cell>
        </row>
        <row r="5">
          <cell r="G5" t="str">
            <v>A5</v>
          </cell>
          <cell r="H5" t="str">
            <v>OK</v>
          </cell>
        </row>
        <row r="6">
          <cell r="G6" t="str">
            <v>A6</v>
          </cell>
          <cell r="H6" t="str">
            <v>OK</v>
          </cell>
        </row>
        <row r="7">
          <cell r="G7" t="str">
            <v>A7</v>
          </cell>
          <cell r="H7" t="str">
            <v>OK</v>
          </cell>
        </row>
        <row r="8">
          <cell r="G8" t="str">
            <v>A8</v>
          </cell>
          <cell r="H8" t="str">
            <v>OK</v>
          </cell>
        </row>
        <row r="9">
          <cell r="G9" t="str">
            <v>A9</v>
          </cell>
          <cell r="H9" t="str">
            <v>OK</v>
          </cell>
        </row>
        <row r="10">
          <cell r="G10" t="str">
            <v>A10</v>
          </cell>
          <cell r="H10" t="str">
            <v>OK</v>
          </cell>
        </row>
        <row r="11">
          <cell r="G11" t="str">
            <v>A11</v>
          </cell>
          <cell r="H11" t="str">
            <v>OK</v>
          </cell>
        </row>
        <row r="12">
          <cell r="G12" t="str">
            <v>A12</v>
          </cell>
          <cell r="H12" t="str">
            <v>OK</v>
          </cell>
        </row>
        <row r="13">
          <cell r="G13" t="str">
            <v>A13</v>
          </cell>
          <cell r="H13" t="str">
            <v>OK</v>
          </cell>
        </row>
        <row r="14">
          <cell r="G14" t="str">
            <v>B1</v>
          </cell>
          <cell r="H14" t="str">
            <v>OK</v>
          </cell>
        </row>
        <row r="15">
          <cell r="G15" t="str">
            <v>B2</v>
          </cell>
          <cell r="H15" t="str">
            <v>OK</v>
          </cell>
        </row>
        <row r="16">
          <cell r="G16" t="str">
            <v>B3</v>
          </cell>
          <cell r="H16" t="str">
            <v>OK</v>
          </cell>
        </row>
        <row r="17">
          <cell r="G17" t="str">
            <v>B4</v>
          </cell>
          <cell r="H17" t="str">
            <v>NO</v>
          </cell>
        </row>
        <row r="18">
          <cell r="G18" t="str">
            <v>B5</v>
          </cell>
          <cell r="H18" t="str">
            <v>OK</v>
          </cell>
        </row>
        <row r="19">
          <cell r="G19" t="str">
            <v>B6</v>
          </cell>
          <cell r="H19" t="str">
            <v>OK</v>
          </cell>
        </row>
        <row r="20">
          <cell r="G20" t="str">
            <v>B7</v>
          </cell>
          <cell r="H20" t="str">
            <v>OK</v>
          </cell>
        </row>
        <row r="21">
          <cell r="G21" t="str">
            <v>B8</v>
          </cell>
          <cell r="H21" t="str">
            <v>OK</v>
          </cell>
        </row>
        <row r="22">
          <cell r="G22" t="str">
            <v>B9</v>
          </cell>
          <cell r="H22" t="str">
            <v>OK</v>
          </cell>
        </row>
        <row r="23">
          <cell r="G23" t="str">
            <v>B10</v>
          </cell>
          <cell r="H23" t="str">
            <v>OK</v>
          </cell>
        </row>
        <row r="24">
          <cell r="G24" t="str">
            <v>B11</v>
          </cell>
          <cell r="H24" t="str">
            <v>OK</v>
          </cell>
        </row>
        <row r="25">
          <cell r="G25" t="str">
            <v>B12</v>
          </cell>
          <cell r="H25" t="str">
            <v>NO</v>
          </cell>
        </row>
        <row r="26">
          <cell r="G26" t="str">
            <v>B13</v>
          </cell>
          <cell r="H26" t="str">
            <v>OK</v>
          </cell>
        </row>
        <row r="27">
          <cell r="G27" t="str">
            <v>B14</v>
          </cell>
          <cell r="H27">
            <v>5</v>
          </cell>
        </row>
        <row r="28">
          <cell r="G28" t="str">
            <v>B15</v>
          </cell>
          <cell r="H28" t="str">
            <v>OK</v>
          </cell>
        </row>
        <row r="29">
          <cell r="G29" t="str">
            <v>B16</v>
          </cell>
          <cell r="H29" t="str">
            <v>OK</v>
          </cell>
        </row>
        <row r="30">
          <cell r="G30" t="str">
            <v>C1</v>
          </cell>
          <cell r="H30" t="str">
            <v>OK</v>
          </cell>
        </row>
        <row r="31">
          <cell r="G31" t="str">
            <v>C2</v>
          </cell>
          <cell r="H31" t="str">
            <v>OK</v>
          </cell>
        </row>
        <row r="32">
          <cell r="G32" t="str">
            <v>C3</v>
          </cell>
          <cell r="H32" t="str">
            <v>OK</v>
          </cell>
        </row>
        <row r="33">
          <cell r="G33" t="str">
            <v>C4</v>
          </cell>
          <cell r="H33" t="str">
            <v>OK</v>
          </cell>
        </row>
        <row r="34">
          <cell r="G34" t="str">
            <v>C5</v>
          </cell>
          <cell r="H34" t="str">
            <v>NO</v>
          </cell>
        </row>
        <row r="35">
          <cell r="G35" t="str">
            <v>C6</v>
          </cell>
          <cell r="H35" t="str">
            <v>OK</v>
          </cell>
        </row>
        <row r="36">
          <cell r="G36" t="str">
            <v>C7</v>
          </cell>
          <cell r="H36" t="str">
            <v>OK</v>
          </cell>
        </row>
        <row r="37">
          <cell r="G37" t="str">
            <v>C8</v>
          </cell>
          <cell r="H37" t="str">
            <v>OK</v>
          </cell>
        </row>
        <row r="38">
          <cell r="G38" t="str">
            <v>C9</v>
          </cell>
          <cell r="H38" t="str">
            <v>OK</v>
          </cell>
        </row>
        <row r="39">
          <cell r="G39" t="str">
            <v>C10</v>
          </cell>
          <cell r="H39">
            <v>5</v>
          </cell>
        </row>
        <row r="40">
          <cell r="G40" t="str">
            <v>C11</v>
          </cell>
          <cell r="H40" t="str">
            <v>OK</v>
          </cell>
        </row>
        <row r="41">
          <cell r="G41" t="str">
            <v>C12</v>
          </cell>
          <cell r="H41" t="str">
            <v>OK</v>
          </cell>
        </row>
        <row r="42">
          <cell r="G42" t="str">
            <v>C13</v>
          </cell>
          <cell r="H42" t="str">
            <v>OK</v>
          </cell>
        </row>
        <row r="43">
          <cell r="G43" t="str">
            <v>C14</v>
          </cell>
          <cell r="H43" t="str">
            <v>OK</v>
          </cell>
        </row>
        <row r="44">
          <cell r="G44" t="str">
            <v>D1</v>
          </cell>
          <cell r="H44" t="str">
            <v>NA</v>
          </cell>
        </row>
        <row r="45">
          <cell r="G45" t="str">
            <v>D2</v>
          </cell>
          <cell r="H45" t="str">
            <v>NA</v>
          </cell>
        </row>
        <row r="46">
          <cell r="G46" t="str">
            <v>D3</v>
          </cell>
          <cell r="H46" t="str">
            <v>NA</v>
          </cell>
        </row>
        <row r="47">
          <cell r="G47" t="str">
            <v>D4</v>
          </cell>
          <cell r="H47" t="str">
            <v>NA</v>
          </cell>
        </row>
        <row r="48">
          <cell r="G48" t="str">
            <v>D5</v>
          </cell>
          <cell r="H48" t="str">
            <v>NA</v>
          </cell>
        </row>
        <row r="49">
          <cell r="G49" t="str">
            <v>D6</v>
          </cell>
          <cell r="H49" t="str">
            <v>NA</v>
          </cell>
        </row>
        <row r="50">
          <cell r="G50" t="str">
            <v>D7</v>
          </cell>
          <cell r="H50" t="str">
            <v>NA</v>
          </cell>
        </row>
        <row r="51">
          <cell r="G51" t="str">
            <v>D8</v>
          </cell>
          <cell r="H51" t="str">
            <v>NA</v>
          </cell>
        </row>
        <row r="52">
          <cell r="G52" t="str">
            <v>D9</v>
          </cell>
          <cell r="H52" t="str">
            <v>NA</v>
          </cell>
        </row>
        <row r="53">
          <cell r="G53" t="str">
            <v>D10</v>
          </cell>
          <cell r="H53" t="str">
            <v>NA</v>
          </cell>
        </row>
        <row r="54">
          <cell r="G54" t="str">
            <v>D11</v>
          </cell>
          <cell r="H54" t="str">
            <v>NA</v>
          </cell>
        </row>
        <row r="55">
          <cell r="G55" t="str">
            <v>D12</v>
          </cell>
          <cell r="H55" t="str">
            <v>NA</v>
          </cell>
        </row>
        <row r="56">
          <cell r="G56" t="str">
            <v>D13</v>
          </cell>
          <cell r="H56" t="str">
            <v>NA</v>
          </cell>
        </row>
        <row r="57">
          <cell r="G57" t="str">
            <v>D14</v>
          </cell>
          <cell r="H57" t="str">
            <v>NA</v>
          </cell>
        </row>
        <row r="58">
          <cell r="G58" t="str">
            <v>D15</v>
          </cell>
          <cell r="H58" t="str">
            <v>NA</v>
          </cell>
        </row>
        <row r="59">
          <cell r="G59" t="str">
            <v>D16</v>
          </cell>
          <cell r="H59" t="str">
            <v>NA</v>
          </cell>
        </row>
        <row r="60">
          <cell r="G60" t="str">
            <v>D17</v>
          </cell>
          <cell r="H60" t="str">
            <v>NA</v>
          </cell>
        </row>
        <row r="61">
          <cell r="G61" t="str">
            <v>E1</v>
          </cell>
          <cell r="H61" t="str">
            <v>NA</v>
          </cell>
        </row>
        <row r="62">
          <cell r="G62" t="str">
            <v>E2</v>
          </cell>
          <cell r="H62" t="str">
            <v>NA</v>
          </cell>
        </row>
        <row r="63">
          <cell r="G63" t="str">
            <v>E3</v>
          </cell>
          <cell r="H63" t="str">
            <v>NA</v>
          </cell>
        </row>
        <row r="64">
          <cell r="G64" t="str">
            <v>E4</v>
          </cell>
          <cell r="H64" t="str">
            <v>NA</v>
          </cell>
        </row>
        <row r="65">
          <cell r="G65" t="str">
            <v>E5</v>
          </cell>
          <cell r="H65" t="str">
            <v>NA</v>
          </cell>
        </row>
        <row r="66">
          <cell r="G66" t="str">
            <v>F1</v>
          </cell>
          <cell r="H66" t="str">
            <v>OK</v>
          </cell>
        </row>
        <row r="67">
          <cell r="G67" t="str">
            <v>F2</v>
          </cell>
          <cell r="H67" t="str">
            <v>OK</v>
          </cell>
        </row>
        <row r="68">
          <cell r="G68" t="str">
            <v>F3</v>
          </cell>
          <cell r="H68" t="str">
            <v>OK</v>
          </cell>
        </row>
        <row r="69">
          <cell r="G69" t="str">
            <v>F4</v>
          </cell>
          <cell r="H69" t="str">
            <v>OK</v>
          </cell>
        </row>
        <row r="70">
          <cell r="G70" t="str">
            <v>F5</v>
          </cell>
          <cell r="H70" t="str">
            <v>OK</v>
          </cell>
        </row>
        <row r="71">
          <cell r="G71" t="str">
            <v>F6</v>
          </cell>
          <cell r="H71" t="str">
            <v>OK</v>
          </cell>
        </row>
        <row r="72">
          <cell r="G72" t="str">
            <v>F7</v>
          </cell>
          <cell r="H72" t="str">
            <v>OK</v>
          </cell>
        </row>
        <row r="73">
          <cell r="G73" t="str">
            <v>F8</v>
          </cell>
          <cell r="H73" t="str">
            <v>OK</v>
          </cell>
        </row>
        <row r="74">
          <cell r="G74" t="str">
            <v>F9</v>
          </cell>
          <cell r="H74" t="str">
            <v>NO</v>
          </cell>
        </row>
        <row r="75">
          <cell r="G75" t="str">
            <v>F10</v>
          </cell>
          <cell r="H75" t="str">
            <v>OK</v>
          </cell>
        </row>
        <row r="76">
          <cell r="G76" t="str">
            <v>F11</v>
          </cell>
          <cell r="H76" t="str">
            <v>OK</v>
          </cell>
        </row>
        <row r="77">
          <cell r="G77" t="str">
            <v>F12</v>
          </cell>
          <cell r="H77" t="str">
            <v>OK</v>
          </cell>
        </row>
        <row r="78">
          <cell r="G78" t="str">
            <v>F13</v>
          </cell>
          <cell r="H78" t="str">
            <v>OK</v>
          </cell>
        </row>
        <row r="79">
          <cell r="G79" t="str">
            <v>F14</v>
          </cell>
          <cell r="H79" t="str">
            <v>OK</v>
          </cell>
        </row>
        <row r="80">
          <cell r="G80" t="str">
            <v>F15</v>
          </cell>
          <cell r="H80" t="str">
            <v>OK</v>
          </cell>
        </row>
        <row r="81">
          <cell r="G81" t="str">
            <v>F16</v>
          </cell>
          <cell r="H81" t="str">
            <v>OK</v>
          </cell>
        </row>
        <row r="82">
          <cell r="G82" t="str">
            <v>F17</v>
          </cell>
          <cell r="H82" t="str">
            <v>OK</v>
          </cell>
        </row>
        <row r="83">
          <cell r="G83" t="str">
            <v>F18</v>
          </cell>
          <cell r="H83">
            <v>12</v>
          </cell>
        </row>
        <row r="84">
          <cell r="G84" t="str">
            <v>F19</v>
          </cell>
          <cell r="H84" t="str">
            <v>OK</v>
          </cell>
        </row>
        <row r="85">
          <cell r="G85" t="str">
            <v>F20</v>
          </cell>
          <cell r="H85" t="str">
            <v>OK</v>
          </cell>
        </row>
        <row r="86">
          <cell r="G86" t="str">
            <v>F21</v>
          </cell>
          <cell r="H86" t="str">
            <v>NA</v>
          </cell>
        </row>
        <row r="87">
          <cell r="G87" t="str">
            <v>F22</v>
          </cell>
          <cell r="H87" t="str">
            <v>OK</v>
          </cell>
        </row>
        <row r="88">
          <cell r="G88" t="str">
            <v>F23</v>
          </cell>
          <cell r="H88" t="str">
            <v>OK</v>
          </cell>
        </row>
        <row r="89">
          <cell r="G89" t="str">
            <v>F24</v>
          </cell>
          <cell r="H89" t="str">
            <v>OK</v>
          </cell>
        </row>
        <row r="90">
          <cell r="G90" t="str">
            <v>F25</v>
          </cell>
          <cell r="H90" t="str">
            <v>OK</v>
          </cell>
        </row>
        <row r="91">
          <cell r="G91" t="str">
            <v>F26</v>
          </cell>
          <cell r="H91" t="str">
            <v>OK</v>
          </cell>
        </row>
        <row r="92">
          <cell r="G92" t="str">
            <v>G1</v>
          </cell>
          <cell r="H92" t="str">
            <v>OK</v>
          </cell>
        </row>
        <row r="93">
          <cell r="G93" t="str">
            <v>G2</v>
          </cell>
          <cell r="H93" t="str">
            <v>OK</v>
          </cell>
        </row>
        <row r="94">
          <cell r="G94" t="str">
            <v>G3</v>
          </cell>
          <cell r="H94" t="str">
            <v>OK</v>
          </cell>
        </row>
        <row r="95">
          <cell r="G95" t="str">
            <v>G4</v>
          </cell>
          <cell r="H95" t="str">
            <v>OK</v>
          </cell>
        </row>
        <row r="96">
          <cell r="G96" t="str">
            <v>G5</v>
          </cell>
          <cell r="H96" t="str">
            <v>OK</v>
          </cell>
        </row>
        <row r="97">
          <cell r="G97" t="str">
            <v>H1</v>
          </cell>
          <cell r="H97" t="str">
            <v>OK</v>
          </cell>
        </row>
        <row r="98">
          <cell r="G98" t="str">
            <v>H2</v>
          </cell>
          <cell r="H98" t="str">
            <v>NO</v>
          </cell>
        </row>
        <row r="99">
          <cell r="G99" t="str">
            <v>H3</v>
          </cell>
          <cell r="H99" t="str">
            <v>NO</v>
          </cell>
        </row>
        <row r="100">
          <cell r="G100" t="str">
            <v>H4</v>
          </cell>
          <cell r="H100" t="str">
            <v>OK</v>
          </cell>
        </row>
        <row r="101">
          <cell r="G101" t="str">
            <v>H5</v>
          </cell>
          <cell r="H101" t="str">
            <v>OK</v>
          </cell>
        </row>
        <row r="102">
          <cell r="G102" t="str">
            <v>H6</v>
          </cell>
          <cell r="H102" t="str">
            <v>OK</v>
          </cell>
        </row>
        <row r="103">
          <cell r="G103" t="str">
            <v>H7</v>
          </cell>
          <cell r="H103" t="str">
            <v>OK</v>
          </cell>
        </row>
        <row r="104">
          <cell r="G104" t="str">
            <v>H8</v>
          </cell>
          <cell r="H104" t="str">
            <v>OK</v>
          </cell>
        </row>
        <row r="105">
          <cell r="G105" t="str">
            <v>H9</v>
          </cell>
          <cell r="H105" t="str">
            <v>OK</v>
          </cell>
        </row>
        <row r="106">
          <cell r="G106" t="str">
            <v>H10</v>
          </cell>
          <cell r="H106" t="str">
            <v>OK</v>
          </cell>
        </row>
        <row r="107">
          <cell r="G107" t="str">
            <v>H11</v>
          </cell>
          <cell r="H107" t="str">
            <v>OK</v>
          </cell>
        </row>
        <row r="108">
          <cell r="G108" t="str">
            <v>H12</v>
          </cell>
          <cell r="H108" t="str">
            <v>OK</v>
          </cell>
        </row>
        <row r="109">
          <cell r="G109" t="str">
            <v>H13</v>
          </cell>
          <cell r="H109" t="str">
            <v>OK</v>
          </cell>
        </row>
        <row r="110">
          <cell r="G110" t="str">
            <v>H14</v>
          </cell>
          <cell r="H110" t="str">
            <v>OK</v>
          </cell>
        </row>
        <row r="111">
          <cell r="G111" t="str">
            <v>H15</v>
          </cell>
          <cell r="H111" t="str">
            <v>OK</v>
          </cell>
        </row>
        <row r="112">
          <cell r="G112" t="str">
            <v>H16</v>
          </cell>
          <cell r="H112" t="str">
            <v>OK</v>
          </cell>
        </row>
        <row r="113">
          <cell r="G113" t="str">
            <v>I1</v>
          </cell>
          <cell r="H113" t="str">
            <v>OK</v>
          </cell>
        </row>
        <row r="114">
          <cell r="G114" t="str">
            <v>I2</v>
          </cell>
          <cell r="H114" t="str">
            <v>OK</v>
          </cell>
        </row>
        <row r="115">
          <cell r="G115" t="str">
            <v>I3</v>
          </cell>
          <cell r="H115" t="str">
            <v>OK</v>
          </cell>
        </row>
        <row r="116">
          <cell r="G116" t="str">
            <v>I4</v>
          </cell>
          <cell r="H116" t="str">
            <v>OK</v>
          </cell>
        </row>
        <row r="117">
          <cell r="G117" t="str">
            <v>I5</v>
          </cell>
          <cell r="H117" t="str">
            <v>OK</v>
          </cell>
        </row>
        <row r="118">
          <cell r="G118" t="str">
            <v>I6</v>
          </cell>
          <cell r="H118" t="str">
            <v>OK</v>
          </cell>
        </row>
        <row r="119">
          <cell r="G119" t="str">
            <v>I7</v>
          </cell>
          <cell r="H119" t="str">
            <v>OK</v>
          </cell>
        </row>
        <row r="120">
          <cell r="G120" t="str">
            <v>I8</v>
          </cell>
          <cell r="H120" t="str">
            <v>OK</v>
          </cell>
        </row>
        <row r="121">
          <cell r="G121" t="str">
            <v>I9</v>
          </cell>
          <cell r="H121" t="str">
            <v>OK</v>
          </cell>
        </row>
        <row r="122">
          <cell r="G122" t="str">
            <v>J1</v>
          </cell>
          <cell r="H122" t="str">
            <v>OK</v>
          </cell>
        </row>
        <row r="123">
          <cell r="G123" t="str">
            <v>J2</v>
          </cell>
          <cell r="H123" t="str">
            <v>OK</v>
          </cell>
        </row>
        <row r="124">
          <cell r="G124" t="str">
            <v>J3</v>
          </cell>
          <cell r="H124" t="str">
            <v>OK</v>
          </cell>
        </row>
        <row r="125">
          <cell r="G125" t="str">
            <v>Z1</v>
          </cell>
          <cell r="H125">
            <v>0</v>
          </cell>
        </row>
        <row r="126">
          <cell r="G126" t="str">
            <v>Z2</v>
          </cell>
          <cell r="H126">
            <v>0</v>
          </cell>
        </row>
        <row r="127">
          <cell r="G127" t="str">
            <v>Z3</v>
          </cell>
          <cell r="H127">
            <v>0</v>
          </cell>
        </row>
        <row r="128">
          <cell r="G128" t="str">
            <v>Z4</v>
          </cell>
          <cell r="H128">
            <v>0</v>
          </cell>
        </row>
        <row r="129">
          <cell r="G129" t="str">
            <v>Z5</v>
          </cell>
          <cell r="H129">
            <v>0</v>
          </cell>
        </row>
        <row r="130">
          <cell r="G130" t="str">
            <v>Z6</v>
          </cell>
          <cell r="H130">
            <v>0</v>
          </cell>
        </row>
        <row r="131">
          <cell r="G131" t="str">
            <v>Z7</v>
          </cell>
          <cell r="H131">
            <v>0</v>
          </cell>
        </row>
        <row r="132">
          <cell r="G132" t="str">
            <v>Z8</v>
          </cell>
          <cell r="H132">
            <v>0</v>
          </cell>
        </row>
        <row r="133">
          <cell r="G133" t="str">
            <v>Z9</v>
          </cell>
          <cell r="H133">
            <v>0</v>
          </cell>
        </row>
        <row r="134">
          <cell r="G134" t="str">
            <v>Z10</v>
          </cell>
          <cell r="H134">
            <v>0</v>
          </cell>
        </row>
        <row r="135">
          <cell r="G135" t="str">
            <v>Z11</v>
          </cell>
          <cell r="H135">
            <v>0</v>
          </cell>
        </row>
        <row r="136">
          <cell r="G136" t="str">
            <v>Z12</v>
          </cell>
          <cell r="H136">
            <v>0</v>
          </cell>
        </row>
        <row r="137">
          <cell r="G137" t="str">
            <v>Z13</v>
          </cell>
          <cell r="H137">
            <v>0</v>
          </cell>
        </row>
        <row r="138">
          <cell r="G138" t="str">
            <v>Z14</v>
          </cell>
          <cell r="H138">
            <v>0</v>
          </cell>
        </row>
        <row r="139">
          <cell r="G139" t="str">
            <v>Z15</v>
          </cell>
          <cell r="H139">
            <v>0</v>
          </cell>
        </row>
        <row r="140">
          <cell r="G140" t="str">
            <v>Z16</v>
          </cell>
          <cell r="H140">
            <v>0</v>
          </cell>
        </row>
        <row r="141">
          <cell r="G141" t="str">
            <v>Z17</v>
          </cell>
          <cell r="H141">
            <v>0</v>
          </cell>
        </row>
        <row r="142">
          <cell r="G142" t="str">
            <v>(blank)</v>
          </cell>
        </row>
      </sheetData>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09"/>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R62" sqref="R62"/>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24"/>
      <c r="Q1" s="24"/>
      <c r="R1" s="24"/>
    </row>
    <row r="2" spans="1:59" ht="31.8">
      <c r="A2" s="82" t="s">
        <v>13</v>
      </c>
      <c r="B2" s="82"/>
      <c r="C2" s="82"/>
      <c r="D2" s="82"/>
      <c r="E2" s="82"/>
      <c r="F2" s="82"/>
      <c r="G2" s="82"/>
      <c r="H2" s="82"/>
      <c r="I2" s="82"/>
      <c r="J2" s="82"/>
      <c r="K2" s="82"/>
      <c r="L2" s="82"/>
      <c r="M2" s="82"/>
      <c r="N2" s="82"/>
      <c r="O2" s="82"/>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85">
        <v>45261</v>
      </c>
      <c r="B5" s="87" t="s">
        <v>37</v>
      </c>
      <c r="C5" s="89">
        <v>1</v>
      </c>
      <c r="D5" s="91" t="s">
        <v>38</v>
      </c>
      <c r="E5" s="89">
        <v>84217</v>
      </c>
      <c r="F5" s="89" t="s">
        <v>49</v>
      </c>
      <c r="G5" s="93" t="s">
        <v>55</v>
      </c>
      <c r="H5" s="90" t="s">
        <v>50</v>
      </c>
      <c r="I5" s="90">
        <v>1739</v>
      </c>
      <c r="J5" s="90">
        <v>1739</v>
      </c>
      <c r="K5" s="20">
        <v>0</v>
      </c>
      <c r="L5" s="20">
        <v>0</v>
      </c>
      <c r="M5" s="20">
        <v>0</v>
      </c>
      <c r="N5" s="97">
        <f>O6/L6</f>
        <v>0.56871765382403683</v>
      </c>
      <c r="O5" s="21">
        <f t="shared" ref="O5:O38" si="0">L5-M5</f>
        <v>0</v>
      </c>
      <c r="P5" s="27">
        <v>0</v>
      </c>
      <c r="Q5" s="99">
        <f t="shared" ref="Q5" si="1">+L6-P6</f>
        <v>0</v>
      </c>
      <c r="R5" s="101" t="s">
        <v>64</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6"/>
      <c r="B6" s="88"/>
      <c r="C6" s="90"/>
      <c r="D6" s="92"/>
      <c r="E6" s="90"/>
      <c r="F6" s="90"/>
      <c r="G6" s="94"/>
      <c r="H6" s="95"/>
      <c r="I6" s="95"/>
      <c r="J6" s="95"/>
      <c r="K6" s="22">
        <f>1263+116+73+47+64+174+2</f>
        <v>1739</v>
      </c>
      <c r="L6" s="18">
        <f>1263+116+73+10+10+96+169+2</f>
        <v>1739</v>
      </c>
      <c r="M6" s="18">
        <f>507+54+29+10+51+97+2</f>
        <v>750</v>
      </c>
      <c r="N6" s="98"/>
      <c r="O6" s="19">
        <f t="shared" si="0"/>
        <v>989</v>
      </c>
      <c r="P6" s="22">
        <f>1155+144+108+10+45+61+144+72</f>
        <v>1739</v>
      </c>
      <c r="Q6" s="100"/>
      <c r="R6" s="102"/>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85">
        <v>45261</v>
      </c>
      <c r="B7" s="87" t="s">
        <v>37</v>
      </c>
      <c r="C7" s="89">
        <v>1</v>
      </c>
      <c r="D7" s="91" t="s">
        <v>38</v>
      </c>
      <c r="E7" s="89">
        <v>84217</v>
      </c>
      <c r="F7" s="89" t="s">
        <v>49</v>
      </c>
      <c r="G7" s="93" t="s">
        <v>55</v>
      </c>
      <c r="H7" s="90" t="s">
        <v>39</v>
      </c>
      <c r="I7" s="90">
        <v>4918</v>
      </c>
      <c r="J7" s="90">
        <v>2258</v>
      </c>
      <c r="K7" s="20">
        <v>0</v>
      </c>
      <c r="L7" s="20">
        <v>0</v>
      </c>
      <c r="M7" s="20">
        <v>0</v>
      </c>
      <c r="N7" s="97">
        <f>O8/L8</f>
        <v>0.65560538116591927</v>
      </c>
      <c r="O7" s="21">
        <f>L7-M7</f>
        <v>0</v>
      </c>
      <c r="P7" s="27">
        <v>0</v>
      </c>
      <c r="Q7" s="99">
        <f t="shared" ref="Q7" si="2">+L8-P8</f>
        <v>36</v>
      </c>
      <c r="R7" s="101" t="s">
        <v>64</v>
      </c>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6"/>
      <c r="B8" s="88"/>
      <c r="C8" s="90"/>
      <c r="D8" s="92"/>
      <c r="E8" s="90"/>
      <c r="F8" s="90"/>
      <c r="G8" s="94"/>
      <c r="H8" s="95"/>
      <c r="I8" s="95"/>
      <c r="J8" s="95"/>
      <c r="K8" s="22">
        <f>2230</f>
        <v>2230</v>
      </c>
      <c r="L8" s="18">
        <f>2230</f>
        <v>2230</v>
      </c>
      <c r="M8" s="18">
        <f>768</f>
        <v>768</v>
      </c>
      <c r="N8" s="98"/>
      <c r="O8" s="19">
        <f t="shared" ref="O8" si="3">L8-M8</f>
        <v>1462</v>
      </c>
      <c r="P8" s="22">
        <f>2194</f>
        <v>2194</v>
      </c>
      <c r="Q8" s="100"/>
      <c r="R8" s="102"/>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5.75" customHeight="1">
      <c r="A9" s="85">
        <v>45261</v>
      </c>
      <c r="B9" s="87" t="s">
        <v>37</v>
      </c>
      <c r="C9" s="89">
        <v>1</v>
      </c>
      <c r="D9" s="91" t="s">
        <v>38</v>
      </c>
      <c r="E9" s="89">
        <v>84217</v>
      </c>
      <c r="F9" s="89" t="s">
        <v>49</v>
      </c>
      <c r="G9" s="93" t="s">
        <v>61</v>
      </c>
      <c r="H9" s="90" t="s">
        <v>41</v>
      </c>
      <c r="I9" s="90">
        <v>1883</v>
      </c>
      <c r="J9" s="90">
        <v>1883</v>
      </c>
      <c r="K9" s="20">
        <v>127</v>
      </c>
      <c r="L9" s="20">
        <v>10</v>
      </c>
      <c r="M9" s="20">
        <v>0</v>
      </c>
      <c r="N9" s="97">
        <f>O10/L10</f>
        <v>0.77069096431283224</v>
      </c>
      <c r="O9" s="21">
        <f t="shared" si="0"/>
        <v>10</v>
      </c>
      <c r="P9" s="27">
        <v>127</v>
      </c>
      <c r="Q9" s="99">
        <f t="shared" ref="Q9" si="4">+L10-P10</f>
        <v>177</v>
      </c>
      <c r="R9" s="85"/>
      <c r="S9" s="96"/>
      <c r="T9" s="96">
        <v>5</v>
      </c>
      <c r="U9" s="96">
        <v>3</v>
      </c>
      <c r="V9" s="96"/>
      <c r="W9" s="96"/>
      <c r="X9" s="96"/>
      <c r="Y9" s="96"/>
      <c r="Z9" s="96"/>
      <c r="AA9" s="96"/>
      <c r="AB9" s="96"/>
      <c r="AC9" s="96"/>
      <c r="AD9" s="96"/>
      <c r="AE9" s="96"/>
      <c r="AF9" s="96"/>
      <c r="AG9" s="96"/>
      <c r="AH9" s="96">
        <v>2</v>
      </c>
      <c r="AI9" s="96"/>
      <c r="AJ9" s="96"/>
      <c r="AK9" s="96"/>
      <c r="AL9" s="96"/>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6"/>
      <c r="B10" s="88"/>
      <c r="C10" s="90"/>
      <c r="D10" s="92"/>
      <c r="E10" s="90"/>
      <c r="F10" s="90"/>
      <c r="G10" s="94"/>
      <c r="H10" s="95"/>
      <c r="I10" s="95"/>
      <c r="J10" s="95"/>
      <c r="K10" s="22">
        <f>197+105+183+94+214+167+177+130+264+162+127</f>
        <v>1820</v>
      </c>
      <c r="L10" s="18">
        <f>197+105+183+30+30+262+272+188+20+20+10</f>
        <v>1317</v>
      </c>
      <c r="M10" s="18">
        <f>20+34+27+8+72+93+39+5+4</f>
        <v>302</v>
      </c>
      <c r="N10" s="98"/>
      <c r="O10" s="19">
        <f t="shared" si="0"/>
        <v>1015</v>
      </c>
      <c r="P10" s="22">
        <f>20+138+161+8+180+320+119+34+33+127</f>
        <v>1140</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5.75" customHeight="1">
      <c r="A11" s="85">
        <v>45261</v>
      </c>
      <c r="B11" s="87" t="s">
        <v>37</v>
      </c>
      <c r="C11" s="89">
        <v>1</v>
      </c>
      <c r="D11" s="91" t="s">
        <v>38</v>
      </c>
      <c r="E11" s="89">
        <v>84217</v>
      </c>
      <c r="F11" s="89" t="s">
        <v>49</v>
      </c>
      <c r="G11" s="93" t="s">
        <v>63</v>
      </c>
      <c r="H11" s="90" t="s">
        <v>47</v>
      </c>
      <c r="I11" s="90">
        <v>2103</v>
      </c>
      <c r="J11" s="90">
        <v>2103</v>
      </c>
      <c r="K11" s="20">
        <v>288</v>
      </c>
      <c r="L11" s="20">
        <v>89</v>
      </c>
      <c r="M11" s="20">
        <v>48</v>
      </c>
      <c r="N11" s="97">
        <f>O12/L12</f>
        <v>0.57113613101330607</v>
      </c>
      <c r="O11" s="21">
        <f t="shared" si="0"/>
        <v>41</v>
      </c>
      <c r="P11" s="27">
        <v>48</v>
      </c>
      <c r="Q11" s="99">
        <f t="shared" ref="Q11" si="5">+L12-P12</f>
        <v>302</v>
      </c>
      <c r="R11" s="85"/>
      <c r="S11" s="96">
        <v>19</v>
      </c>
      <c r="T11" s="96">
        <v>3</v>
      </c>
      <c r="U11" s="96"/>
      <c r="V11" s="96"/>
      <c r="W11" s="96"/>
      <c r="X11" s="96"/>
      <c r="Y11" s="96"/>
      <c r="Z11" s="96"/>
      <c r="AA11" s="96"/>
      <c r="AB11" s="96"/>
      <c r="AC11" s="96">
        <v>4</v>
      </c>
      <c r="AD11" s="96"/>
      <c r="AE11" s="96">
        <v>2</v>
      </c>
      <c r="AF11" s="96">
        <v>7</v>
      </c>
      <c r="AG11" s="96">
        <v>2</v>
      </c>
      <c r="AH11" s="96"/>
      <c r="AI11" s="96">
        <v>2</v>
      </c>
      <c r="AJ11" s="96"/>
      <c r="AK11" s="96"/>
      <c r="AL11" s="96">
        <v>2</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6"/>
      <c r="B12" s="88"/>
      <c r="C12" s="90"/>
      <c r="D12" s="92"/>
      <c r="E12" s="90"/>
      <c r="F12" s="90"/>
      <c r="G12" s="94"/>
      <c r="H12" s="95"/>
      <c r="I12" s="95"/>
      <c r="J12" s="95"/>
      <c r="K12" s="22">
        <f>646+325+235+397+185+288</f>
        <v>2076</v>
      </c>
      <c r="L12" s="18">
        <f>180+224+270+114+100+89</f>
        <v>977</v>
      </c>
      <c r="M12" s="18">
        <f>49+99+127+52+44+48</f>
        <v>419</v>
      </c>
      <c r="N12" s="98"/>
      <c r="O12" s="19">
        <f t="shared" si="0"/>
        <v>558</v>
      </c>
      <c r="P12" s="22">
        <f>49+102+165+80+231+48</f>
        <v>675</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5.75" customHeight="1">
      <c r="A13" s="85">
        <v>45261</v>
      </c>
      <c r="B13" s="87" t="s">
        <v>37</v>
      </c>
      <c r="C13" s="89">
        <v>1</v>
      </c>
      <c r="D13" s="91" t="s">
        <v>38</v>
      </c>
      <c r="E13" s="89">
        <v>84217</v>
      </c>
      <c r="F13" s="89" t="s">
        <v>49</v>
      </c>
      <c r="G13" s="93" t="s">
        <v>63</v>
      </c>
      <c r="H13" s="90" t="s">
        <v>39</v>
      </c>
      <c r="I13" s="90">
        <v>4965</v>
      </c>
      <c r="J13" s="90">
        <v>965</v>
      </c>
      <c r="K13" s="20">
        <v>52</v>
      </c>
      <c r="L13" s="20">
        <v>10</v>
      </c>
      <c r="M13" s="20">
        <v>0</v>
      </c>
      <c r="N13" s="97">
        <f>O14/L14</f>
        <v>0.90740740740740744</v>
      </c>
      <c r="O13" s="21">
        <f t="shared" si="0"/>
        <v>10</v>
      </c>
      <c r="P13" s="27">
        <v>30</v>
      </c>
      <c r="Q13" s="99">
        <f t="shared" ref="Q13" si="6">+L14-P14</f>
        <v>38</v>
      </c>
      <c r="R13" s="85"/>
      <c r="S13" s="96">
        <v>2</v>
      </c>
      <c r="T13" s="96"/>
      <c r="U13" s="96">
        <v>3</v>
      </c>
      <c r="V13" s="96"/>
      <c r="W13" s="96"/>
      <c r="X13" s="96"/>
      <c r="Y13" s="96"/>
      <c r="Z13" s="96"/>
      <c r="AA13" s="96"/>
      <c r="AB13" s="96"/>
      <c r="AC13" s="96"/>
      <c r="AD13" s="96">
        <v>2</v>
      </c>
      <c r="AE13" s="96"/>
      <c r="AF13" s="96"/>
      <c r="AG13" s="96"/>
      <c r="AH13" s="96">
        <v>3</v>
      </c>
      <c r="AI13" s="96"/>
      <c r="AJ13" s="96"/>
      <c r="AK13" s="96"/>
      <c r="AL13" s="96"/>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6"/>
      <c r="B14" s="88"/>
      <c r="C14" s="90"/>
      <c r="D14" s="92"/>
      <c r="E14" s="90"/>
      <c r="F14" s="90"/>
      <c r="G14" s="94"/>
      <c r="H14" s="95"/>
      <c r="I14" s="95"/>
      <c r="J14" s="95"/>
      <c r="K14" s="22">
        <f>5+13+70+100+67+52</f>
        <v>307</v>
      </c>
      <c r="L14" s="18">
        <f>5+13+60+10+10+10</f>
        <v>108</v>
      </c>
      <c r="M14" s="18">
        <f>10</f>
        <v>10</v>
      </c>
      <c r="N14" s="98"/>
      <c r="O14" s="19">
        <f t="shared" si="0"/>
        <v>98</v>
      </c>
      <c r="P14" s="22">
        <f>10+30+30</f>
        <v>70</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5.75" customHeight="1">
      <c r="A15" s="85">
        <v>45261</v>
      </c>
      <c r="B15" s="87" t="s">
        <v>37</v>
      </c>
      <c r="C15" s="89">
        <v>1</v>
      </c>
      <c r="D15" s="91" t="s">
        <v>38</v>
      </c>
      <c r="E15" s="89">
        <v>84217</v>
      </c>
      <c r="F15" s="89" t="s">
        <v>49</v>
      </c>
      <c r="G15" s="93" t="s">
        <v>63</v>
      </c>
      <c r="H15" s="90" t="s">
        <v>41</v>
      </c>
      <c r="I15" s="90">
        <v>1219</v>
      </c>
      <c r="J15" s="90">
        <v>1219</v>
      </c>
      <c r="K15" s="20">
        <v>61</v>
      </c>
      <c r="L15" s="20">
        <v>10</v>
      </c>
      <c r="M15" s="20">
        <v>0</v>
      </c>
      <c r="N15" s="97">
        <f>O16/L16</f>
        <v>0.57647058823529407</v>
      </c>
      <c r="O15" s="21">
        <f t="shared" si="0"/>
        <v>10</v>
      </c>
      <c r="P15" s="27">
        <v>10</v>
      </c>
      <c r="Q15" s="99">
        <f t="shared" ref="Q15" si="7">+L16-P16</f>
        <v>39</v>
      </c>
      <c r="R15" s="85"/>
      <c r="S15" s="96"/>
      <c r="T15" s="96">
        <v>2</v>
      </c>
      <c r="U15" s="96"/>
      <c r="V15" s="96"/>
      <c r="W15" s="96"/>
      <c r="X15" s="96"/>
      <c r="Y15" s="96"/>
      <c r="Z15" s="96"/>
      <c r="AA15" s="96"/>
      <c r="AB15" s="96"/>
      <c r="AC15" s="96">
        <v>3</v>
      </c>
      <c r="AD15" s="96"/>
      <c r="AE15" s="96"/>
      <c r="AF15" s="96">
        <v>3</v>
      </c>
      <c r="AG15" s="96"/>
      <c r="AH15" s="96">
        <v>2</v>
      </c>
      <c r="AI15" s="96"/>
      <c r="AJ15" s="96"/>
      <c r="AK15" s="96"/>
      <c r="AL15" s="96"/>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6"/>
      <c r="B16" s="88"/>
      <c r="C16" s="90"/>
      <c r="D16" s="92"/>
      <c r="E16" s="90"/>
      <c r="F16" s="90"/>
      <c r="G16" s="94"/>
      <c r="H16" s="95"/>
      <c r="I16" s="95"/>
      <c r="J16" s="95"/>
      <c r="K16" s="22">
        <f>103+85+198+61</f>
        <v>447</v>
      </c>
      <c r="L16" s="18">
        <f>9+46+10+10+10</f>
        <v>85</v>
      </c>
      <c r="M16" s="18">
        <f>9+17+10</f>
        <v>36</v>
      </c>
      <c r="N16" s="98"/>
      <c r="O16" s="19">
        <f t="shared" si="0"/>
        <v>49</v>
      </c>
      <c r="P16" s="22">
        <f>9+17+10+10</f>
        <v>46</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85">
        <v>45261</v>
      </c>
      <c r="B17" s="87" t="s">
        <v>37</v>
      </c>
      <c r="C17" s="89">
        <v>1</v>
      </c>
      <c r="D17" s="91" t="s">
        <v>38</v>
      </c>
      <c r="E17" s="89">
        <v>84212</v>
      </c>
      <c r="F17" s="89" t="s">
        <v>49</v>
      </c>
      <c r="G17" s="93" t="s">
        <v>55</v>
      </c>
      <c r="H17" s="90" t="s">
        <v>62</v>
      </c>
      <c r="I17" s="90">
        <v>2248</v>
      </c>
      <c r="J17" s="90">
        <v>608</v>
      </c>
      <c r="K17" s="20">
        <v>0</v>
      </c>
      <c r="L17" s="20">
        <v>10</v>
      </c>
      <c r="M17" s="20">
        <v>0</v>
      </c>
      <c r="N17" s="97">
        <f>O18/L18</f>
        <v>0.7963709677419355</v>
      </c>
      <c r="O17" s="21">
        <f t="shared" si="0"/>
        <v>10</v>
      </c>
      <c r="P17" s="27">
        <v>0</v>
      </c>
      <c r="Q17" s="99">
        <f t="shared" ref="Q17" si="8">+L18-P18</f>
        <v>92</v>
      </c>
      <c r="R17" s="85"/>
      <c r="S17" s="96"/>
      <c r="T17" s="96"/>
      <c r="U17" s="96">
        <v>2</v>
      </c>
      <c r="V17" s="96"/>
      <c r="W17" s="96"/>
      <c r="X17" s="96"/>
      <c r="Y17" s="96"/>
      <c r="Z17" s="96"/>
      <c r="AA17" s="96"/>
      <c r="AB17" s="96"/>
      <c r="AC17" s="96">
        <v>3</v>
      </c>
      <c r="AD17" s="96"/>
      <c r="AE17" s="96"/>
      <c r="AF17" s="96"/>
      <c r="AG17" s="96"/>
      <c r="AH17" s="96"/>
      <c r="AI17" s="96"/>
      <c r="AJ17" s="96"/>
      <c r="AK17" s="96"/>
      <c r="AL17" s="96">
        <v>5</v>
      </c>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6"/>
      <c r="B18" s="88"/>
      <c r="C18" s="90"/>
      <c r="D18" s="92"/>
      <c r="E18" s="90"/>
      <c r="F18" s="90"/>
      <c r="G18" s="94"/>
      <c r="H18" s="95"/>
      <c r="I18" s="95"/>
      <c r="J18" s="95"/>
      <c r="K18" s="22">
        <f>63+36+60+117+70+60+110+60+19</f>
        <v>595</v>
      </c>
      <c r="L18" s="18">
        <f>63+36+20+10+141+94+102+10+10+10</f>
        <v>496</v>
      </c>
      <c r="M18" s="18">
        <f>13+7+34+21+22+4</f>
        <v>101</v>
      </c>
      <c r="N18" s="98"/>
      <c r="O18" s="19">
        <f t="shared" si="0"/>
        <v>395</v>
      </c>
      <c r="P18" s="22">
        <f>13+52+71+138+116+10+4</f>
        <v>404</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85">
        <v>45261</v>
      </c>
      <c r="B19" s="87" t="s">
        <v>37</v>
      </c>
      <c r="C19" s="89">
        <v>1</v>
      </c>
      <c r="D19" s="91" t="s">
        <v>38</v>
      </c>
      <c r="E19" s="89">
        <v>84212</v>
      </c>
      <c r="F19" s="89" t="s">
        <v>49</v>
      </c>
      <c r="G19" s="93" t="s">
        <v>55</v>
      </c>
      <c r="H19" s="90" t="s">
        <v>59</v>
      </c>
      <c r="I19" s="90">
        <v>708</v>
      </c>
      <c r="J19" s="90">
        <v>708</v>
      </c>
      <c r="K19" s="20">
        <v>110</v>
      </c>
      <c r="L19" s="20">
        <v>0</v>
      </c>
      <c r="M19" s="20">
        <v>0</v>
      </c>
      <c r="N19" s="97">
        <f>O20/L20</f>
        <v>0.75</v>
      </c>
      <c r="O19" s="21">
        <f t="shared" ref="O19:O20" si="9">L19-M19</f>
        <v>0</v>
      </c>
      <c r="P19" s="27">
        <v>0</v>
      </c>
      <c r="Q19" s="99">
        <f t="shared" ref="Q19" si="10">+L20-P20</f>
        <v>105</v>
      </c>
      <c r="R19" s="85"/>
      <c r="S19" s="96"/>
      <c r="T19" s="96"/>
      <c r="U19" s="96"/>
      <c r="V19" s="96"/>
      <c r="W19" s="96"/>
      <c r="X19" s="96"/>
      <c r="Y19" s="96"/>
      <c r="Z19" s="96"/>
      <c r="AA19" s="96"/>
      <c r="AB19" s="96"/>
      <c r="AC19" s="96"/>
      <c r="AD19" s="96"/>
      <c r="AE19" s="96"/>
      <c r="AF19" s="96"/>
      <c r="AG19" s="96"/>
      <c r="AH19" s="96"/>
      <c r="AI19" s="96"/>
      <c r="AJ19" s="96"/>
      <c r="AK19" s="96"/>
      <c r="AL19" s="96"/>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6"/>
      <c r="B20" s="88"/>
      <c r="C20" s="90"/>
      <c r="D20" s="92"/>
      <c r="E20" s="90"/>
      <c r="F20" s="90"/>
      <c r="G20" s="94"/>
      <c r="H20" s="95"/>
      <c r="I20" s="95"/>
      <c r="J20" s="95"/>
      <c r="K20" s="22">
        <f>105+109+70+77+65+110</f>
        <v>536</v>
      </c>
      <c r="L20" s="18">
        <f>25+50+65</f>
        <v>140</v>
      </c>
      <c r="M20" s="18">
        <f>15+20</f>
        <v>35</v>
      </c>
      <c r="N20" s="98"/>
      <c r="O20" s="19">
        <f t="shared" si="9"/>
        <v>105</v>
      </c>
      <c r="P20" s="22">
        <f>15+20</f>
        <v>35</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85">
        <v>45261</v>
      </c>
      <c r="B21" s="87" t="s">
        <v>37</v>
      </c>
      <c r="C21" s="89">
        <v>1</v>
      </c>
      <c r="D21" s="91" t="s">
        <v>38</v>
      </c>
      <c r="E21" s="89">
        <v>84212</v>
      </c>
      <c r="F21" s="89" t="s">
        <v>49</v>
      </c>
      <c r="G21" s="93" t="s">
        <v>61</v>
      </c>
      <c r="H21" s="90" t="s">
        <v>65</v>
      </c>
      <c r="I21" s="90">
        <v>533</v>
      </c>
      <c r="J21" s="90">
        <v>533</v>
      </c>
      <c r="K21" s="20">
        <v>81</v>
      </c>
      <c r="L21" s="20">
        <v>10</v>
      </c>
      <c r="M21" s="20">
        <v>0</v>
      </c>
      <c r="N21" s="97">
        <f>O22/L22</f>
        <v>1</v>
      </c>
      <c r="O21" s="21">
        <f t="shared" si="0"/>
        <v>10</v>
      </c>
      <c r="P21" s="27">
        <v>0</v>
      </c>
      <c r="Q21" s="99">
        <f t="shared" ref="Q21" si="11">+L22-P22</f>
        <v>10</v>
      </c>
      <c r="R21" s="85"/>
      <c r="S21" s="96"/>
      <c r="T21" s="96">
        <v>3</v>
      </c>
      <c r="U21" s="96"/>
      <c r="V21" s="96"/>
      <c r="W21" s="96"/>
      <c r="X21" s="96"/>
      <c r="Y21" s="96"/>
      <c r="Z21" s="96"/>
      <c r="AA21" s="96"/>
      <c r="AB21" s="96"/>
      <c r="AC21" s="96">
        <v>4</v>
      </c>
      <c r="AD21" s="96"/>
      <c r="AE21" s="96"/>
      <c r="AF21" s="96"/>
      <c r="AG21" s="96"/>
      <c r="AH21" s="96">
        <v>1</v>
      </c>
      <c r="AI21" s="96"/>
      <c r="AJ21" s="96"/>
      <c r="AK21" s="96"/>
      <c r="AL21" s="96">
        <v>2</v>
      </c>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6"/>
      <c r="B22" s="88"/>
      <c r="C22" s="90"/>
      <c r="D22" s="92"/>
      <c r="E22" s="90"/>
      <c r="F22" s="90"/>
      <c r="G22" s="94"/>
      <c r="H22" s="95"/>
      <c r="I22" s="95"/>
      <c r="J22" s="95"/>
      <c r="K22" s="22">
        <f>81</f>
        <v>81</v>
      </c>
      <c r="L22" s="18">
        <f>10</f>
        <v>10</v>
      </c>
      <c r="M22" s="18">
        <v>0</v>
      </c>
      <c r="N22" s="98"/>
      <c r="O22" s="19">
        <f t="shared" si="0"/>
        <v>10</v>
      </c>
      <c r="P22" s="22">
        <v>0</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85">
        <v>45261</v>
      </c>
      <c r="B23" s="87" t="s">
        <v>37</v>
      </c>
      <c r="C23" s="89">
        <v>1</v>
      </c>
      <c r="D23" s="91" t="s">
        <v>38</v>
      </c>
      <c r="E23" s="89">
        <v>84426</v>
      </c>
      <c r="F23" s="89" t="s">
        <v>49</v>
      </c>
      <c r="G23" s="93" t="s">
        <v>55</v>
      </c>
      <c r="H23" s="90" t="s">
        <v>58</v>
      </c>
      <c r="I23" s="90">
        <v>549</v>
      </c>
      <c r="J23" s="90">
        <v>549</v>
      </c>
      <c r="K23" s="20">
        <v>0</v>
      </c>
      <c r="L23" s="20">
        <v>0</v>
      </c>
      <c r="M23" s="20">
        <v>0</v>
      </c>
      <c r="N23" s="97">
        <f>O24/L24</f>
        <v>0.81238615664845171</v>
      </c>
      <c r="O23" s="21">
        <f t="shared" si="0"/>
        <v>0</v>
      </c>
      <c r="P23" s="27">
        <v>0</v>
      </c>
      <c r="Q23" s="99">
        <f t="shared" ref="Q23" si="12">+L24-P24</f>
        <v>3</v>
      </c>
      <c r="R23" s="108"/>
      <c r="S23" s="96"/>
      <c r="T23" s="96"/>
      <c r="U23" s="96"/>
      <c r="V23" s="96"/>
      <c r="W23" s="96"/>
      <c r="X23" s="96"/>
      <c r="Y23" s="96"/>
      <c r="Z23" s="96"/>
      <c r="AA23" s="96"/>
      <c r="AB23" s="96"/>
      <c r="AC23" s="96"/>
      <c r="AD23" s="96"/>
      <c r="AE23" s="96"/>
      <c r="AF23" s="96"/>
      <c r="AG23" s="96"/>
      <c r="AH23" s="96"/>
      <c r="AI23" s="96"/>
      <c r="AJ23" s="96"/>
      <c r="AK23" s="96"/>
      <c r="AL23" s="96"/>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6"/>
      <c r="B24" s="88"/>
      <c r="C24" s="90"/>
      <c r="D24" s="92"/>
      <c r="E24" s="90"/>
      <c r="F24" s="90"/>
      <c r="G24" s="94"/>
      <c r="H24" s="95"/>
      <c r="I24" s="95"/>
      <c r="J24" s="95"/>
      <c r="K24" s="22">
        <f>483+66</f>
        <v>549</v>
      </c>
      <c r="L24" s="18">
        <f>483+66</f>
        <v>549</v>
      </c>
      <c r="M24" s="18">
        <f>86+17</f>
        <v>103</v>
      </c>
      <c r="N24" s="98"/>
      <c r="O24" s="19">
        <f t="shared" si="0"/>
        <v>446</v>
      </c>
      <c r="P24" s="22">
        <f>453+80+11+2</f>
        <v>546</v>
      </c>
      <c r="Q24" s="100"/>
      <c r="R24" s="85"/>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85">
        <v>45261</v>
      </c>
      <c r="B25" s="87" t="s">
        <v>37</v>
      </c>
      <c r="C25" s="89">
        <v>1</v>
      </c>
      <c r="D25" s="91" t="s">
        <v>38</v>
      </c>
      <c r="E25" s="89">
        <v>84352</v>
      </c>
      <c r="F25" s="89" t="s">
        <v>49</v>
      </c>
      <c r="G25" s="93" t="s">
        <v>53</v>
      </c>
      <c r="H25" s="90" t="s">
        <v>58</v>
      </c>
      <c r="I25" s="90">
        <v>1134</v>
      </c>
      <c r="J25" s="90">
        <v>1134</v>
      </c>
      <c r="K25" s="20">
        <v>1</v>
      </c>
      <c r="L25" s="20">
        <v>1</v>
      </c>
      <c r="M25" s="20">
        <v>1</v>
      </c>
      <c r="N25" s="97">
        <f>O26/L26</f>
        <v>0.74691358024691357</v>
      </c>
      <c r="O25" s="21">
        <f t="shared" si="0"/>
        <v>0</v>
      </c>
      <c r="P25" s="27">
        <v>1</v>
      </c>
      <c r="Q25" s="99">
        <f t="shared" ref="Q25" si="13">+L26-P26</f>
        <v>0</v>
      </c>
      <c r="R25" s="85" t="s">
        <v>69</v>
      </c>
      <c r="S25" s="96"/>
      <c r="T25" s="96"/>
      <c r="U25" s="96"/>
      <c r="V25" s="96"/>
      <c r="W25" s="96"/>
      <c r="X25" s="96"/>
      <c r="Y25" s="96"/>
      <c r="Z25" s="96"/>
      <c r="AA25" s="96"/>
      <c r="AB25" s="96"/>
      <c r="AC25" s="96"/>
      <c r="AD25" s="96"/>
      <c r="AE25" s="96"/>
      <c r="AF25" s="96"/>
      <c r="AG25" s="96"/>
      <c r="AH25" s="96"/>
      <c r="AI25" s="96"/>
      <c r="AJ25" s="96"/>
      <c r="AK25" s="96"/>
      <c r="AL25" s="96"/>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6"/>
      <c r="B26" s="88"/>
      <c r="C26" s="90"/>
      <c r="D26" s="92"/>
      <c r="E26" s="90"/>
      <c r="F26" s="90"/>
      <c r="G26" s="94"/>
      <c r="H26" s="95"/>
      <c r="I26" s="95"/>
      <c r="J26" s="95"/>
      <c r="K26" s="22">
        <f>1107+9+17+1</f>
        <v>1134</v>
      </c>
      <c r="L26" s="18">
        <f>9+1107+17+1</f>
        <v>1134</v>
      </c>
      <c r="M26" s="18">
        <f>281+3+2+1</f>
        <v>287</v>
      </c>
      <c r="N26" s="98"/>
      <c r="O26" s="19">
        <f t="shared" si="0"/>
        <v>847</v>
      </c>
      <c r="P26" s="22">
        <f>1089+13+14+2+15+1</f>
        <v>1134</v>
      </c>
      <c r="Q26" s="100"/>
      <c r="R26" s="86"/>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85">
        <v>45261</v>
      </c>
      <c r="B27" s="87" t="s">
        <v>37</v>
      </c>
      <c r="C27" s="89">
        <v>1</v>
      </c>
      <c r="D27" s="91" t="s">
        <v>38</v>
      </c>
      <c r="E27" s="89">
        <v>84352</v>
      </c>
      <c r="F27" s="89" t="s">
        <v>49</v>
      </c>
      <c r="G27" s="93" t="s">
        <v>53</v>
      </c>
      <c r="H27" s="90" t="s">
        <v>54</v>
      </c>
      <c r="I27" s="90">
        <v>813</v>
      </c>
      <c r="J27" s="90">
        <v>813</v>
      </c>
      <c r="K27" s="20">
        <v>0</v>
      </c>
      <c r="L27" s="20">
        <v>0</v>
      </c>
      <c r="M27" s="20">
        <v>0</v>
      </c>
      <c r="N27" s="97">
        <f>O28/L28</f>
        <v>0.66420664206642066</v>
      </c>
      <c r="O27" s="21">
        <f t="shared" ref="O27:O28" si="14">L27-M27</f>
        <v>0</v>
      </c>
      <c r="P27" s="27">
        <v>129</v>
      </c>
      <c r="Q27" s="99">
        <f t="shared" ref="Q27" si="15">+L28-P28</f>
        <v>0</v>
      </c>
      <c r="R27" s="85" t="s">
        <v>69</v>
      </c>
      <c r="S27" s="96"/>
      <c r="T27" s="96"/>
      <c r="U27" s="96"/>
      <c r="V27" s="96"/>
      <c r="W27" s="96"/>
      <c r="X27" s="96"/>
      <c r="Y27" s="96"/>
      <c r="Z27" s="96"/>
      <c r="AA27" s="96"/>
      <c r="AB27" s="96"/>
      <c r="AC27" s="96"/>
      <c r="AD27" s="96"/>
      <c r="AE27" s="96"/>
      <c r="AF27" s="96"/>
      <c r="AG27" s="96"/>
      <c r="AH27" s="96"/>
      <c r="AI27" s="96"/>
      <c r="AJ27" s="96"/>
      <c r="AK27" s="96"/>
      <c r="AL27" s="96"/>
      <c r="AM27" s="103"/>
      <c r="AN27" s="103"/>
      <c r="AO27" s="103"/>
      <c r="AP27" s="103"/>
      <c r="AQ27" s="103"/>
      <c r="AR27" s="103"/>
      <c r="AS27" s="103"/>
      <c r="AT27" s="103"/>
      <c r="AU27" s="103"/>
      <c r="AV27" s="103"/>
      <c r="AW27" s="103"/>
      <c r="AX27" s="103"/>
      <c r="AY27" s="106"/>
      <c r="AZ27" s="106"/>
      <c r="BA27" s="106"/>
      <c r="BB27" s="106"/>
      <c r="BC27" s="106"/>
      <c r="BD27" s="106"/>
      <c r="BE27" s="103"/>
      <c r="BF27" s="104"/>
      <c r="BG27" s="104"/>
    </row>
    <row r="28" spans="1:59" s="17" customFormat="1" ht="15.75" customHeight="1">
      <c r="A28" s="86"/>
      <c r="B28" s="88"/>
      <c r="C28" s="90"/>
      <c r="D28" s="92"/>
      <c r="E28" s="90"/>
      <c r="F28" s="90"/>
      <c r="G28" s="94"/>
      <c r="H28" s="95"/>
      <c r="I28" s="95"/>
      <c r="J28" s="95"/>
      <c r="K28" s="22">
        <f>107+58+34+78+83+126+40+37+65+27+39+105+14</f>
        <v>813</v>
      </c>
      <c r="L28" s="18">
        <f>107+58+34+78+20+10+76+30+97+104+105+80+14</f>
        <v>813</v>
      </c>
      <c r="M28" s="18">
        <f>21+20+8+28+5+40+6+46+34+35+30</f>
        <v>273</v>
      </c>
      <c r="N28" s="98"/>
      <c r="O28" s="19">
        <f t="shared" si="14"/>
        <v>540</v>
      </c>
      <c r="P28" s="22">
        <f>679+5+129</f>
        <v>813</v>
      </c>
      <c r="Q28" s="100"/>
      <c r="R28" s="86"/>
      <c r="S28" s="96"/>
      <c r="T28" s="96"/>
      <c r="U28" s="96"/>
      <c r="V28" s="96"/>
      <c r="W28" s="96"/>
      <c r="X28" s="96"/>
      <c r="Y28" s="96"/>
      <c r="Z28" s="96"/>
      <c r="AA28" s="96"/>
      <c r="AB28" s="96"/>
      <c r="AC28" s="96"/>
      <c r="AD28" s="96"/>
      <c r="AE28" s="96"/>
      <c r="AF28" s="96"/>
      <c r="AG28" s="96"/>
      <c r="AH28" s="96"/>
      <c r="AI28" s="96"/>
      <c r="AJ28" s="96"/>
      <c r="AK28" s="96"/>
      <c r="AL28" s="96"/>
      <c r="AM28" s="103"/>
      <c r="AN28" s="103"/>
      <c r="AO28" s="103"/>
      <c r="AP28" s="103"/>
      <c r="AQ28" s="103"/>
      <c r="AR28" s="103"/>
      <c r="AS28" s="103"/>
      <c r="AT28" s="103"/>
      <c r="AU28" s="103"/>
      <c r="AV28" s="103"/>
      <c r="AW28" s="103"/>
      <c r="AX28" s="103"/>
      <c r="AY28" s="107"/>
      <c r="AZ28" s="107"/>
      <c r="BA28" s="107"/>
      <c r="BB28" s="107"/>
      <c r="BC28" s="107"/>
      <c r="BD28" s="107"/>
      <c r="BE28" s="103"/>
      <c r="BF28" s="105"/>
      <c r="BG28" s="105"/>
    </row>
    <row r="29" spans="1:59" s="17" customFormat="1" ht="15.75" customHeight="1">
      <c r="A29" s="85">
        <v>45261</v>
      </c>
      <c r="B29" s="87" t="s">
        <v>37</v>
      </c>
      <c r="C29" s="89">
        <v>1</v>
      </c>
      <c r="D29" s="91" t="s">
        <v>38</v>
      </c>
      <c r="E29" s="89">
        <v>84352</v>
      </c>
      <c r="F29" s="89" t="s">
        <v>49</v>
      </c>
      <c r="G29" s="93" t="s">
        <v>55</v>
      </c>
      <c r="H29" s="109" t="s">
        <v>39</v>
      </c>
      <c r="I29" s="90">
        <v>1050</v>
      </c>
      <c r="J29" s="90">
        <v>473</v>
      </c>
      <c r="K29" s="20">
        <v>24</v>
      </c>
      <c r="L29" s="20">
        <v>10</v>
      </c>
      <c r="M29" s="20">
        <v>0</v>
      </c>
      <c r="N29" s="97">
        <f>O30/L30</f>
        <v>1</v>
      </c>
      <c r="O29" s="21">
        <f t="shared" si="0"/>
        <v>10</v>
      </c>
      <c r="P29" s="27">
        <v>0</v>
      </c>
      <c r="Q29" s="99">
        <f t="shared" ref="Q29" si="16">+L30-P30</f>
        <v>20</v>
      </c>
      <c r="R29" s="85"/>
      <c r="S29" s="96"/>
      <c r="T29" s="96"/>
      <c r="U29" s="96">
        <v>1</v>
      </c>
      <c r="V29" s="96"/>
      <c r="W29" s="96"/>
      <c r="X29" s="96"/>
      <c r="Y29" s="96"/>
      <c r="Z29" s="96"/>
      <c r="AA29" s="96"/>
      <c r="AB29" s="96"/>
      <c r="AC29" s="96"/>
      <c r="AD29" s="96"/>
      <c r="AE29" s="96">
        <v>3</v>
      </c>
      <c r="AF29" s="96">
        <v>3</v>
      </c>
      <c r="AG29" s="96"/>
      <c r="AH29" s="96">
        <v>2</v>
      </c>
      <c r="AI29" s="96"/>
      <c r="AJ29" s="96"/>
      <c r="AK29" s="96"/>
      <c r="AL29" s="96">
        <v>1</v>
      </c>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6"/>
      <c r="B30" s="88"/>
      <c r="C30" s="90"/>
      <c r="D30" s="92"/>
      <c r="E30" s="90"/>
      <c r="F30" s="90"/>
      <c r="G30" s="94"/>
      <c r="H30" s="95"/>
      <c r="I30" s="95"/>
      <c r="J30" s="95"/>
      <c r="K30" s="22">
        <f>84+24</f>
        <v>108</v>
      </c>
      <c r="L30" s="18">
        <f>10+10</f>
        <v>20</v>
      </c>
      <c r="M30" s="18">
        <v>0</v>
      </c>
      <c r="N30" s="98"/>
      <c r="O30" s="19">
        <f t="shared" si="0"/>
        <v>20</v>
      </c>
      <c r="P30" s="22">
        <v>0</v>
      </c>
      <c r="Q30" s="100"/>
      <c r="R30" s="86"/>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85">
        <v>45261</v>
      </c>
      <c r="B31" s="87" t="s">
        <v>37</v>
      </c>
      <c r="C31" s="89">
        <v>1</v>
      </c>
      <c r="D31" s="91" t="s">
        <v>38</v>
      </c>
      <c r="E31" s="89">
        <v>84031</v>
      </c>
      <c r="F31" s="89" t="s">
        <v>49</v>
      </c>
      <c r="G31" s="93" t="s">
        <v>53</v>
      </c>
      <c r="H31" s="90" t="s">
        <v>52</v>
      </c>
      <c r="I31" s="90">
        <v>564</v>
      </c>
      <c r="J31" s="90">
        <v>564</v>
      </c>
      <c r="K31" s="20">
        <v>0</v>
      </c>
      <c r="L31" s="20">
        <v>0</v>
      </c>
      <c r="M31" s="20">
        <v>0</v>
      </c>
      <c r="N31" s="97">
        <f>O32/L32</f>
        <v>0.82801418439716312</v>
      </c>
      <c r="O31" s="21">
        <f t="shared" si="0"/>
        <v>0</v>
      </c>
      <c r="P31" s="27">
        <v>0</v>
      </c>
      <c r="Q31" s="99">
        <f t="shared" ref="Q31" si="17">+L32-P32</f>
        <v>0</v>
      </c>
      <c r="R31" s="85" t="s">
        <v>68</v>
      </c>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6"/>
      <c r="B32" s="88"/>
      <c r="C32" s="90"/>
      <c r="D32" s="92"/>
      <c r="E32" s="90"/>
      <c r="F32" s="90"/>
      <c r="G32" s="94"/>
      <c r="H32" s="95"/>
      <c r="I32" s="95"/>
      <c r="J32" s="95"/>
      <c r="K32" s="22">
        <f>531+3+28+2</f>
        <v>564</v>
      </c>
      <c r="L32" s="18">
        <f>531+3+28+2</f>
        <v>564</v>
      </c>
      <c r="M32" s="18">
        <f>92+3+2</f>
        <v>97</v>
      </c>
      <c r="N32" s="98"/>
      <c r="O32" s="19">
        <f t="shared" si="0"/>
        <v>467</v>
      </c>
      <c r="P32" s="22">
        <f>521+13+28+2</f>
        <v>564</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85">
        <v>45261</v>
      </c>
      <c r="B33" s="87" t="s">
        <v>37</v>
      </c>
      <c r="C33" s="89">
        <v>1</v>
      </c>
      <c r="D33" s="91" t="s">
        <v>38</v>
      </c>
      <c r="E33" s="89">
        <v>84031</v>
      </c>
      <c r="F33" s="89" t="s">
        <v>49</v>
      </c>
      <c r="G33" s="93" t="s">
        <v>53</v>
      </c>
      <c r="H33" s="90" t="s">
        <v>57</v>
      </c>
      <c r="I33" s="90">
        <v>563</v>
      </c>
      <c r="J33" s="90">
        <v>563</v>
      </c>
      <c r="K33" s="20">
        <v>0</v>
      </c>
      <c r="L33" s="20">
        <v>0</v>
      </c>
      <c r="M33" s="20">
        <v>0</v>
      </c>
      <c r="N33" s="97">
        <f>O34/L34</f>
        <v>0.85343228200371057</v>
      </c>
      <c r="O33" s="21">
        <f t="shared" si="0"/>
        <v>0</v>
      </c>
      <c r="P33" s="27">
        <v>0</v>
      </c>
      <c r="Q33" s="99">
        <f t="shared" ref="Q33" si="18">+L34-P34</f>
        <v>0</v>
      </c>
      <c r="R33" s="85" t="s">
        <v>68</v>
      </c>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6"/>
      <c r="B34" s="88"/>
      <c r="C34" s="90"/>
      <c r="D34" s="92"/>
      <c r="E34" s="90"/>
      <c r="F34" s="90"/>
      <c r="G34" s="94"/>
      <c r="H34" s="95"/>
      <c r="I34" s="95"/>
      <c r="J34" s="95"/>
      <c r="K34" s="22">
        <f>516+20+3</f>
        <v>539</v>
      </c>
      <c r="L34" s="18">
        <f>516+20+3</f>
        <v>539</v>
      </c>
      <c r="M34" s="18">
        <f>74+2+3</f>
        <v>79</v>
      </c>
      <c r="N34" s="98"/>
      <c r="O34" s="19">
        <f t="shared" si="0"/>
        <v>460</v>
      </c>
      <c r="P34" s="22">
        <f>516+20+3</f>
        <v>539</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85">
        <v>45261</v>
      </c>
      <c r="B35" s="87" t="s">
        <v>37</v>
      </c>
      <c r="C35" s="89">
        <v>1</v>
      </c>
      <c r="D35" s="91" t="s">
        <v>38</v>
      </c>
      <c r="E35" s="89">
        <v>84031</v>
      </c>
      <c r="F35" s="89" t="s">
        <v>49</v>
      </c>
      <c r="G35" s="93" t="s">
        <v>53</v>
      </c>
      <c r="H35" s="90" t="s">
        <v>39</v>
      </c>
      <c r="I35" s="90">
        <v>623</v>
      </c>
      <c r="J35" s="90">
        <v>623</v>
      </c>
      <c r="K35" s="20">
        <v>3</v>
      </c>
      <c r="L35" s="20">
        <v>3</v>
      </c>
      <c r="M35" s="20">
        <v>3</v>
      </c>
      <c r="N35" s="97">
        <f>O36/L36</f>
        <v>0.79710144927536231</v>
      </c>
      <c r="O35" s="21">
        <f t="shared" si="0"/>
        <v>0</v>
      </c>
      <c r="P35" s="27">
        <v>3</v>
      </c>
      <c r="Q35" s="99">
        <f t="shared" ref="Q35" si="19">+L36-P36</f>
        <v>0</v>
      </c>
      <c r="R35" s="85" t="s">
        <v>68</v>
      </c>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6"/>
      <c r="B36" s="88"/>
      <c r="C36" s="90"/>
      <c r="D36" s="92"/>
      <c r="E36" s="90"/>
      <c r="F36" s="90"/>
      <c r="G36" s="94"/>
      <c r="H36" s="95"/>
      <c r="I36" s="95"/>
      <c r="J36" s="95"/>
      <c r="K36" s="22">
        <f>574+9+30+5+3</f>
        <v>621</v>
      </c>
      <c r="L36" s="18">
        <f>574+9+30+5+3</f>
        <v>621</v>
      </c>
      <c r="M36" s="18">
        <f>109+9+5+3</f>
        <v>126</v>
      </c>
      <c r="N36" s="98"/>
      <c r="O36" s="19">
        <f t="shared" si="0"/>
        <v>495</v>
      </c>
      <c r="P36" s="22">
        <f>574+9+30+5+3</f>
        <v>621</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85">
        <v>45261</v>
      </c>
      <c r="B37" s="87" t="s">
        <v>37</v>
      </c>
      <c r="C37" s="89">
        <v>1</v>
      </c>
      <c r="D37" s="91" t="s">
        <v>38</v>
      </c>
      <c r="E37" s="89">
        <v>61363</v>
      </c>
      <c r="F37" s="89" t="s">
        <v>49</v>
      </c>
      <c r="G37" s="93" t="s">
        <v>55</v>
      </c>
      <c r="H37" s="90" t="s">
        <v>60</v>
      </c>
      <c r="I37" s="90">
        <v>590</v>
      </c>
      <c r="J37" s="90">
        <v>590</v>
      </c>
      <c r="K37" s="20">
        <v>0</v>
      </c>
      <c r="L37" s="20">
        <v>98</v>
      </c>
      <c r="M37" s="20">
        <v>28</v>
      </c>
      <c r="N37" s="97">
        <f>O38/L38</f>
        <v>0.67826086956521736</v>
      </c>
      <c r="O37" s="21">
        <f t="shared" si="0"/>
        <v>70</v>
      </c>
      <c r="P37" s="27">
        <v>28</v>
      </c>
      <c r="Q37" s="99">
        <f t="shared" ref="Q37" si="20">+L38-P38</f>
        <v>70</v>
      </c>
      <c r="R37" s="85"/>
      <c r="S37" s="96"/>
      <c r="T37" s="96">
        <v>40</v>
      </c>
      <c r="U37" s="96"/>
      <c r="V37" s="96"/>
      <c r="W37" s="96"/>
      <c r="X37" s="96"/>
      <c r="Y37" s="96"/>
      <c r="Z37" s="96"/>
      <c r="AA37" s="96"/>
      <c r="AB37" s="96"/>
      <c r="AC37" s="96">
        <v>20</v>
      </c>
      <c r="AD37" s="96"/>
      <c r="AE37" s="96"/>
      <c r="AF37" s="96"/>
      <c r="AG37" s="96"/>
      <c r="AH37" s="96"/>
      <c r="AI37" s="96"/>
      <c r="AJ37" s="96"/>
      <c r="AK37" s="96"/>
      <c r="AL37" s="96">
        <v>10</v>
      </c>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6"/>
      <c r="B38" s="88"/>
      <c r="C38" s="90"/>
      <c r="D38" s="92"/>
      <c r="E38" s="90"/>
      <c r="F38" s="90"/>
      <c r="G38" s="94"/>
      <c r="H38" s="95"/>
      <c r="I38" s="95"/>
      <c r="J38" s="95"/>
      <c r="K38" s="22">
        <f>131+82+189+117+75</f>
        <v>594</v>
      </c>
      <c r="L38" s="18">
        <f>131+82+149+98</f>
        <v>460</v>
      </c>
      <c r="M38" s="18">
        <f>41+20+59+28</f>
        <v>148</v>
      </c>
      <c r="N38" s="98"/>
      <c r="O38" s="19">
        <f t="shared" si="0"/>
        <v>312</v>
      </c>
      <c r="P38" s="22">
        <f>41+110+192+19+28</f>
        <v>390</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ht="24.75" customHeight="1">
      <c r="A39" s="111" t="s">
        <v>15</v>
      </c>
      <c r="B39" s="112"/>
      <c r="C39" s="112"/>
      <c r="D39" s="112"/>
      <c r="E39" s="112"/>
      <c r="F39" s="112"/>
      <c r="G39" s="112"/>
      <c r="H39" s="112"/>
      <c r="I39" s="113"/>
      <c r="J39" s="5">
        <f>SUM(J5:J38)</f>
        <v>17325</v>
      </c>
      <c r="K39" s="5">
        <f>+SUMPRODUCT(((MOD(ROW(K5:K38),2)=1)*(K5:K38)))</f>
        <v>747</v>
      </c>
      <c r="L39" s="5">
        <f>+SUMPRODUCT(((MOD(ROW(L5:L38),2)=1)*(L5:L38)))</f>
        <v>251</v>
      </c>
      <c r="M39" s="5">
        <f>+SUMPRODUCT(((MOD(ROW(M5:M38),2)=1)*(M5:M38)))</f>
        <v>80</v>
      </c>
      <c r="N39" s="23">
        <f>O39/L39</f>
        <v>0.68127490039840632</v>
      </c>
      <c r="O39" s="5">
        <f>+SUMPRODUCT(((MOD(ROW(O5:O38),2)=1)*(O5:O38)))</f>
        <v>171</v>
      </c>
      <c r="P39" s="5">
        <f>+SUMPRODUCT(((MOD(ROW(P5:P38),2)=1)*(P5:P38)))</f>
        <v>376</v>
      </c>
      <c r="Q39" s="5">
        <f>+SUMPRODUCT(((MOD(ROW(Q5:Q38),2)=1)*(Q5:Q38)))</f>
        <v>892</v>
      </c>
      <c r="R39" s="29"/>
      <c r="S39" s="5">
        <f t="shared" ref="S39:BG39" si="21">SUM(S5:S38)</f>
        <v>21</v>
      </c>
      <c r="T39" s="5">
        <f t="shared" si="21"/>
        <v>53</v>
      </c>
      <c r="U39" s="5">
        <f t="shared" si="21"/>
        <v>9</v>
      </c>
      <c r="V39" s="5">
        <f t="shared" si="21"/>
        <v>0</v>
      </c>
      <c r="W39" s="5">
        <f t="shared" si="21"/>
        <v>0</v>
      </c>
      <c r="X39" s="5">
        <f t="shared" si="21"/>
        <v>0</v>
      </c>
      <c r="Y39" s="5">
        <f t="shared" si="21"/>
        <v>0</v>
      </c>
      <c r="Z39" s="5">
        <f t="shared" si="21"/>
        <v>0</v>
      </c>
      <c r="AA39" s="5">
        <f t="shared" si="21"/>
        <v>0</v>
      </c>
      <c r="AB39" s="5">
        <f t="shared" si="21"/>
        <v>0</v>
      </c>
      <c r="AC39" s="5">
        <f t="shared" si="21"/>
        <v>34</v>
      </c>
      <c r="AD39" s="5">
        <f t="shared" si="21"/>
        <v>2</v>
      </c>
      <c r="AE39" s="5">
        <f t="shared" si="21"/>
        <v>5</v>
      </c>
      <c r="AF39" s="5">
        <f t="shared" si="21"/>
        <v>13</v>
      </c>
      <c r="AG39" s="5">
        <f t="shared" si="21"/>
        <v>2</v>
      </c>
      <c r="AH39" s="5">
        <f t="shared" si="21"/>
        <v>10</v>
      </c>
      <c r="AI39" s="5">
        <f t="shared" si="21"/>
        <v>2</v>
      </c>
      <c r="AJ39" s="5">
        <f t="shared" si="21"/>
        <v>0</v>
      </c>
      <c r="AK39" s="5">
        <f t="shared" si="21"/>
        <v>0</v>
      </c>
      <c r="AL39" s="5">
        <f t="shared" si="21"/>
        <v>20</v>
      </c>
      <c r="AM39" s="5">
        <f t="shared" si="21"/>
        <v>0</v>
      </c>
      <c r="AN39" s="5">
        <f t="shared" si="21"/>
        <v>0</v>
      </c>
      <c r="AO39" s="5">
        <f t="shared" si="21"/>
        <v>0</v>
      </c>
      <c r="AP39" s="5">
        <f t="shared" si="21"/>
        <v>0</v>
      </c>
      <c r="AQ39" s="5">
        <f t="shared" si="21"/>
        <v>0</v>
      </c>
      <c r="AR39" s="5">
        <f t="shared" si="21"/>
        <v>0</v>
      </c>
      <c r="AS39" s="5">
        <f t="shared" si="21"/>
        <v>0</v>
      </c>
      <c r="AT39" s="5">
        <f t="shared" si="21"/>
        <v>0</v>
      </c>
      <c r="AU39" s="5">
        <f t="shared" si="21"/>
        <v>0</v>
      </c>
      <c r="AV39" s="5">
        <f t="shared" si="21"/>
        <v>0</v>
      </c>
      <c r="AW39" s="5">
        <f t="shared" si="21"/>
        <v>0</v>
      </c>
      <c r="AX39" s="5">
        <f t="shared" si="21"/>
        <v>0</v>
      </c>
      <c r="AY39" s="5">
        <f t="shared" si="21"/>
        <v>0</v>
      </c>
      <c r="AZ39" s="5">
        <f t="shared" si="21"/>
        <v>0</v>
      </c>
      <c r="BA39" s="5">
        <f t="shared" si="21"/>
        <v>0</v>
      </c>
      <c r="BB39" s="5">
        <f t="shared" si="21"/>
        <v>0</v>
      </c>
      <c r="BC39" s="5">
        <f t="shared" si="21"/>
        <v>0</v>
      </c>
      <c r="BD39" s="5">
        <f t="shared" si="21"/>
        <v>0</v>
      </c>
      <c r="BE39" s="5">
        <f t="shared" si="21"/>
        <v>0</v>
      </c>
      <c r="BF39" s="5">
        <f t="shared" si="21"/>
        <v>0</v>
      </c>
      <c r="BG39" s="5">
        <f t="shared" si="21"/>
        <v>0</v>
      </c>
    </row>
    <row r="40" spans="1:59" s="17" customFormat="1" ht="15.75" hidden="1" customHeight="1">
      <c r="A40" s="101"/>
      <c r="B40" s="114"/>
      <c r="C40" s="116"/>
      <c r="D40" s="118"/>
      <c r="E40" s="116"/>
      <c r="F40" s="116"/>
      <c r="G40" s="120"/>
      <c r="H40" s="90"/>
      <c r="I40" s="90"/>
      <c r="J40" s="90"/>
      <c r="K40" s="20"/>
      <c r="L40" s="20"/>
      <c r="M40" s="20"/>
      <c r="N40" s="97" t="e">
        <f>O41/L41</f>
        <v>#DIV/0!</v>
      </c>
      <c r="O40" s="21">
        <f>+L40-M40</f>
        <v>0</v>
      </c>
      <c r="P40" s="27"/>
      <c r="Q40" s="99">
        <f>+L41-P41</f>
        <v>0</v>
      </c>
      <c r="R40" s="110"/>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6"/>
      <c r="AZ40" s="106"/>
      <c r="BA40" s="106"/>
      <c r="BB40" s="106"/>
      <c r="BC40" s="106"/>
      <c r="BD40" s="106"/>
      <c r="BE40" s="103"/>
      <c r="BF40" s="104"/>
      <c r="BG40" s="104"/>
    </row>
    <row r="41" spans="1:59" s="17" customFormat="1" ht="15.75" hidden="1" customHeight="1">
      <c r="A41" s="102"/>
      <c r="B41" s="115"/>
      <c r="C41" s="117"/>
      <c r="D41" s="119"/>
      <c r="E41" s="117"/>
      <c r="F41" s="117"/>
      <c r="G41" s="121"/>
      <c r="H41" s="95"/>
      <c r="I41" s="95"/>
      <c r="J41" s="95"/>
      <c r="K41" s="22"/>
      <c r="L41" s="18"/>
      <c r="M41" s="18"/>
      <c r="N41" s="98"/>
      <c r="O41" s="19">
        <f>+L41-M41</f>
        <v>0</v>
      </c>
      <c r="P41" s="22"/>
      <c r="Q41" s="100"/>
      <c r="R41" s="102"/>
      <c r="S41" s="96"/>
      <c r="T41" s="96"/>
      <c r="U41" s="96"/>
      <c r="V41" s="96"/>
      <c r="W41" s="96"/>
      <c r="X41" s="96"/>
      <c r="Y41" s="96"/>
      <c r="Z41" s="96"/>
      <c r="AA41" s="96"/>
      <c r="AB41" s="96"/>
      <c r="AC41" s="96"/>
      <c r="AD41" s="96"/>
      <c r="AE41" s="96"/>
      <c r="AF41" s="96"/>
      <c r="AG41" s="96"/>
      <c r="AH41" s="96"/>
      <c r="AI41" s="96"/>
      <c r="AJ41" s="96"/>
      <c r="AK41" s="96"/>
      <c r="AL41" s="96"/>
      <c r="AM41" s="103"/>
      <c r="AN41" s="103"/>
      <c r="AO41" s="103"/>
      <c r="AP41" s="103"/>
      <c r="AQ41" s="103"/>
      <c r="AR41" s="103"/>
      <c r="AS41" s="103"/>
      <c r="AT41" s="103"/>
      <c r="AU41" s="103"/>
      <c r="AV41" s="103"/>
      <c r="AW41" s="103"/>
      <c r="AX41" s="103"/>
      <c r="AY41" s="107"/>
      <c r="AZ41" s="107"/>
      <c r="BA41" s="107"/>
      <c r="BB41" s="107"/>
      <c r="BC41" s="107"/>
      <c r="BD41" s="107"/>
      <c r="BE41" s="103"/>
      <c r="BF41" s="105"/>
      <c r="BG41" s="105"/>
    </row>
    <row r="42" spans="1:59" s="17" customFormat="1" ht="15.75" hidden="1" customHeight="1">
      <c r="A42" s="101"/>
      <c r="B42" s="114"/>
      <c r="C42" s="116"/>
      <c r="D42" s="118"/>
      <c r="E42" s="116"/>
      <c r="F42" s="116"/>
      <c r="G42" s="120"/>
      <c r="H42" s="90"/>
      <c r="I42" s="90"/>
      <c r="J42" s="90"/>
      <c r="K42" s="20"/>
      <c r="L42" s="20"/>
      <c r="M42" s="20"/>
      <c r="N42" s="97"/>
      <c r="O42" s="21"/>
      <c r="P42" s="27"/>
      <c r="Q42" s="99"/>
      <c r="R42" s="110"/>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6"/>
      <c r="AZ42" s="106"/>
      <c r="BA42" s="106"/>
      <c r="BB42" s="106"/>
      <c r="BC42" s="106"/>
      <c r="BD42" s="106"/>
      <c r="BE42" s="103"/>
      <c r="BF42" s="104"/>
      <c r="BG42" s="104"/>
    </row>
    <row r="43" spans="1:59" s="17" customFormat="1" ht="15.75" hidden="1" customHeight="1">
      <c r="A43" s="102"/>
      <c r="B43" s="115"/>
      <c r="C43" s="117"/>
      <c r="D43" s="119"/>
      <c r="E43" s="117"/>
      <c r="F43" s="117"/>
      <c r="G43" s="121"/>
      <c r="H43" s="95"/>
      <c r="I43" s="95"/>
      <c r="J43" s="95"/>
      <c r="K43" s="22"/>
      <c r="L43" s="18"/>
      <c r="M43" s="18"/>
      <c r="N43" s="98"/>
      <c r="O43" s="19"/>
      <c r="P43" s="22"/>
      <c r="Q43" s="100"/>
      <c r="R43" s="102"/>
      <c r="S43" s="96"/>
      <c r="T43" s="96"/>
      <c r="U43" s="96"/>
      <c r="V43" s="96"/>
      <c r="W43" s="96"/>
      <c r="X43" s="96"/>
      <c r="Y43" s="96"/>
      <c r="Z43" s="96"/>
      <c r="AA43" s="96"/>
      <c r="AB43" s="96"/>
      <c r="AC43" s="96"/>
      <c r="AD43" s="96"/>
      <c r="AE43" s="96"/>
      <c r="AF43" s="96"/>
      <c r="AG43" s="96"/>
      <c r="AH43" s="96"/>
      <c r="AI43" s="96"/>
      <c r="AJ43" s="96"/>
      <c r="AK43" s="96"/>
      <c r="AL43" s="96"/>
      <c r="AM43" s="103"/>
      <c r="AN43" s="103"/>
      <c r="AO43" s="103"/>
      <c r="AP43" s="103"/>
      <c r="AQ43" s="103"/>
      <c r="AR43" s="103"/>
      <c r="AS43" s="103"/>
      <c r="AT43" s="103"/>
      <c r="AU43" s="103"/>
      <c r="AV43" s="103"/>
      <c r="AW43" s="103"/>
      <c r="AX43" s="103"/>
      <c r="AY43" s="107"/>
      <c r="AZ43" s="107"/>
      <c r="BA43" s="107"/>
      <c r="BB43" s="107"/>
      <c r="BC43" s="107"/>
      <c r="BD43" s="107"/>
      <c r="BE43" s="103"/>
      <c r="BF43" s="105"/>
      <c r="BG43" s="105"/>
    </row>
    <row r="44" spans="1:59" s="17" customFormat="1" ht="15.75" hidden="1" customHeight="1">
      <c r="A44" s="101"/>
      <c r="B44" s="114"/>
      <c r="C44" s="116"/>
      <c r="D44" s="118"/>
      <c r="E44" s="116"/>
      <c r="F44" s="116"/>
      <c r="G44" s="120"/>
      <c r="H44" s="90"/>
      <c r="I44" s="90"/>
      <c r="J44" s="90"/>
      <c r="K44" s="20"/>
      <c r="L44" s="20"/>
      <c r="M44" s="20"/>
      <c r="N44" s="97"/>
      <c r="O44" s="21"/>
      <c r="P44" s="27"/>
      <c r="Q44" s="99"/>
      <c r="R44" s="110"/>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6"/>
      <c r="AZ44" s="106"/>
      <c r="BA44" s="106"/>
      <c r="BB44" s="106"/>
      <c r="BC44" s="106"/>
      <c r="BD44" s="106"/>
      <c r="BE44" s="103"/>
      <c r="BF44" s="104"/>
      <c r="BG44" s="104"/>
    </row>
    <row r="45" spans="1:59" s="17" customFormat="1" ht="15.75" hidden="1" customHeight="1">
      <c r="A45" s="102"/>
      <c r="B45" s="115"/>
      <c r="C45" s="117"/>
      <c r="D45" s="119"/>
      <c r="E45" s="117"/>
      <c r="F45" s="117"/>
      <c r="G45" s="121"/>
      <c r="H45" s="95"/>
      <c r="I45" s="95"/>
      <c r="J45" s="95"/>
      <c r="K45" s="22"/>
      <c r="L45" s="18"/>
      <c r="M45" s="18"/>
      <c r="N45" s="98"/>
      <c r="O45" s="19"/>
      <c r="P45" s="22"/>
      <c r="Q45" s="100"/>
      <c r="R45" s="102"/>
      <c r="S45" s="96"/>
      <c r="T45" s="96"/>
      <c r="U45" s="96"/>
      <c r="V45" s="96"/>
      <c r="W45" s="96"/>
      <c r="X45" s="96"/>
      <c r="Y45" s="96"/>
      <c r="Z45" s="96"/>
      <c r="AA45" s="96"/>
      <c r="AB45" s="96"/>
      <c r="AC45" s="96"/>
      <c r="AD45" s="96"/>
      <c r="AE45" s="96"/>
      <c r="AF45" s="96"/>
      <c r="AG45" s="96"/>
      <c r="AH45" s="96"/>
      <c r="AI45" s="96"/>
      <c r="AJ45" s="96"/>
      <c r="AK45" s="96"/>
      <c r="AL45" s="96"/>
      <c r="AM45" s="103"/>
      <c r="AN45" s="103"/>
      <c r="AO45" s="103"/>
      <c r="AP45" s="103"/>
      <c r="AQ45" s="103"/>
      <c r="AR45" s="103"/>
      <c r="AS45" s="103"/>
      <c r="AT45" s="103"/>
      <c r="AU45" s="103"/>
      <c r="AV45" s="103"/>
      <c r="AW45" s="103"/>
      <c r="AX45" s="103"/>
      <c r="AY45" s="107"/>
      <c r="AZ45" s="107"/>
      <c r="BA45" s="107"/>
      <c r="BB45" s="107"/>
      <c r="BC45" s="107"/>
      <c r="BD45" s="107"/>
      <c r="BE45" s="103"/>
      <c r="BF45" s="105"/>
      <c r="BG45" s="105"/>
    </row>
    <row r="46" spans="1:59" ht="24.75" hidden="1" customHeight="1">
      <c r="A46" s="111" t="s">
        <v>48</v>
      </c>
      <c r="B46" s="112"/>
      <c r="C46" s="112"/>
      <c r="D46" s="112"/>
      <c r="E46" s="112"/>
      <c r="F46" s="112"/>
      <c r="G46" s="112"/>
      <c r="H46" s="112"/>
      <c r="I46" s="113"/>
      <c r="J46" s="5">
        <f>SUM(J40:J45)</f>
        <v>0</v>
      </c>
      <c r="K46" s="5">
        <f>+SUMPRODUCT(((MOD(ROW(K40:K45),2)=0)*(K40:K45)))</f>
        <v>0</v>
      </c>
      <c r="L46" s="5">
        <f>+SUMPRODUCT(((MOD(ROW(L40:L45),2)=0)*(L40:L45)))</f>
        <v>0</v>
      </c>
      <c r="M46" s="5">
        <f>+SUMPRODUCT(((MOD(ROW(M40:M45),2)=0)*(M40:M45)))</f>
        <v>0</v>
      </c>
      <c r="N46" s="23" t="e">
        <f>O46/L46</f>
        <v>#DIV/0!</v>
      </c>
      <c r="O46" s="5">
        <f>+SUMPRODUCT(((MOD(ROW(O40:O45),2)=0)*(O40:O45)))</f>
        <v>0</v>
      </c>
      <c r="P46" s="5">
        <f>+SUMPRODUCT(((MOD(ROW(P40:P45),2)=0)*(P40:P45)))</f>
        <v>0</v>
      </c>
      <c r="Q46" s="29">
        <f>SUM(Q40:Q45)</f>
        <v>0</v>
      </c>
      <c r="R46" s="29"/>
      <c r="S46" s="5">
        <f t="shared" ref="S46:BG46" si="22">SUM(S40:S45)</f>
        <v>0</v>
      </c>
      <c r="T46" s="5">
        <f t="shared" si="22"/>
        <v>0</v>
      </c>
      <c r="U46" s="5">
        <f t="shared" si="22"/>
        <v>0</v>
      </c>
      <c r="V46" s="5">
        <f t="shared" si="22"/>
        <v>0</v>
      </c>
      <c r="W46" s="5">
        <f t="shared" si="22"/>
        <v>0</v>
      </c>
      <c r="X46" s="5">
        <f t="shared" si="22"/>
        <v>0</v>
      </c>
      <c r="Y46" s="5">
        <f t="shared" si="22"/>
        <v>0</v>
      </c>
      <c r="Z46" s="5">
        <f t="shared" si="22"/>
        <v>0</v>
      </c>
      <c r="AA46" s="5">
        <f t="shared" si="22"/>
        <v>0</v>
      </c>
      <c r="AB46" s="5">
        <f t="shared" si="22"/>
        <v>0</v>
      </c>
      <c r="AC46" s="5">
        <f t="shared" si="22"/>
        <v>0</v>
      </c>
      <c r="AD46" s="5">
        <f t="shared" si="22"/>
        <v>0</v>
      </c>
      <c r="AE46" s="5">
        <f t="shared" si="22"/>
        <v>0</v>
      </c>
      <c r="AF46" s="5">
        <f t="shared" si="22"/>
        <v>0</v>
      </c>
      <c r="AG46" s="5">
        <f t="shared" si="22"/>
        <v>0</v>
      </c>
      <c r="AH46" s="5">
        <f t="shared" si="22"/>
        <v>0</v>
      </c>
      <c r="AI46" s="5">
        <f t="shared" si="22"/>
        <v>0</v>
      </c>
      <c r="AJ46" s="5">
        <f t="shared" si="22"/>
        <v>0</v>
      </c>
      <c r="AK46" s="5">
        <f t="shared" si="22"/>
        <v>0</v>
      </c>
      <c r="AL46" s="5">
        <f t="shared" si="22"/>
        <v>0</v>
      </c>
      <c r="AM46" s="5">
        <f t="shared" si="22"/>
        <v>0</v>
      </c>
      <c r="AN46" s="5">
        <f t="shared" si="22"/>
        <v>0</v>
      </c>
      <c r="AO46" s="5">
        <f t="shared" si="22"/>
        <v>0</v>
      </c>
      <c r="AP46" s="5">
        <f t="shared" si="22"/>
        <v>0</v>
      </c>
      <c r="AQ46" s="5">
        <f t="shared" si="22"/>
        <v>0</v>
      </c>
      <c r="AR46" s="5">
        <f t="shared" si="22"/>
        <v>0</v>
      </c>
      <c r="AS46" s="5">
        <f t="shared" si="22"/>
        <v>0</v>
      </c>
      <c r="AT46" s="5">
        <f t="shared" si="22"/>
        <v>0</v>
      </c>
      <c r="AU46" s="5">
        <f t="shared" si="22"/>
        <v>0</v>
      </c>
      <c r="AV46" s="5">
        <f t="shared" si="22"/>
        <v>0</v>
      </c>
      <c r="AW46" s="5">
        <f t="shared" si="22"/>
        <v>0</v>
      </c>
      <c r="AX46" s="5">
        <f t="shared" si="22"/>
        <v>0</v>
      </c>
      <c r="AY46" s="5">
        <f t="shared" si="22"/>
        <v>0</v>
      </c>
      <c r="AZ46" s="5">
        <f t="shared" si="22"/>
        <v>0</v>
      </c>
      <c r="BA46" s="5">
        <f t="shared" si="22"/>
        <v>0</v>
      </c>
      <c r="BB46" s="5">
        <f t="shared" si="22"/>
        <v>0</v>
      </c>
      <c r="BC46" s="5">
        <f t="shared" si="22"/>
        <v>0</v>
      </c>
      <c r="BD46" s="5">
        <f t="shared" si="22"/>
        <v>0</v>
      </c>
      <c r="BE46" s="5">
        <f t="shared" si="22"/>
        <v>0</v>
      </c>
      <c r="BF46" s="5">
        <f t="shared" si="22"/>
        <v>0</v>
      </c>
      <c r="BG46" s="5">
        <f t="shared" si="22"/>
        <v>0</v>
      </c>
    </row>
    <row r="47" spans="1:59" s="17" customFormat="1" ht="15.75" hidden="1" customHeight="1">
      <c r="A47" s="101"/>
      <c r="B47" s="114"/>
      <c r="C47" s="116"/>
      <c r="D47" s="118"/>
      <c r="E47" s="118"/>
      <c r="F47" s="116"/>
      <c r="G47" s="120"/>
      <c r="H47" s="90"/>
      <c r="I47" s="90"/>
      <c r="J47" s="90"/>
      <c r="K47" s="20"/>
      <c r="L47" s="20"/>
      <c r="M47" s="20"/>
      <c r="N47" s="97" t="e">
        <f>O48/L48</f>
        <v>#DIV/0!</v>
      </c>
      <c r="O47" s="21">
        <f t="shared" ref="O47:O56" si="23">L47-M47</f>
        <v>0</v>
      </c>
      <c r="P47" s="27"/>
      <c r="Q47" s="99"/>
      <c r="R47" s="110"/>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6"/>
      <c r="AZ47" s="106"/>
      <c r="BA47" s="106"/>
      <c r="BB47" s="106"/>
      <c r="BC47" s="106"/>
      <c r="BD47" s="106"/>
      <c r="BE47" s="103"/>
      <c r="BF47" s="104"/>
      <c r="BG47" s="104"/>
    </row>
    <row r="48" spans="1:59" s="17" customFormat="1" ht="15.75" hidden="1" customHeight="1">
      <c r="A48" s="102"/>
      <c r="B48" s="115"/>
      <c r="C48" s="117"/>
      <c r="D48" s="119"/>
      <c r="E48" s="119"/>
      <c r="F48" s="117"/>
      <c r="G48" s="121"/>
      <c r="H48" s="95"/>
      <c r="I48" s="95"/>
      <c r="J48" s="95"/>
      <c r="K48" s="22"/>
      <c r="L48" s="18"/>
      <c r="M48" s="18"/>
      <c r="N48" s="98"/>
      <c r="O48" s="19">
        <f t="shared" si="23"/>
        <v>0</v>
      </c>
      <c r="P48" s="22"/>
      <c r="Q48" s="100"/>
      <c r="R48" s="102"/>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7"/>
      <c r="AZ48" s="107"/>
      <c r="BA48" s="107"/>
      <c r="BB48" s="107"/>
      <c r="BC48" s="107"/>
      <c r="BD48" s="107"/>
      <c r="BE48" s="103"/>
      <c r="BF48" s="105"/>
      <c r="BG48" s="105"/>
    </row>
    <row r="49" spans="1:59" s="17" customFormat="1" ht="15.75" hidden="1" customHeight="1">
      <c r="A49" s="101"/>
      <c r="B49" s="114"/>
      <c r="C49" s="116"/>
      <c r="D49" s="118"/>
      <c r="E49" s="118"/>
      <c r="F49" s="116"/>
      <c r="G49" s="120"/>
      <c r="H49" s="90"/>
      <c r="I49" s="90"/>
      <c r="J49" s="90"/>
      <c r="K49" s="20"/>
      <c r="L49" s="20"/>
      <c r="M49" s="20"/>
      <c r="N49" s="97" t="e">
        <f>O50/L50</f>
        <v>#DIV/0!</v>
      </c>
      <c r="O49" s="21">
        <f t="shared" si="23"/>
        <v>0</v>
      </c>
      <c r="P49" s="27"/>
      <c r="Q49" s="99">
        <f>+L50-P50</f>
        <v>0</v>
      </c>
      <c r="R49" s="110"/>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6"/>
      <c r="AZ49" s="106"/>
      <c r="BA49" s="106"/>
      <c r="BB49" s="106"/>
      <c r="BC49" s="106"/>
      <c r="BD49" s="106"/>
      <c r="BE49" s="103"/>
      <c r="BF49" s="104"/>
      <c r="BG49" s="104"/>
    </row>
    <row r="50" spans="1:59" s="17" customFormat="1" ht="15.75" hidden="1" customHeight="1">
      <c r="A50" s="102"/>
      <c r="B50" s="115"/>
      <c r="C50" s="117"/>
      <c r="D50" s="119"/>
      <c r="E50" s="119"/>
      <c r="F50" s="117"/>
      <c r="G50" s="121"/>
      <c r="H50" s="95"/>
      <c r="I50" s="95"/>
      <c r="J50" s="95"/>
      <c r="K50" s="22"/>
      <c r="L50" s="18"/>
      <c r="M50" s="18"/>
      <c r="N50" s="98"/>
      <c r="O50" s="19">
        <f t="shared" si="23"/>
        <v>0</v>
      </c>
      <c r="P50" s="22"/>
      <c r="Q50" s="100"/>
      <c r="R50" s="102"/>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7"/>
      <c r="AZ50" s="107"/>
      <c r="BA50" s="107"/>
      <c r="BB50" s="107"/>
      <c r="BC50" s="107"/>
      <c r="BD50" s="107"/>
      <c r="BE50" s="103"/>
      <c r="BF50" s="105"/>
      <c r="BG50" s="105"/>
    </row>
    <row r="51" spans="1:59" s="17" customFormat="1" ht="15.75" hidden="1" customHeight="1">
      <c r="A51" s="101"/>
      <c r="B51" s="114"/>
      <c r="C51" s="116"/>
      <c r="D51" s="118"/>
      <c r="E51" s="118"/>
      <c r="F51" s="116"/>
      <c r="G51" s="120"/>
      <c r="H51" s="90"/>
      <c r="I51" s="90"/>
      <c r="J51" s="90"/>
      <c r="K51" s="20"/>
      <c r="L51" s="20"/>
      <c r="M51" s="20"/>
      <c r="N51" s="97" t="e">
        <f>O52/L52</f>
        <v>#DIV/0!</v>
      </c>
      <c r="O51" s="21">
        <f t="shared" si="23"/>
        <v>0</v>
      </c>
      <c r="P51" s="27"/>
      <c r="Q51" s="99">
        <f>+L52-P52</f>
        <v>0</v>
      </c>
      <c r="R51" s="110"/>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6"/>
      <c r="AZ51" s="106"/>
      <c r="BA51" s="106"/>
      <c r="BB51" s="106"/>
      <c r="BC51" s="106"/>
      <c r="BD51" s="106"/>
      <c r="BE51" s="103"/>
      <c r="BF51" s="104"/>
      <c r="BG51" s="104"/>
    </row>
    <row r="52" spans="1:59" s="17" customFormat="1" ht="15.75" hidden="1" customHeight="1">
      <c r="A52" s="102"/>
      <c r="B52" s="115"/>
      <c r="C52" s="117"/>
      <c r="D52" s="119"/>
      <c r="E52" s="119"/>
      <c r="F52" s="117"/>
      <c r="G52" s="121"/>
      <c r="H52" s="95"/>
      <c r="I52" s="95"/>
      <c r="J52" s="95"/>
      <c r="K52" s="22"/>
      <c r="L52" s="18"/>
      <c r="M52" s="18"/>
      <c r="N52" s="98"/>
      <c r="O52" s="19">
        <f t="shared" si="23"/>
        <v>0</v>
      </c>
      <c r="P52" s="22"/>
      <c r="Q52" s="100"/>
      <c r="R52" s="102"/>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7"/>
      <c r="AZ52" s="107"/>
      <c r="BA52" s="107"/>
      <c r="BB52" s="107"/>
      <c r="BC52" s="107"/>
      <c r="BD52" s="107"/>
      <c r="BE52" s="103"/>
      <c r="BF52" s="105"/>
      <c r="BG52" s="105"/>
    </row>
    <row r="53" spans="1:59" s="17" customFormat="1" ht="15.75" hidden="1" customHeight="1">
      <c r="A53" s="101"/>
      <c r="B53" s="114"/>
      <c r="C53" s="116"/>
      <c r="D53" s="118"/>
      <c r="E53" s="118"/>
      <c r="F53" s="116"/>
      <c r="G53" s="120"/>
      <c r="H53" s="90"/>
      <c r="I53" s="90"/>
      <c r="J53" s="90"/>
      <c r="K53" s="20"/>
      <c r="L53" s="20"/>
      <c r="M53" s="20"/>
      <c r="N53" s="97" t="e">
        <f>O54/L54</f>
        <v>#DIV/0!</v>
      </c>
      <c r="O53" s="21">
        <f t="shared" si="23"/>
        <v>0</v>
      </c>
      <c r="P53" s="27"/>
      <c r="Q53" s="99">
        <f>+L54-P54</f>
        <v>0</v>
      </c>
      <c r="R53" s="110"/>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5.75" hidden="1" customHeight="1">
      <c r="A54" s="102"/>
      <c r="B54" s="115"/>
      <c r="C54" s="117"/>
      <c r="D54" s="119"/>
      <c r="E54" s="119"/>
      <c r="F54" s="117"/>
      <c r="G54" s="121"/>
      <c r="H54" s="95"/>
      <c r="I54" s="95"/>
      <c r="J54" s="95"/>
      <c r="K54" s="22"/>
      <c r="L54" s="18"/>
      <c r="M54" s="18"/>
      <c r="N54" s="98"/>
      <c r="O54" s="19">
        <f t="shared" si="23"/>
        <v>0</v>
      </c>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5.75" hidden="1" customHeight="1">
      <c r="A55" s="101"/>
      <c r="B55" s="114"/>
      <c r="C55" s="116"/>
      <c r="D55" s="118"/>
      <c r="E55" s="118"/>
      <c r="F55" s="116"/>
      <c r="G55" s="120"/>
      <c r="H55" s="109"/>
      <c r="I55" s="90"/>
      <c r="J55" s="90"/>
      <c r="K55" s="20"/>
      <c r="L55" s="20"/>
      <c r="M55" s="20"/>
      <c r="N55" s="97" t="e">
        <f>O56/L56</f>
        <v>#DIV/0!</v>
      </c>
      <c r="O55" s="21">
        <f t="shared" si="23"/>
        <v>0</v>
      </c>
      <c r="P55" s="27"/>
      <c r="Q55" s="99">
        <f>+L56-P56</f>
        <v>0</v>
      </c>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102"/>
      <c r="B56" s="115"/>
      <c r="C56" s="117"/>
      <c r="D56" s="119"/>
      <c r="E56" s="119"/>
      <c r="F56" s="117"/>
      <c r="G56" s="121"/>
      <c r="H56" s="95"/>
      <c r="I56" s="95"/>
      <c r="J56" s="95"/>
      <c r="K56" s="22"/>
      <c r="L56" s="18"/>
      <c r="M56" s="18"/>
      <c r="N56" s="98"/>
      <c r="O56" s="19">
        <f t="shared" si="23"/>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v>45223</v>
      </c>
      <c r="B57" s="114"/>
      <c r="C57" s="116"/>
      <c r="D57" s="118"/>
      <c r="E57" s="116"/>
      <c r="F57" s="116"/>
      <c r="G57" s="120"/>
      <c r="H57" s="90"/>
      <c r="I57" s="90"/>
      <c r="J57" s="90"/>
      <c r="K57" s="20"/>
      <c r="L57" s="20"/>
      <c r="M57" s="20"/>
      <c r="N57" s="97" t="e">
        <f>O58/L58</f>
        <v>#DIV/0!</v>
      </c>
      <c r="O57" s="21"/>
      <c r="P57" s="27"/>
      <c r="Q57" s="99"/>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7"/>
      <c r="F58" s="117"/>
      <c r="G58" s="121"/>
      <c r="H58" s="95"/>
      <c r="I58" s="95"/>
      <c r="J58" s="95"/>
      <c r="K58" s="22"/>
      <c r="L58" s="18"/>
      <c r="M58" s="18"/>
      <c r="N58" s="98"/>
      <c r="O58" s="19"/>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ht="24.75" hidden="1" customHeight="1">
      <c r="A59" s="111" t="s">
        <v>51</v>
      </c>
      <c r="B59" s="112"/>
      <c r="C59" s="112"/>
      <c r="D59" s="112"/>
      <c r="E59" s="112"/>
      <c r="F59" s="112"/>
      <c r="G59" s="112"/>
      <c r="H59" s="112"/>
      <c r="I59" s="113"/>
      <c r="J59" s="5">
        <f>SUM(J47:J58)</f>
        <v>0</v>
      </c>
      <c r="K59" s="5">
        <f>+SUMPRODUCT(((MOD(ROW(K47:K58),2)=1)*(K47:K58)))</f>
        <v>0</v>
      </c>
      <c r="L59" s="5">
        <f>+SUMPRODUCT(((MOD(ROW(L47:L58),2)=1)*(L47:L58)))</f>
        <v>0</v>
      </c>
      <c r="M59" s="5">
        <f>+SUMPRODUCT(((MOD(ROW(M47:M58),2)=1)*(M47:M58)))</f>
        <v>0</v>
      </c>
      <c r="N59" s="23" t="e">
        <f>O59/L59</f>
        <v>#DIV/0!</v>
      </c>
      <c r="O59" s="5">
        <f>+SUMPRODUCT(((MOD(ROW(O47:O58),2)=1)*(O47:O58)))</f>
        <v>0</v>
      </c>
      <c r="P59" s="5">
        <f>+SUMPRODUCT(((MOD(ROW(P47:P58),2)=1)*(P47:P58)))</f>
        <v>0</v>
      </c>
      <c r="Q59" s="29">
        <f>SUM(Q47:Q58)</f>
        <v>0</v>
      </c>
      <c r="R59" s="29"/>
      <c r="S59" s="5">
        <f t="shared" ref="S59:BG59" si="24">SUM(S47:S58)</f>
        <v>0</v>
      </c>
      <c r="T59" s="5">
        <f t="shared" si="24"/>
        <v>0</v>
      </c>
      <c r="U59" s="5">
        <f t="shared" si="24"/>
        <v>0</v>
      </c>
      <c r="V59" s="5">
        <f t="shared" si="24"/>
        <v>0</v>
      </c>
      <c r="W59" s="5">
        <f t="shared" si="24"/>
        <v>0</v>
      </c>
      <c r="X59" s="5">
        <f t="shared" si="24"/>
        <v>0</v>
      </c>
      <c r="Y59" s="5">
        <f t="shared" si="24"/>
        <v>0</v>
      </c>
      <c r="Z59" s="5">
        <f t="shared" si="24"/>
        <v>0</v>
      </c>
      <c r="AA59" s="5">
        <f t="shared" si="24"/>
        <v>0</v>
      </c>
      <c r="AB59" s="5">
        <f t="shared" si="24"/>
        <v>0</v>
      </c>
      <c r="AC59" s="5">
        <f t="shared" si="24"/>
        <v>0</v>
      </c>
      <c r="AD59" s="5">
        <f t="shared" si="24"/>
        <v>0</v>
      </c>
      <c r="AE59" s="5">
        <f t="shared" si="24"/>
        <v>0</v>
      </c>
      <c r="AF59" s="5">
        <f t="shared" si="24"/>
        <v>0</v>
      </c>
      <c r="AG59" s="5">
        <f t="shared" si="24"/>
        <v>0</v>
      </c>
      <c r="AH59" s="5">
        <f t="shared" si="24"/>
        <v>0</v>
      </c>
      <c r="AI59" s="5">
        <f t="shared" si="24"/>
        <v>0</v>
      </c>
      <c r="AJ59" s="5">
        <f t="shared" si="24"/>
        <v>0</v>
      </c>
      <c r="AK59" s="5">
        <f t="shared" si="24"/>
        <v>0</v>
      </c>
      <c r="AL59" s="5">
        <f t="shared" si="24"/>
        <v>0</v>
      </c>
      <c r="AM59" s="5">
        <f t="shared" si="24"/>
        <v>0</v>
      </c>
      <c r="AN59" s="5">
        <f t="shared" si="24"/>
        <v>0</v>
      </c>
      <c r="AO59" s="5">
        <f t="shared" si="24"/>
        <v>0</v>
      </c>
      <c r="AP59" s="5">
        <f t="shared" si="24"/>
        <v>0</v>
      </c>
      <c r="AQ59" s="5">
        <f t="shared" si="24"/>
        <v>0</v>
      </c>
      <c r="AR59" s="5">
        <f t="shared" si="24"/>
        <v>0</v>
      </c>
      <c r="AS59" s="5">
        <f t="shared" si="24"/>
        <v>0</v>
      </c>
      <c r="AT59" s="5">
        <f t="shared" si="24"/>
        <v>0</v>
      </c>
      <c r="AU59" s="5">
        <f t="shared" si="24"/>
        <v>0</v>
      </c>
      <c r="AV59" s="5">
        <f t="shared" si="24"/>
        <v>0</v>
      </c>
      <c r="AW59" s="5">
        <f t="shared" si="24"/>
        <v>0</v>
      </c>
      <c r="AX59" s="5">
        <f t="shared" si="24"/>
        <v>0</v>
      </c>
      <c r="AY59" s="5">
        <f t="shared" si="24"/>
        <v>0</v>
      </c>
      <c r="AZ59" s="5">
        <f t="shared" si="24"/>
        <v>0</v>
      </c>
      <c r="BA59" s="5">
        <f t="shared" si="24"/>
        <v>0</v>
      </c>
      <c r="BB59" s="5">
        <f t="shared" si="24"/>
        <v>0</v>
      </c>
      <c r="BC59" s="5">
        <f t="shared" si="24"/>
        <v>0</v>
      </c>
      <c r="BD59" s="5">
        <f t="shared" si="24"/>
        <v>0</v>
      </c>
      <c r="BE59" s="5">
        <f t="shared" si="24"/>
        <v>0</v>
      </c>
      <c r="BF59" s="5">
        <f t="shared" si="24"/>
        <v>0</v>
      </c>
      <c r="BG59" s="5">
        <f t="shared" si="24"/>
        <v>0</v>
      </c>
    </row>
    <row r="60" spans="1:59" ht="24.75" customHeight="1">
      <c r="A60" s="122" t="s">
        <v>5</v>
      </c>
      <c r="B60" s="122"/>
      <c r="C60" s="122"/>
      <c r="D60" s="122"/>
      <c r="E60" s="122"/>
      <c r="F60" s="122"/>
      <c r="G60" s="122"/>
      <c r="H60" s="122"/>
      <c r="I60" s="122"/>
      <c r="J60" s="30">
        <f>J39+J59+J46</f>
        <v>17325</v>
      </c>
      <c r="K60" s="37">
        <f>K39+K46+K59</f>
        <v>747</v>
      </c>
      <c r="L60" s="37">
        <f>L39+L46+L59</f>
        <v>251</v>
      </c>
      <c r="M60" s="37">
        <f>M39+M46+M59</f>
        <v>80</v>
      </c>
      <c r="N60" s="32">
        <f>N39</f>
        <v>0.68127490039840632</v>
      </c>
      <c r="O60" s="37">
        <f>O39+O46+O59</f>
        <v>171</v>
      </c>
      <c r="P60" s="37">
        <f>P39+P46+P59</f>
        <v>376</v>
      </c>
      <c r="Q60" s="37">
        <f>Q39+Q46+Q59</f>
        <v>892</v>
      </c>
      <c r="R60" s="37"/>
      <c r="S60" s="37">
        <f t="shared" ref="S60:BG60" si="25">S39+S46+S59</f>
        <v>21</v>
      </c>
      <c r="T60" s="37">
        <f t="shared" si="25"/>
        <v>53</v>
      </c>
      <c r="U60" s="37">
        <f t="shared" si="25"/>
        <v>9</v>
      </c>
      <c r="V60" s="37">
        <f t="shared" si="25"/>
        <v>0</v>
      </c>
      <c r="W60" s="37">
        <f t="shared" si="25"/>
        <v>0</v>
      </c>
      <c r="X60" s="37">
        <f t="shared" si="25"/>
        <v>0</v>
      </c>
      <c r="Y60" s="37">
        <f t="shared" si="25"/>
        <v>0</v>
      </c>
      <c r="Z60" s="37">
        <f t="shared" si="25"/>
        <v>0</v>
      </c>
      <c r="AA60" s="37">
        <f t="shared" si="25"/>
        <v>0</v>
      </c>
      <c r="AB60" s="37">
        <f t="shared" si="25"/>
        <v>0</v>
      </c>
      <c r="AC60" s="37">
        <f t="shared" si="25"/>
        <v>34</v>
      </c>
      <c r="AD60" s="37">
        <f t="shared" si="25"/>
        <v>2</v>
      </c>
      <c r="AE60" s="37">
        <f t="shared" si="25"/>
        <v>5</v>
      </c>
      <c r="AF60" s="37">
        <f t="shared" si="25"/>
        <v>13</v>
      </c>
      <c r="AG60" s="37">
        <f t="shared" si="25"/>
        <v>2</v>
      </c>
      <c r="AH60" s="37">
        <f t="shared" si="25"/>
        <v>10</v>
      </c>
      <c r="AI60" s="37">
        <f t="shared" si="25"/>
        <v>2</v>
      </c>
      <c r="AJ60" s="37">
        <f t="shared" si="25"/>
        <v>0</v>
      </c>
      <c r="AK60" s="37">
        <f t="shared" si="25"/>
        <v>0</v>
      </c>
      <c r="AL60" s="37">
        <f t="shared" si="25"/>
        <v>20</v>
      </c>
      <c r="AM60" s="37">
        <f t="shared" si="25"/>
        <v>0</v>
      </c>
      <c r="AN60" s="37">
        <f t="shared" si="25"/>
        <v>0</v>
      </c>
      <c r="AO60" s="37">
        <f t="shared" si="25"/>
        <v>0</v>
      </c>
      <c r="AP60" s="37">
        <f t="shared" si="25"/>
        <v>0</v>
      </c>
      <c r="AQ60" s="37">
        <f t="shared" si="25"/>
        <v>0</v>
      </c>
      <c r="AR60" s="37">
        <f t="shared" si="25"/>
        <v>0</v>
      </c>
      <c r="AS60" s="37">
        <f t="shared" si="25"/>
        <v>0</v>
      </c>
      <c r="AT60" s="37">
        <f t="shared" si="25"/>
        <v>0</v>
      </c>
      <c r="AU60" s="37">
        <f t="shared" si="25"/>
        <v>0</v>
      </c>
      <c r="AV60" s="37">
        <f t="shared" si="25"/>
        <v>0</v>
      </c>
      <c r="AW60" s="37">
        <f t="shared" si="25"/>
        <v>0</v>
      </c>
      <c r="AX60" s="37">
        <f t="shared" si="25"/>
        <v>0</v>
      </c>
      <c r="AY60" s="37">
        <f t="shared" si="25"/>
        <v>0</v>
      </c>
      <c r="AZ60" s="37">
        <f t="shared" si="25"/>
        <v>0</v>
      </c>
      <c r="BA60" s="37">
        <f t="shared" si="25"/>
        <v>0</v>
      </c>
      <c r="BB60" s="37">
        <f t="shared" si="25"/>
        <v>0</v>
      </c>
      <c r="BC60" s="37">
        <f t="shared" si="25"/>
        <v>0</v>
      </c>
      <c r="BD60" s="37">
        <f t="shared" si="25"/>
        <v>0</v>
      </c>
      <c r="BE60" s="37">
        <f t="shared" si="25"/>
        <v>0</v>
      </c>
      <c r="BF60" s="37">
        <f t="shared" si="25"/>
        <v>0</v>
      </c>
      <c r="BG60" s="37">
        <f t="shared" si="25"/>
        <v>0</v>
      </c>
    </row>
    <row r="61" spans="1:59" ht="31.8">
      <c r="A61" s="81" t="s">
        <v>36</v>
      </c>
      <c r="B61" s="81"/>
      <c r="C61" s="81"/>
      <c r="D61" s="81"/>
      <c r="E61" s="81"/>
      <c r="F61" s="81"/>
      <c r="G61" s="81"/>
      <c r="H61" s="81"/>
      <c r="I61" s="81"/>
      <c r="J61" s="81"/>
      <c r="K61" s="81"/>
      <c r="L61" s="81"/>
      <c r="M61" s="81"/>
      <c r="N61" s="81"/>
      <c r="O61" s="81"/>
      <c r="P61" s="24"/>
      <c r="Q61" s="24"/>
      <c r="R61" s="24"/>
      <c r="AM61" s="34"/>
      <c r="AN61" s="34"/>
      <c r="AO61" s="34"/>
      <c r="AP61" s="34"/>
      <c r="AQ61" s="34"/>
      <c r="AR61" s="34"/>
      <c r="AS61" s="34"/>
      <c r="AT61" s="34"/>
      <c r="AU61" s="34"/>
      <c r="AV61" s="34"/>
      <c r="AW61" s="34"/>
      <c r="AX61" s="34"/>
      <c r="AY61" s="34"/>
      <c r="AZ61" s="34"/>
      <c r="BA61" s="34"/>
      <c r="BB61" s="34"/>
      <c r="BC61" s="34"/>
      <c r="BD61" s="34"/>
      <c r="BE61" s="34"/>
      <c r="BF61" s="34"/>
      <c r="BG61" s="34"/>
    </row>
    <row r="62" spans="1:59" ht="33.75" customHeight="1">
      <c r="A62" s="82" t="s">
        <v>13</v>
      </c>
      <c r="B62" s="82"/>
      <c r="C62" s="82"/>
      <c r="D62" s="82"/>
      <c r="E62" s="82"/>
      <c r="F62" s="82"/>
      <c r="G62" s="82"/>
      <c r="H62" s="82"/>
      <c r="I62" s="82"/>
      <c r="J62" s="82"/>
      <c r="K62" s="82"/>
      <c r="L62" s="82"/>
      <c r="M62" s="82"/>
      <c r="N62" s="82"/>
      <c r="O62" s="82"/>
      <c r="AM62" s="34"/>
      <c r="AN62" s="34"/>
      <c r="AO62" s="34"/>
      <c r="AP62" s="34"/>
      <c r="AQ62" s="34"/>
      <c r="AR62" s="34"/>
      <c r="AS62" s="34"/>
      <c r="AT62" s="34"/>
      <c r="AU62" s="34"/>
      <c r="AV62" s="34"/>
      <c r="AW62" s="34"/>
      <c r="AX62" s="34"/>
      <c r="AY62" s="34"/>
      <c r="AZ62" s="34"/>
      <c r="BA62" s="34"/>
      <c r="BB62" s="34"/>
      <c r="BC62" s="34"/>
      <c r="BD62" s="34"/>
      <c r="BE62" s="34"/>
      <c r="BF62" s="34"/>
      <c r="BG62" s="34"/>
    </row>
    <row r="63" spans="1:59" ht="62.4">
      <c r="A63" s="9" t="s">
        <v>0</v>
      </c>
      <c r="B63" s="10" t="s">
        <v>34</v>
      </c>
      <c r="C63" s="11" t="s">
        <v>7</v>
      </c>
      <c r="D63" s="12" t="s">
        <v>1</v>
      </c>
      <c r="E63" s="13" t="s">
        <v>4</v>
      </c>
      <c r="F63" s="13" t="s">
        <v>2</v>
      </c>
      <c r="G63" s="13" t="s">
        <v>3</v>
      </c>
      <c r="H63" s="11" t="s">
        <v>6</v>
      </c>
      <c r="I63" s="14" t="s">
        <v>8</v>
      </c>
      <c r="J63" s="14" t="s">
        <v>17</v>
      </c>
      <c r="K63" s="12" t="s">
        <v>9</v>
      </c>
      <c r="L63" s="15" t="s">
        <v>10</v>
      </c>
      <c r="M63" s="15" t="s">
        <v>11</v>
      </c>
      <c r="N63" s="15" t="s">
        <v>12</v>
      </c>
      <c r="O63" s="15" t="s">
        <v>14</v>
      </c>
      <c r="P63" s="26" t="s">
        <v>16</v>
      </c>
      <c r="Q63" s="15" t="s">
        <v>42</v>
      </c>
      <c r="R63" s="15" t="s">
        <v>44</v>
      </c>
      <c r="S63" s="83">
        <v>101</v>
      </c>
      <c r="T63" s="83">
        <v>102</v>
      </c>
      <c r="U63" s="80">
        <v>106</v>
      </c>
      <c r="V63" s="80">
        <v>108</v>
      </c>
      <c r="W63" s="80">
        <v>109</v>
      </c>
      <c r="X63" s="80">
        <v>113</v>
      </c>
      <c r="Y63" s="80">
        <v>114</v>
      </c>
      <c r="Z63" s="80">
        <v>115</v>
      </c>
      <c r="AA63" s="80">
        <v>116</v>
      </c>
      <c r="AB63" s="80">
        <v>199</v>
      </c>
      <c r="AC63" s="80">
        <v>201</v>
      </c>
      <c r="AD63" s="80">
        <v>202</v>
      </c>
      <c r="AE63" s="80">
        <v>203</v>
      </c>
      <c r="AF63" s="80">
        <v>205</v>
      </c>
      <c r="AG63" s="80">
        <v>206</v>
      </c>
      <c r="AH63" s="79">
        <v>209</v>
      </c>
      <c r="AI63" s="79">
        <v>212</v>
      </c>
      <c r="AJ63" s="79">
        <v>216</v>
      </c>
      <c r="AK63" s="79">
        <v>217</v>
      </c>
      <c r="AL63" s="79">
        <v>299</v>
      </c>
      <c r="AM63" s="79">
        <v>301</v>
      </c>
      <c r="AN63" s="79">
        <v>302</v>
      </c>
      <c r="AO63" s="79">
        <v>399</v>
      </c>
      <c r="AP63" s="79">
        <v>401</v>
      </c>
      <c r="AQ63" s="79">
        <v>402</v>
      </c>
      <c r="AR63" s="79">
        <v>411</v>
      </c>
      <c r="AS63" s="79">
        <v>412</v>
      </c>
      <c r="AT63" s="79">
        <v>413</v>
      </c>
      <c r="AU63" s="79">
        <v>499</v>
      </c>
      <c r="AV63" s="79">
        <v>501</v>
      </c>
      <c r="AW63" s="79">
        <v>502</v>
      </c>
      <c r="AX63" s="79">
        <v>599</v>
      </c>
      <c r="AY63" s="79">
        <v>604</v>
      </c>
      <c r="AZ63" s="79">
        <v>605</v>
      </c>
      <c r="BA63" s="79">
        <v>699</v>
      </c>
      <c r="BB63" s="79">
        <v>701</v>
      </c>
      <c r="BC63" s="79">
        <v>702</v>
      </c>
      <c r="BD63" s="79">
        <v>703</v>
      </c>
      <c r="BE63" s="79">
        <v>704</v>
      </c>
      <c r="BF63" s="79">
        <v>799</v>
      </c>
      <c r="BG63" s="84">
        <v>999</v>
      </c>
    </row>
    <row r="64" spans="1:59" ht="62.25" customHeight="1">
      <c r="A64" s="10" t="s">
        <v>18</v>
      </c>
      <c r="B64" s="10" t="s">
        <v>19</v>
      </c>
      <c r="C64" s="13" t="s">
        <v>20</v>
      </c>
      <c r="D64" s="12" t="s">
        <v>21</v>
      </c>
      <c r="E64" s="13" t="s">
        <v>22</v>
      </c>
      <c r="F64" s="13" t="s">
        <v>23</v>
      </c>
      <c r="G64" s="13" t="s">
        <v>25</v>
      </c>
      <c r="H64" s="13" t="s">
        <v>24</v>
      </c>
      <c r="I64" s="14" t="s">
        <v>26</v>
      </c>
      <c r="J64" s="14" t="s">
        <v>27</v>
      </c>
      <c r="K64" s="15" t="s">
        <v>28</v>
      </c>
      <c r="L64" s="15" t="s">
        <v>29</v>
      </c>
      <c r="M64" s="15" t="s">
        <v>30</v>
      </c>
      <c r="N64" s="15" t="s">
        <v>32</v>
      </c>
      <c r="O64" s="15" t="s">
        <v>31</v>
      </c>
      <c r="P64" s="26" t="s">
        <v>33</v>
      </c>
      <c r="Q64" s="15" t="s">
        <v>43</v>
      </c>
      <c r="R64" s="15" t="s">
        <v>45</v>
      </c>
      <c r="S64" s="83"/>
      <c r="T64" s="83"/>
      <c r="U64" s="80"/>
      <c r="V64" s="80"/>
      <c r="W64" s="80"/>
      <c r="X64" s="80"/>
      <c r="Y64" s="80"/>
      <c r="Z64" s="80"/>
      <c r="AA64" s="80"/>
      <c r="AB64" s="80"/>
      <c r="AC64" s="80"/>
      <c r="AD64" s="80"/>
      <c r="AE64" s="80"/>
      <c r="AF64" s="80"/>
      <c r="AG64" s="80"/>
      <c r="AH64" s="79"/>
      <c r="AI64" s="79"/>
      <c r="AJ64" s="79"/>
      <c r="AK64" s="79"/>
      <c r="AL64" s="79"/>
      <c r="AM64" s="79"/>
      <c r="AN64" s="79"/>
      <c r="AO64" s="79"/>
      <c r="AP64" s="79"/>
      <c r="AQ64" s="79"/>
      <c r="AR64" s="79"/>
      <c r="AS64" s="79"/>
      <c r="AT64" s="79"/>
      <c r="AU64" s="79"/>
      <c r="AV64" s="79"/>
      <c r="AW64" s="79"/>
      <c r="AX64" s="79"/>
      <c r="AY64" s="79"/>
      <c r="AZ64" s="79"/>
      <c r="BA64" s="79"/>
      <c r="BB64" s="79"/>
      <c r="BC64" s="79"/>
      <c r="BD64" s="79"/>
      <c r="BE64" s="79"/>
      <c r="BF64" s="79"/>
      <c r="BG64" s="84"/>
    </row>
    <row r="65" spans="1:59" s="17" customFormat="1" ht="15.75" customHeight="1">
      <c r="A65" s="85">
        <v>45261</v>
      </c>
      <c r="B65" s="114" t="s">
        <v>37</v>
      </c>
      <c r="C65" s="116" t="s">
        <v>56</v>
      </c>
      <c r="D65" s="118" t="s">
        <v>38</v>
      </c>
      <c r="E65" s="116">
        <v>84217</v>
      </c>
      <c r="F65" s="116" t="s">
        <v>49</v>
      </c>
      <c r="G65" s="120" t="s">
        <v>53</v>
      </c>
      <c r="H65" s="90" t="s">
        <v>39</v>
      </c>
      <c r="I65" s="90">
        <v>3008</v>
      </c>
      <c r="J65" s="90">
        <v>3008</v>
      </c>
      <c r="K65" s="20">
        <v>0</v>
      </c>
      <c r="L65" s="20">
        <v>0</v>
      </c>
      <c r="M65" s="20">
        <v>0</v>
      </c>
      <c r="N65" s="97">
        <f>O66/L66</f>
        <v>0.78514323784143902</v>
      </c>
      <c r="O65" s="21">
        <f t="shared" ref="O65:O72" si="26">L65-M65</f>
        <v>0</v>
      </c>
      <c r="P65" s="27">
        <v>0</v>
      </c>
      <c r="Q65" s="99">
        <f>+L66-P66</f>
        <v>80</v>
      </c>
      <c r="R65" s="101"/>
      <c r="S65" s="96"/>
      <c r="T65" s="96"/>
      <c r="U65" s="96"/>
      <c r="V65" s="96"/>
      <c r="W65" s="96"/>
      <c r="X65" s="96"/>
      <c r="Y65" s="96"/>
      <c r="Z65" s="96"/>
      <c r="AA65" s="96"/>
      <c r="AB65" s="96"/>
      <c r="AC65" s="96"/>
      <c r="AD65" s="96"/>
      <c r="AE65" s="96"/>
      <c r="AF65" s="96"/>
      <c r="AG65" s="96"/>
      <c r="AH65" s="96"/>
      <c r="AI65" s="96"/>
      <c r="AJ65" s="96"/>
      <c r="AK65" s="96"/>
      <c r="AL65" s="96"/>
      <c r="AM65" s="103"/>
      <c r="AN65" s="103"/>
      <c r="AO65" s="103"/>
      <c r="AP65" s="103"/>
      <c r="AQ65" s="103"/>
      <c r="AR65" s="103"/>
      <c r="AS65" s="103"/>
      <c r="AT65" s="103"/>
      <c r="AU65" s="103"/>
      <c r="AV65" s="103"/>
      <c r="AW65" s="103"/>
      <c r="AX65" s="103"/>
      <c r="AY65" s="106"/>
      <c r="AZ65" s="106"/>
      <c r="BA65" s="106"/>
      <c r="BB65" s="106"/>
      <c r="BC65" s="106"/>
      <c r="BD65" s="123"/>
      <c r="BE65" s="103"/>
      <c r="BF65" s="104"/>
      <c r="BG65" s="104"/>
    </row>
    <row r="66" spans="1:59" s="17" customFormat="1" ht="15.75" customHeight="1">
      <c r="A66" s="86"/>
      <c r="B66" s="115"/>
      <c r="C66" s="117"/>
      <c r="D66" s="119"/>
      <c r="E66" s="117"/>
      <c r="F66" s="117"/>
      <c r="G66" s="121"/>
      <c r="H66" s="95"/>
      <c r="I66" s="95"/>
      <c r="J66" s="95"/>
      <c r="K66" s="22">
        <f>2718+210+44+20+10</f>
        <v>3002</v>
      </c>
      <c r="L66" s="18">
        <f>2528+60+50+180+44+140</f>
        <v>3002</v>
      </c>
      <c r="M66" s="18">
        <f>35+162+30+26+20+30+60+20+90+20+10+30+8+40+44+20</f>
        <v>645</v>
      </c>
      <c r="N66" s="98"/>
      <c r="O66" s="19">
        <f t="shared" si="26"/>
        <v>2357</v>
      </c>
      <c r="P66" s="22">
        <f>2870+52</f>
        <v>2922</v>
      </c>
      <c r="Q66" s="100"/>
      <c r="R66" s="102"/>
      <c r="S66" s="96"/>
      <c r="T66" s="96"/>
      <c r="U66" s="96"/>
      <c r="V66" s="96"/>
      <c r="W66" s="96"/>
      <c r="X66" s="96"/>
      <c r="Y66" s="96"/>
      <c r="Z66" s="96"/>
      <c r="AA66" s="96"/>
      <c r="AB66" s="96"/>
      <c r="AC66" s="96"/>
      <c r="AD66" s="96"/>
      <c r="AE66" s="96"/>
      <c r="AF66" s="96"/>
      <c r="AG66" s="96"/>
      <c r="AH66" s="96"/>
      <c r="AI66" s="96"/>
      <c r="AJ66" s="96"/>
      <c r="AK66" s="96"/>
      <c r="AL66" s="96"/>
      <c r="AM66" s="103"/>
      <c r="AN66" s="103"/>
      <c r="AO66" s="103"/>
      <c r="AP66" s="103"/>
      <c r="AQ66" s="103"/>
      <c r="AR66" s="103"/>
      <c r="AS66" s="103"/>
      <c r="AT66" s="103"/>
      <c r="AU66" s="103"/>
      <c r="AV66" s="103"/>
      <c r="AW66" s="103"/>
      <c r="AX66" s="103"/>
      <c r="AY66" s="107"/>
      <c r="AZ66" s="107"/>
      <c r="BA66" s="107"/>
      <c r="BB66" s="107"/>
      <c r="BC66" s="107"/>
      <c r="BD66" s="124"/>
      <c r="BE66" s="103"/>
      <c r="BF66" s="105"/>
      <c r="BG66" s="105"/>
    </row>
    <row r="67" spans="1:59" s="17" customFormat="1" ht="18" customHeight="1">
      <c r="A67" s="85">
        <v>45261</v>
      </c>
      <c r="B67" s="131" t="s">
        <v>37</v>
      </c>
      <c r="C67" s="116" t="s">
        <v>56</v>
      </c>
      <c r="D67" s="118" t="s">
        <v>38</v>
      </c>
      <c r="E67" s="116">
        <v>84217</v>
      </c>
      <c r="F67" s="116" t="s">
        <v>49</v>
      </c>
      <c r="G67" s="127" t="s">
        <v>55</v>
      </c>
      <c r="H67" s="89" t="s">
        <v>39</v>
      </c>
      <c r="I67" s="89">
        <v>4918</v>
      </c>
      <c r="J67" s="89">
        <v>4918</v>
      </c>
      <c r="K67" s="20">
        <v>0</v>
      </c>
      <c r="L67" s="20">
        <v>0</v>
      </c>
      <c r="M67" s="20">
        <v>0</v>
      </c>
      <c r="N67" s="129">
        <f>O68/L68</f>
        <v>0.62088581877285653</v>
      </c>
      <c r="O67" s="21">
        <f t="shared" si="26"/>
        <v>0</v>
      </c>
      <c r="P67" s="27">
        <v>0</v>
      </c>
      <c r="Q67" s="99">
        <f>+L68-P68</f>
        <v>23</v>
      </c>
      <c r="R67" s="101" t="s">
        <v>64</v>
      </c>
      <c r="S67" s="125"/>
      <c r="T67" s="125"/>
      <c r="U67" s="125"/>
      <c r="V67" s="125"/>
      <c r="W67" s="125"/>
      <c r="X67" s="125"/>
      <c r="Y67" s="125"/>
      <c r="Z67" s="125"/>
      <c r="AA67" s="125"/>
      <c r="AB67" s="125"/>
      <c r="AC67" s="125"/>
      <c r="AD67" s="125"/>
      <c r="AE67" s="125"/>
      <c r="AF67" s="125"/>
      <c r="AG67" s="125"/>
      <c r="AH67" s="125"/>
      <c r="AI67" s="125"/>
      <c r="AJ67" s="125"/>
      <c r="AK67" s="125"/>
      <c r="AL67" s="125"/>
      <c r="AM67" s="133"/>
      <c r="AN67" s="133"/>
      <c r="AO67" s="133"/>
      <c r="AP67" s="133"/>
      <c r="AQ67" s="133"/>
      <c r="AR67" s="133"/>
      <c r="AS67" s="133"/>
      <c r="AT67" s="133"/>
      <c r="AU67" s="133"/>
      <c r="AV67" s="133"/>
      <c r="AW67" s="133"/>
      <c r="AX67" s="133"/>
      <c r="AY67" s="135"/>
      <c r="AZ67" s="135"/>
      <c r="BA67" s="135"/>
      <c r="BB67" s="135"/>
      <c r="BC67" s="135"/>
      <c r="BD67" s="135"/>
      <c r="BE67" s="135"/>
      <c r="BF67" s="135"/>
      <c r="BG67" s="135"/>
    </row>
    <row r="68" spans="1:59" s="17" customFormat="1" ht="17.25" customHeight="1">
      <c r="A68" s="86"/>
      <c r="B68" s="132"/>
      <c r="C68" s="117"/>
      <c r="D68" s="119"/>
      <c r="E68" s="117"/>
      <c r="F68" s="117"/>
      <c r="G68" s="128"/>
      <c r="H68" s="90"/>
      <c r="I68" s="90"/>
      <c r="J68" s="90"/>
      <c r="K68" s="3">
        <f>4762+128+32</f>
        <v>4922</v>
      </c>
      <c r="L68" s="3">
        <f>4762+128+32</f>
        <v>4922</v>
      </c>
      <c r="M68" s="3">
        <f>1804+56+6</f>
        <v>1866</v>
      </c>
      <c r="N68" s="130"/>
      <c r="O68" s="7">
        <f t="shared" si="26"/>
        <v>3056</v>
      </c>
      <c r="P68" s="28">
        <f>4811+43+6+26+13</f>
        <v>4899</v>
      </c>
      <c r="Q68" s="100"/>
      <c r="R68" s="102"/>
      <c r="S68" s="126"/>
      <c r="T68" s="126"/>
      <c r="U68" s="126"/>
      <c r="V68" s="126"/>
      <c r="W68" s="126"/>
      <c r="X68" s="126"/>
      <c r="Y68" s="126"/>
      <c r="Z68" s="126"/>
      <c r="AA68" s="126"/>
      <c r="AB68" s="126"/>
      <c r="AC68" s="126"/>
      <c r="AD68" s="126"/>
      <c r="AE68" s="126"/>
      <c r="AF68" s="126"/>
      <c r="AG68" s="126"/>
      <c r="AH68" s="126"/>
      <c r="AI68" s="126"/>
      <c r="AJ68" s="126"/>
      <c r="AK68" s="126"/>
      <c r="AL68" s="126"/>
      <c r="AM68" s="134"/>
      <c r="AN68" s="134"/>
      <c r="AO68" s="134"/>
      <c r="AP68" s="134"/>
      <c r="AQ68" s="134"/>
      <c r="AR68" s="134"/>
      <c r="AS68" s="134"/>
      <c r="AT68" s="134"/>
      <c r="AU68" s="134"/>
      <c r="AV68" s="134"/>
      <c r="AW68" s="134"/>
      <c r="AX68" s="134"/>
      <c r="AY68" s="136"/>
      <c r="AZ68" s="136"/>
      <c r="BA68" s="136"/>
      <c r="BB68" s="136"/>
      <c r="BC68" s="136"/>
      <c r="BD68" s="136"/>
      <c r="BE68" s="136"/>
      <c r="BF68" s="136"/>
      <c r="BG68" s="136"/>
    </row>
    <row r="69" spans="1:59" s="17" customFormat="1" ht="18" customHeight="1">
      <c r="A69" s="85">
        <v>45261</v>
      </c>
      <c r="B69" s="138" t="s">
        <v>37</v>
      </c>
      <c r="C69" s="90" t="s">
        <v>56</v>
      </c>
      <c r="D69" s="91" t="s">
        <v>38</v>
      </c>
      <c r="E69" s="89">
        <v>84217</v>
      </c>
      <c r="F69" s="89" t="s">
        <v>49</v>
      </c>
      <c r="G69" s="137" t="s">
        <v>61</v>
      </c>
      <c r="H69" s="95" t="s">
        <v>39</v>
      </c>
      <c r="I69" s="90">
        <v>4497</v>
      </c>
      <c r="J69" s="90">
        <v>4097</v>
      </c>
      <c r="K69" s="20">
        <v>60</v>
      </c>
      <c r="L69" s="20">
        <v>0</v>
      </c>
      <c r="M69" s="20">
        <v>0</v>
      </c>
      <c r="N69" s="97">
        <f>O70/L70</f>
        <v>0.61333333333333329</v>
      </c>
      <c r="O69" s="21">
        <f t="shared" si="26"/>
        <v>0</v>
      </c>
      <c r="P69" s="27">
        <v>0</v>
      </c>
      <c r="Q69" s="99">
        <f>+L70-P70</f>
        <v>100</v>
      </c>
      <c r="R69" s="85"/>
      <c r="S69" s="96"/>
      <c r="T69" s="96"/>
      <c r="U69" s="96"/>
      <c r="V69" s="96"/>
      <c r="W69" s="96"/>
      <c r="X69" s="96"/>
      <c r="Y69" s="96"/>
      <c r="Z69" s="96"/>
      <c r="AA69" s="96"/>
      <c r="AB69" s="96"/>
      <c r="AC69" s="96"/>
      <c r="AD69" s="96"/>
      <c r="AE69" s="96"/>
      <c r="AF69" s="96"/>
      <c r="AG69" s="96"/>
      <c r="AH69" s="96"/>
      <c r="AI69" s="96"/>
      <c r="AJ69" s="96"/>
      <c r="AK69" s="96"/>
      <c r="AL69" s="96"/>
      <c r="AM69" s="103"/>
      <c r="AN69" s="103"/>
      <c r="AO69" s="103"/>
      <c r="AP69" s="103"/>
      <c r="AQ69" s="103"/>
      <c r="AR69" s="103"/>
      <c r="AS69" s="103"/>
      <c r="AT69" s="103"/>
      <c r="AU69" s="103"/>
      <c r="AV69" s="103"/>
      <c r="AW69" s="103"/>
      <c r="AX69" s="103"/>
      <c r="AY69" s="106"/>
      <c r="AZ69" s="106"/>
      <c r="BA69" s="106"/>
      <c r="BB69" s="106"/>
      <c r="BC69" s="106"/>
      <c r="BD69" s="106"/>
      <c r="BE69" s="103"/>
      <c r="BF69" s="104"/>
      <c r="BG69" s="104"/>
    </row>
    <row r="70" spans="1:59" s="17" customFormat="1" ht="17.25" customHeight="1">
      <c r="A70" s="86"/>
      <c r="B70" s="139"/>
      <c r="C70" s="95"/>
      <c r="D70" s="92"/>
      <c r="E70" s="90"/>
      <c r="F70" s="90"/>
      <c r="G70" s="95"/>
      <c r="H70" s="95"/>
      <c r="I70" s="95"/>
      <c r="J70" s="95"/>
      <c r="K70" s="18">
        <f>260+160+50+100+100+240+349+166+150+60</f>
        <v>1635</v>
      </c>
      <c r="L70" s="18">
        <f>260+160+50+100+140+100+240+150</f>
        <v>1200</v>
      </c>
      <c r="M70" s="18">
        <f>120+55+27+40+30+60+87+45</f>
        <v>464</v>
      </c>
      <c r="N70" s="98"/>
      <c r="O70" s="19">
        <f t="shared" si="26"/>
        <v>736</v>
      </c>
      <c r="P70" s="22">
        <f>170+70+15+112+30+30+83+50+100+127+218+53+42</f>
        <v>1100</v>
      </c>
      <c r="Q70" s="100"/>
      <c r="R70" s="86"/>
      <c r="S70" s="96"/>
      <c r="T70" s="96"/>
      <c r="U70" s="96"/>
      <c r="V70" s="96"/>
      <c r="W70" s="96"/>
      <c r="X70" s="96"/>
      <c r="Y70" s="96"/>
      <c r="Z70" s="96"/>
      <c r="AA70" s="96"/>
      <c r="AB70" s="96"/>
      <c r="AC70" s="96"/>
      <c r="AD70" s="96"/>
      <c r="AE70" s="96"/>
      <c r="AF70" s="96"/>
      <c r="AG70" s="96"/>
      <c r="AH70" s="96"/>
      <c r="AI70" s="96"/>
      <c r="AJ70" s="96"/>
      <c r="AK70" s="96"/>
      <c r="AL70" s="96"/>
      <c r="AM70" s="103"/>
      <c r="AN70" s="103"/>
      <c r="AO70" s="103"/>
      <c r="AP70" s="103"/>
      <c r="AQ70" s="103"/>
      <c r="AR70" s="103"/>
      <c r="AS70" s="103"/>
      <c r="AT70" s="103"/>
      <c r="AU70" s="103"/>
      <c r="AV70" s="103"/>
      <c r="AW70" s="103"/>
      <c r="AX70" s="103"/>
      <c r="AY70" s="107"/>
      <c r="AZ70" s="107"/>
      <c r="BA70" s="107"/>
      <c r="BB70" s="107"/>
      <c r="BC70" s="107"/>
      <c r="BD70" s="107"/>
      <c r="BE70" s="103"/>
      <c r="BF70" s="105"/>
      <c r="BG70" s="105"/>
    </row>
    <row r="71" spans="1:59" s="17" customFormat="1" ht="18" hidden="1" customHeight="1">
      <c r="A71" s="101">
        <v>45217</v>
      </c>
      <c r="B71" s="132" t="s">
        <v>37</v>
      </c>
      <c r="C71" s="117"/>
      <c r="D71" s="118" t="s">
        <v>38</v>
      </c>
      <c r="E71" s="116">
        <v>84217</v>
      </c>
      <c r="F71" s="116" t="s">
        <v>49</v>
      </c>
      <c r="G71" s="141"/>
      <c r="H71" s="95"/>
      <c r="I71" s="90"/>
      <c r="J71" s="90"/>
      <c r="K71" s="20"/>
      <c r="L71" s="20"/>
      <c r="M71" s="20"/>
      <c r="N71" s="143" t="e">
        <f>O72/L72</f>
        <v>#DIV/0!</v>
      </c>
      <c r="O71" s="21">
        <f t="shared" si="26"/>
        <v>0</v>
      </c>
      <c r="P71" s="27"/>
      <c r="Q71" s="99">
        <f>+L72-P72</f>
        <v>0</v>
      </c>
      <c r="R71" s="101">
        <v>45023</v>
      </c>
      <c r="S71" s="96"/>
      <c r="T71" s="96"/>
      <c r="U71" s="96"/>
      <c r="V71" s="96"/>
      <c r="W71" s="96"/>
      <c r="X71" s="96"/>
      <c r="Y71" s="96"/>
      <c r="Z71" s="96"/>
      <c r="AA71" s="96"/>
      <c r="AB71" s="96"/>
      <c r="AC71" s="140"/>
      <c r="AD71" s="96"/>
      <c r="AE71" s="96"/>
      <c r="AF71" s="96"/>
      <c r="AG71" s="96"/>
      <c r="AH71" s="96"/>
      <c r="AI71" s="96"/>
      <c r="AJ71" s="96"/>
      <c r="AK71" s="96"/>
      <c r="AL71" s="96"/>
      <c r="AM71" s="96"/>
      <c r="AN71" s="96"/>
      <c r="AO71" s="96"/>
      <c r="AP71" s="96"/>
      <c r="AQ71" s="96"/>
      <c r="AR71" s="96"/>
      <c r="AS71" s="96"/>
      <c r="AT71" s="96"/>
      <c r="AU71" s="96"/>
      <c r="AV71" s="96"/>
      <c r="AW71" s="96"/>
      <c r="AX71" s="96"/>
      <c r="AY71" s="124"/>
      <c r="AZ71" s="123"/>
      <c r="BA71" s="123"/>
      <c r="BB71" s="123"/>
      <c r="BC71" s="123"/>
      <c r="BD71" s="123"/>
      <c r="BE71" s="123"/>
      <c r="BF71" s="123"/>
      <c r="BG71" s="123"/>
    </row>
    <row r="72" spans="1:59" s="17" customFormat="1" ht="17.25" hidden="1" customHeight="1">
      <c r="A72" s="102"/>
      <c r="B72" s="145"/>
      <c r="C72" s="142"/>
      <c r="D72" s="119"/>
      <c r="E72" s="117"/>
      <c r="F72" s="117"/>
      <c r="G72" s="142"/>
      <c r="H72" s="95"/>
      <c r="I72" s="95"/>
      <c r="J72" s="95"/>
      <c r="K72" s="3"/>
      <c r="L72" s="3"/>
      <c r="M72" s="3"/>
      <c r="N72" s="144"/>
      <c r="O72" s="7">
        <f t="shared" si="26"/>
        <v>0</v>
      </c>
      <c r="P72" s="28"/>
      <c r="Q72" s="100"/>
      <c r="R72" s="102"/>
      <c r="S72" s="96"/>
      <c r="T72" s="96"/>
      <c r="U72" s="96"/>
      <c r="V72" s="96"/>
      <c r="W72" s="96"/>
      <c r="X72" s="96"/>
      <c r="Y72" s="96"/>
      <c r="Z72" s="96"/>
      <c r="AA72" s="96"/>
      <c r="AB72" s="96"/>
      <c r="AC72" s="140"/>
      <c r="AD72" s="96"/>
      <c r="AE72" s="96"/>
      <c r="AF72" s="96"/>
      <c r="AG72" s="96"/>
      <c r="AH72" s="96"/>
      <c r="AI72" s="96"/>
      <c r="AJ72" s="96"/>
      <c r="AK72" s="96"/>
      <c r="AL72" s="96"/>
      <c r="AM72" s="96"/>
      <c r="AN72" s="96"/>
      <c r="AO72" s="96"/>
      <c r="AP72" s="96"/>
      <c r="AQ72" s="96"/>
      <c r="AR72" s="96"/>
      <c r="AS72" s="96"/>
      <c r="AT72" s="96"/>
      <c r="AU72" s="96"/>
      <c r="AV72" s="96"/>
      <c r="AW72" s="96"/>
      <c r="AX72" s="96"/>
      <c r="AY72" s="124"/>
      <c r="AZ72" s="124"/>
      <c r="BA72" s="124"/>
      <c r="BB72" s="124"/>
      <c r="BC72" s="124"/>
      <c r="BD72" s="124"/>
      <c r="BE72" s="124"/>
      <c r="BF72" s="124"/>
      <c r="BG72" s="124"/>
    </row>
    <row r="73" spans="1:59" ht="24.75" customHeight="1">
      <c r="A73" s="111" t="s">
        <v>15</v>
      </c>
      <c r="B73" s="112"/>
      <c r="C73" s="112"/>
      <c r="D73" s="112"/>
      <c r="E73" s="112"/>
      <c r="F73" s="112"/>
      <c r="G73" s="112"/>
      <c r="H73" s="112"/>
      <c r="I73" s="113"/>
      <c r="J73" s="5">
        <f>SUM(J65:J72)</f>
        <v>12023</v>
      </c>
      <c r="K73" s="5">
        <f>+K65+K67+K69</f>
        <v>60</v>
      </c>
      <c r="L73" s="5">
        <f>+SUMPRODUCT(((MOD(ROW(L65:L72),2)=1)*(L65:L72)))</f>
        <v>0</v>
      </c>
      <c r="M73" s="5">
        <f>+SUMPRODUCT(((MOD(ROW(M65:M72),2)=1)*(M65:M72)))</f>
        <v>0</v>
      </c>
      <c r="N73" s="23" t="e">
        <f>O73/L73</f>
        <v>#DIV/0!</v>
      </c>
      <c r="O73" s="5">
        <f>+SUMPRODUCT(((MOD(ROW(O65:O72),2)=1)*(O65:O72)))</f>
        <v>0</v>
      </c>
      <c r="P73" s="5">
        <f>+SUMPRODUCT(((MOD(ROW(P65:P72),2)=1)*(P65:P72)))</f>
        <v>0</v>
      </c>
      <c r="Q73" s="5">
        <f>+SUMPRODUCT(((MOD(ROW(Q65:Q72),2)=1)*(Q65:Q72)))</f>
        <v>203</v>
      </c>
      <c r="R73" s="5"/>
      <c r="S73" s="5">
        <f t="shared" ref="S73:BG73" si="27">SUM(S65:S72)</f>
        <v>0</v>
      </c>
      <c r="T73" s="5">
        <f t="shared" si="27"/>
        <v>0</v>
      </c>
      <c r="U73" s="5">
        <f t="shared" si="27"/>
        <v>0</v>
      </c>
      <c r="V73" s="5">
        <f t="shared" si="27"/>
        <v>0</v>
      </c>
      <c r="W73" s="5">
        <f t="shared" si="27"/>
        <v>0</v>
      </c>
      <c r="X73" s="5">
        <f t="shared" si="27"/>
        <v>0</v>
      </c>
      <c r="Y73" s="5">
        <f t="shared" si="27"/>
        <v>0</v>
      </c>
      <c r="Z73" s="5">
        <f t="shared" si="27"/>
        <v>0</v>
      </c>
      <c r="AA73" s="5">
        <f t="shared" si="27"/>
        <v>0</v>
      </c>
      <c r="AB73" s="5">
        <f t="shared" si="27"/>
        <v>0</v>
      </c>
      <c r="AC73" s="5">
        <f t="shared" si="27"/>
        <v>0</v>
      </c>
      <c r="AD73" s="5">
        <f t="shared" si="27"/>
        <v>0</v>
      </c>
      <c r="AE73" s="5">
        <f t="shared" si="27"/>
        <v>0</v>
      </c>
      <c r="AF73" s="5">
        <f t="shared" si="27"/>
        <v>0</v>
      </c>
      <c r="AG73" s="5">
        <f t="shared" si="27"/>
        <v>0</v>
      </c>
      <c r="AH73" s="5">
        <f t="shared" si="27"/>
        <v>0</v>
      </c>
      <c r="AI73" s="5">
        <f t="shared" si="27"/>
        <v>0</v>
      </c>
      <c r="AJ73" s="5">
        <f t="shared" si="27"/>
        <v>0</v>
      </c>
      <c r="AK73" s="5">
        <f t="shared" si="27"/>
        <v>0</v>
      </c>
      <c r="AL73" s="5">
        <f t="shared" si="27"/>
        <v>0</v>
      </c>
      <c r="AM73" s="5">
        <f t="shared" si="27"/>
        <v>0</v>
      </c>
      <c r="AN73" s="5">
        <f t="shared" si="27"/>
        <v>0</v>
      </c>
      <c r="AO73" s="5">
        <f t="shared" si="27"/>
        <v>0</v>
      </c>
      <c r="AP73" s="5">
        <f t="shared" si="27"/>
        <v>0</v>
      </c>
      <c r="AQ73" s="5">
        <f t="shared" si="27"/>
        <v>0</v>
      </c>
      <c r="AR73" s="5">
        <f t="shared" si="27"/>
        <v>0</v>
      </c>
      <c r="AS73" s="5">
        <f t="shared" si="27"/>
        <v>0</v>
      </c>
      <c r="AT73" s="5">
        <f t="shared" si="27"/>
        <v>0</v>
      </c>
      <c r="AU73" s="5">
        <f t="shared" si="27"/>
        <v>0</v>
      </c>
      <c r="AV73" s="5">
        <f t="shared" si="27"/>
        <v>0</v>
      </c>
      <c r="AW73" s="5">
        <f t="shared" si="27"/>
        <v>0</v>
      </c>
      <c r="AX73" s="5">
        <f t="shared" si="27"/>
        <v>0</v>
      </c>
      <c r="AY73" s="5">
        <f t="shared" si="27"/>
        <v>0</v>
      </c>
      <c r="AZ73" s="5">
        <f t="shared" si="27"/>
        <v>0</v>
      </c>
      <c r="BA73" s="5">
        <f t="shared" si="27"/>
        <v>0</v>
      </c>
      <c r="BB73" s="5">
        <f t="shared" si="27"/>
        <v>0</v>
      </c>
      <c r="BC73" s="5">
        <f t="shared" si="27"/>
        <v>0</v>
      </c>
      <c r="BD73" s="5">
        <f t="shared" si="27"/>
        <v>0</v>
      </c>
      <c r="BE73" s="5">
        <f t="shared" si="27"/>
        <v>0</v>
      </c>
      <c r="BF73" s="5">
        <f t="shared" si="27"/>
        <v>0</v>
      </c>
      <c r="BG73" s="5">
        <f t="shared" si="27"/>
        <v>0</v>
      </c>
    </row>
    <row r="74" spans="1:59" s="17" customFormat="1" ht="15.75" hidden="1" customHeight="1">
      <c r="A74" s="101"/>
      <c r="B74" s="114"/>
      <c r="C74" s="116"/>
      <c r="D74" s="118"/>
      <c r="E74" s="116"/>
      <c r="F74" s="116"/>
      <c r="G74" s="120"/>
      <c r="H74" s="151"/>
      <c r="I74" s="89"/>
      <c r="J74" s="89"/>
      <c r="K74" s="20"/>
      <c r="L74" s="20"/>
      <c r="M74" s="20"/>
      <c r="N74" s="146"/>
      <c r="O74" s="21"/>
      <c r="P74" s="27"/>
      <c r="Q74" s="99"/>
      <c r="R74" s="148"/>
      <c r="S74" s="149"/>
      <c r="T74" s="149"/>
      <c r="U74" s="149"/>
      <c r="V74" s="149"/>
      <c r="W74" s="149"/>
      <c r="X74" s="149"/>
      <c r="Y74" s="149"/>
      <c r="Z74" s="149"/>
      <c r="AA74" s="149"/>
      <c r="AB74" s="149"/>
      <c r="AC74" s="149"/>
      <c r="AD74" s="149"/>
      <c r="AE74" s="149"/>
      <c r="AF74" s="149"/>
      <c r="AG74" s="149"/>
      <c r="AH74" s="149"/>
      <c r="AI74" s="149"/>
      <c r="AJ74" s="149"/>
      <c r="AK74" s="149"/>
      <c r="AL74" s="149"/>
      <c r="AM74" s="149"/>
      <c r="AN74" s="149"/>
      <c r="AO74" s="149"/>
      <c r="AP74" s="149"/>
      <c r="AQ74" s="149"/>
      <c r="AR74" s="149"/>
      <c r="AS74" s="149"/>
      <c r="AT74" s="149"/>
      <c r="AU74" s="149"/>
      <c r="AV74" s="149"/>
      <c r="AW74" s="149"/>
      <c r="AX74" s="149"/>
      <c r="AY74" s="152"/>
      <c r="AZ74" s="152"/>
      <c r="BA74" s="152"/>
      <c r="BB74" s="152"/>
      <c r="BC74" s="152"/>
      <c r="BD74" s="152"/>
      <c r="BE74" s="149"/>
      <c r="BF74" s="152"/>
      <c r="BG74" s="152"/>
    </row>
    <row r="75" spans="1:59" s="17" customFormat="1" ht="15.75" hidden="1" customHeight="1">
      <c r="A75" s="102"/>
      <c r="B75" s="115"/>
      <c r="C75" s="117"/>
      <c r="D75" s="119"/>
      <c r="E75" s="117"/>
      <c r="F75" s="117"/>
      <c r="G75" s="121"/>
      <c r="H75" s="90"/>
      <c r="I75" s="90"/>
      <c r="J75" s="90"/>
      <c r="K75" s="22"/>
      <c r="L75" s="18"/>
      <c r="M75" s="18"/>
      <c r="N75" s="147"/>
      <c r="O75" s="19"/>
      <c r="P75" s="22"/>
      <c r="Q75" s="100"/>
      <c r="R75" s="101"/>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3"/>
      <c r="AZ75" s="153"/>
      <c r="BA75" s="153"/>
      <c r="BB75" s="153"/>
      <c r="BC75" s="153"/>
      <c r="BD75" s="153"/>
      <c r="BE75" s="150"/>
      <c r="BF75" s="153"/>
      <c r="BG75" s="153"/>
    </row>
    <row r="76" spans="1:59" s="17" customFormat="1" ht="15.75" hidden="1" customHeight="1">
      <c r="A76" s="101"/>
      <c r="B76" s="114"/>
      <c r="C76" s="116"/>
      <c r="D76" s="118"/>
      <c r="E76" s="116"/>
      <c r="F76" s="116"/>
      <c r="G76" s="120"/>
      <c r="H76" s="151"/>
      <c r="I76" s="89"/>
      <c r="J76" s="89"/>
      <c r="K76" s="20"/>
      <c r="L76" s="20"/>
      <c r="M76" s="20"/>
      <c r="N76" s="146"/>
      <c r="O76" s="21"/>
      <c r="P76" s="27"/>
      <c r="Q76" s="99"/>
      <c r="R76" s="148"/>
      <c r="S76" s="149"/>
      <c r="T76" s="149"/>
      <c r="U76" s="149"/>
      <c r="V76" s="149"/>
      <c r="W76" s="149"/>
      <c r="X76" s="149"/>
      <c r="Y76" s="149"/>
      <c r="Z76" s="149"/>
      <c r="AA76" s="149"/>
      <c r="AB76" s="149"/>
      <c r="AC76" s="149"/>
      <c r="AD76" s="149"/>
      <c r="AE76" s="149"/>
      <c r="AF76" s="149"/>
      <c r="AG76" s="149"/>
      <c r="AH76" s="149"/>
      <c r="AI76" s="149"/>
      <c r="AJ76" s="149"/>
      <c r="AK76" s="149"/>
      <c r="AL76" s="149"/>
      <c r="AM76" s="149"/>
      <c r="AN76" s="149"/>
      <c r="AO76" s="149"/>
      <c r="AP76" s="149"/>
      <c r="AQ76" s="149"/>
      <c r="AR76" s="149"/>
      <c r="AS76" s="149"/>
      <c r="AT76" s="149"/>
      <c r="AU76" s="149"/>
      <c r="AV76" s="149"/>
      <c r="AW76" s="149"/>
      <c r="AX76" s="149"/>
      <c r="AY76" s="152"/>
      <c r="AZ76" s="152"/>
      <c r="BA76" s="152"/>
      <c r="BB76" s="152"/>
      <c r="BC76" s="152"/>
      <c r="BD76" s="152"/>
      <c r="BE76" s="149"/>
      <c r="BF76" s="152"/>
      <c r="BG76" s="152"/>
    </row>
    <row r="77" spans="1:59" s="17" customFormat="1" ht="15.75" hidden="1" customHeight="1">
      <c r="A77" s="102"/>
      <c r="B77" s="115"/>
      <c r="C77" s="117"/>
      <c r="D77" s="119"/>
      <c r="E77" s="117"/>
      <c r="F77" s="117"/>
      <c r="G77" s="121"/>
      <c r="H77" s="90"/>
      <c r="I77" s="90"/>
      <c r="J77" s="90"/>
      <c r="K77" s="22"/>
      <c r="L77" s="18"/>
      <c r="M77" s="18"/>
      <c r="N77" s="147"/>
      <c r="O77" s="19"/>
      <c r="P77" s="22"/>
      <c r="Q77" s="100"/>
      <c r="R77" s="101"/>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3"/>
      <c r="AZ77" s="153"/>
      <c r="BA77" s="153"/>
      <c r="BB77" s="153"/>
      <c r="BC77" s="153"/>
      <c r="BD77" s="153"/>
      <c r="BE77" s="150"/>
      <c r="BF77" s="153"/>
      <c r="BG77" s="153"/>
    </row>
    <row r="78" spans="1:59" s="17" customFormat="1" ht="15.75" hidden="1" customHeight="1">
      <c r="A78" s="101"/>
      <c r="B78" s="114"/>
      <c r="C78" s="116"/>
      <c r="D78" s="118"/>
      <c r="E78" s="116"/>
      <c r="F78" s="116"/>
      <c r="G78" s="120"/>
      <c r="H78" s="109"/>
      <c r="I78" s="90"/>
      <c r="J78" s="90"/>
      <c r="K78" s="20"/>
      <c r="L78" s="20"/>
      <c r="M78" s="20"/>
      <c r="N78" s="97"/>
      <c r="O78" s="21"/>
      <c r="P78" s="27"/>
      <c r="Q78" s="99"/>
      <c r="R78" s="154"/>
      <c r="S78" s="96"/>
      <c r="T78" s="96"/>
      <c r="U78" s="96"/>
      <c r="V78" s="96"/>
      <c r="W78" s="96"/>
      <c r="X78" s="96"/>
      <c r="Y78" s="96"/>
      <c r="Z78" s="96"/>
      <c r="AA78" s="96"/>
      <c r="AB78" s="96"/>
      <c r="AC78" s="96"/>
      <c r="AD78" s="96"/>
      <c r="AE78" s="96"/>
      <c r="AF78" s="96"/>
      <c r="AG78" s="96"/>
      <c r="AH78" s="96"/>
      <c r="AI78" s="96"/>
      <c r="AJ78" s="96"/>
      <c r="AK78" s="96"/>
      <c r="AL78" s="96"/>
      <c r="AM78" s="96"/>
      <c r="AN78" s="96"/>
      <c r="AO78" s="96"/>
      <c r="AP78" s="96"/>
      <c r="AQ78" s="96"/>
      <c r="AR78" s="96"/>
      <c r="AS78" s="96"/>
      <c r="AT78" s="96"/>
      <c r="AU78" s="96"/>
      <c r="AV78" s="96"/>
      <c r="AW78" s="96"/>
      <c r="AX78" s="96"/>
      <c r="AY78" s="155"/>
      <c r="AZ78" s="155"/>
      <c r="BA78" s="155"/>
      <c r="BB78" s="155"/>
      <c r="BC78" s="155"/>
      <c r="BD78" s="155"/>
      <c r="BE78" s="96"/>
      <c r="BF78" s="155"/>
      <c r="BG78" s="155"/>
    </row>
    <row r="79" spans="1:59" s="17" customFormat="1" ht="15.75" hidden="1" customHeight="1">
      <c r="A79" s="102"/>
      <c r="B79" s="115"/>
      <c r="C79" s="117"/>
      <c r="D79" s="119"/>
      <c r="E79" s="117"/>
      <c r="F79" s="117"/>
      <c r="G79" s="121"/>
      <c r="H79" s="95"/>
      <c r="I79" s="95"/>
      <c r="J79" s="95"/>
      <c r="K79" s="22"/>
      <c r="L79" s="18"/>
      <c r="M79" s="18"/>
      <c r="N79" s="98"/>
      <c r="O79" s="19"/>
      <c r="P79" s="22"/>
      <c r="Q79" s="100"/>
      <c r="R79" s="101"/>
      <c r="S79" s="96"/>
      <c r="T79" s="96"/>
      <c r="U79" s="96"/>
      <c r="V79" s="96"/>
      <c r="W79" s="96"/>
      <c r="X79" s="96"/>
      <c r="Y79" s="96"/>
      <c r="Z79" s="96"/>
      <c r="AA79" s="96"/>
      <c r="AB79" s="96"/>
      <c r="AC79" s="96"/>
      <c r="AD79" s="96"/>
      <c r="AE79" s="96"/>
      <c r="AF79" s="96"/>
      <c r="AG79" s="96"/>
      <c r="AH79" s="96"/>
      <c r="AI79" s="96"/>
      <c r="AJ79" s="96"/>
      <c r="AK79" s="96"/>
      <c r="AL79" s="96"/>
      <c r="AM79" s="96"/>
      <c r="AN79" s="96"/>
      <c r="AO79" s="96"/>
      <c r="AP79" s="96"/>
      <c r="AQ79" s="96"/>
      <c r="AR79" s="96"/>
      <c r="AS79" s="96"/>
      <c r="AT79" s="96"/>
      <c r="AU79" s="96"/>
      <c r="AV79" s="96"/>
      <c r="AW79" s="96"/>
      <c r="AX79" s="96"/>
      <c r="AY79" s="156"/>
      <c r="AZ79" s="156"/>
      <c r="BA79" s="156"/>
      <c r="BB79" s="156"/>
      <c r="BC79" s="156"/>
      <c r="BD79" s="156"/>
      <c r="BE79" s="96"/>
      <c r="BF79" s="156"/>
      <c r="BG79" s="156"/>
    </row>
    <row r="80" spans="1:59" s="17" customFormat="1" ht="15.75" hidden="1" customHeight="1">
      <c r="A80" s="101"/>
      <c r="B80" s="114"/>
      <c r="C80" s="116"/>
      <c r="D80" s="118"/>
      <c r="E80" s="116"/>
      <c r="F80" s="116"/>
      <c r="G80" s="120"/>
      <c r="H80" s="109"/>
      <c r="I80" s="90"/>
      <c r="J80" s="90"/>
      <c r="K80" s="20"/>
      <c r="L80" s="20"/>
      <c r="M80" s="20"/>
      <c r="N80" s="97"/>
      <c r="O80" s="21"/>
      <c r="P80" s="27"/>
      <c r="Q80" s="99"/>
      <c r="R80" s="148"/>
      <c r="S80" s="96"/>
      <c r="T80" s="96"/>
      <c r="U80" s="96"/>
      <c r="V80" s="96"/>
      <c r="W80" s="96"/>
      <c r="X80" s="96"/>
      <c r="Y80" s="96"/>
      <c r="Z80" s="96"/>
      <c r="AA80" s="96"/>
      <c r="AB80" s="96"/>
      <c r="AC80" s="96"/>
      <c r="AD80" s="96"/>
      <c r="AE80" s="96"/>
      <c r="AF80" s="96"/>
      <c r="AG80" s="96"/>
      <c r="AH80" s="96"/>
      <c r="AI80" s="96"/>
      <c r="AJ80" s="96"/>
      <c r="AK80" s="96"/>
      <c r="AL80" s="96"/>
      <c r="AM80" s="96"/>
      <c r="AN80" s="96"/>
      <c r="AO80" s="96"/>
      <c r="AP80" s="96"/>
      <c r="AQ80" s="96"/>
      <c r="AR80" s="96"/>
      <c r="AS80" s="96"/>
      <c r="AT80" s="96"/>
      <c r="AU80" s="96"/>
      <c r="AV80" s="96"/>
      <c r="AW80" s="96"/>
      <c r="AX80" s="96"/>
      <c r="AY80" s="155"/>
      <c r="AZ80" s="155"/>
      <c r="BA80" s="155"/>
      <c r="BB80" s="155"/>
      <c r="BC80" s="155"/>
      <c r="BD80" s="155"/>
      <c r="BE80" s="96"/>
      <c r="BF80" s="155"/>
      <c r="BG80" s="155"/>
    </row>
    <row r="81" spans="1:61" s="17" customFormat="1" ht="15.75" hidden="1" customHeight="1">
      <c r="A81" s="102"/>
      <c r="B81" s="115"/>
      <c r="C81" s="117"/>
      <c r="D81" s="119"/>
      <c r="E81" s="117"/>
      <c r="F81" s="117"/>
      <c r="G81" s="121"/>
      <c r="H81" s="95"/>
      <c r="I81" s="95"/>
      <c r="J81" s="95"/>
      <c r="K81" s="22"/>
      <c r="L81" s="18"/>
      <c r="M81" s="18"/>
      <c r="N81" s="98"/>
      <c r="O81" s="19"/>
      <c r="P81" s="22"/>
      <c r="Q81" s="100"/>
      <c r="R81" s="101"/>
      <c r="S81" s="96"/>
      <c r="T81" s="96"/>
      <c r="U81" s="96"/>
      <c r="V81" s="96"/>
      <c r="W81" s="96"/>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6"/>
      <c r="AY81" s="156"/>
      <c r="AZ81" s="156"/>
      <c r="BA81" s="156"/>
      <c r="BB81" s="156"/>
      <c r="BC81" s="156"/>
      <c r="BD81" s="156"/>
      <c r="BE81" s="96"/>
      <c r="BF81" s="156"/>
      <c r="BG81" s="156"/>
    </row>
    <row r="82" spans="1:61" s="17" customFormat="1" ht="15.75" hidden="1" customHeight="1">
      <c r="A82" s="101">
        <v>45084</v>
      </c>
      <c r="B82" s="114" t="s">
        <v>37</v>
      </c>
      <c r="C82" s="116"/>
      <c r="D82" s="118"/>
      <c r="E82" s="116"/>
      <c r="F82" s="116"/>
      <c r="G82" s="120"/>
      <c r="H82" s="109"/>
      <c r="I82" s="90"/>
      <c r="J82" s="90"/>
      <c r="K82" s="20"/>
      <c r="L82" s="20"/>
      <c r="M82" s="20"/>
      <c r="N82" s="97" t="e">
        <f>O83/L83</f>
        <v>#DIV/0!</v>
      </c>
      <c r="O82" s="21"/>
      <c r="P82" s="27"/>
      <c r="Q82" s="99">
        <f>+L83-P83</f>
        <v>0</v>
      </c>
      <c r="R82" s="101"/>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5"/>
      <c r="AZ82" s="155"/>
      <c r="BA82" s="155"/>
      <c r="BB82" s="155"/>
      <c r="BC82" s="155"/>
      <c r="BD82" s="155"/>
      <c r="BE82" s="96"/>
      <c r="BF82" s="155"/>
      <c r="BG82" s="155"/>
    </row>
    <row r="83" spans="1:61" s="17" customFormat="1" ht="15.75" hidden="1" customHeight="1">
      <c r="A83" s="102"/>
      <c r="B83" s="115"/>
      <c r="C83" s="117"/>
      <c r="D83" s="119"/>
      <c r="E83" s="117"/>
      <c r="F83" s="117"/>
      <c r="G83" s="121"/>
      <c r="H83" s="95"/>
      <c r="I83" s="95"/>
      <c r="J83" s="95"/>
      <c r="K83" s="22"/>
      <c r="L83" s="18"/>
      <c r="M83" s="18"/>
      <c r="N83" s="98"/>
      <c r="O83" s="19"/>
      <c r="P83" s="22"/>
      <c r="Q83" s="100"/>
      <c r="R83" s="102"/>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6"/>
      <c r="AZ83" s="156"/>
      <c r="BA83" s="156"/>
      <c r="BB83" s="156"/>
      <c r="BC83" s="156"/>
      <c r="BD83" s="156"/>
      <c r="BE83" s="96"/>
      <c r="BF83" s="156"/>
      <c r="BG83" s="156"/>
    </row>
    <row r="84" spans="1:61" ht="24.75" hidden="1" customHeight="1">
      <c r="A84" s="111" t="s">
        <v>40</v>
      </c>
      <c r="B84" s="112"/>
      <c r="C84" s="112"/>
      <c r="D84" s="112"/>
      <c r="E84" s="112"/>
      <c r="F84" s="112"/>
      <c r="G84" s="112"/>
      <c r="H84" s="112"/>
      <c r="I84" s="113"/>
      <c r="J84" s="5">
        <f>SUM(J74:J83)</f>
        <v>0</v>
      </c>
      <c r="K84" s="5">
        <f>+SUMPRODUCT(((MOD(ROW(K74:K81),2)=0)*(K74:K81)))</f>
        <v>0</v>
      </c>
      <c r="L84" s="5">
        <f>+SUMPRODUCT(((MOD(ROW(L74:L81),2)=0)*(L74:L81)))</f>
        <v>0</v>
      </c>
      <c r="M84" s="5">
        <f>+SUMPRODUCT(((MOD(ROW(M74:M81),2)=0)*(M74:M81)))</f>
        <v>0</v>
      </c>
      <c r="N84" s="6" t="e">
        <f>O84/L84</f>
        <v>#DIV/0!</v>
      </c>
      <c r="O84" s="5">
        <f>+SUMPRODUCT(((MOD(ROW(O74:O81),2)=0)*(O74:O81)))</f>
        <v>0</v>
      </c>
      <c r="P84" s="5">
        <f>+SUMPRODUCT(((MOD(ROW(P74:P81),2)=0)*(P74:P81)))</f>
        <v>0</v>
      </c>
      <c r="Q84" s="29">
        <f>SUM(Q74:Q83)</f>
        <v>0</v>
      </c>
      <c r="R84" s="29"/>
      <c r="S84" s="29">
        <f t="shared" ref="S84:BG84" si="28">SUM(S74:S83)</f>
        <v>0</v>
      </c>
      <c r="T84" s="29">
        <f t="shared" si="28"/>
        <v>0</v>
      </c>
      <c r="U84" s="29">
        <f t="shared" si="28"/>
        <v>0</v>
      </c>
      <c r="V84" s="29">
        <f t="shared" si="28"/>
        <v>0</v>
      </c>
      <c r="W84" s="29">
        <f t="shared" si="28"/>
        <v>0</v>
      </c>
      <c r="X84" s="29">
        <f t="shared" si="28"/>
        <v>0</v>
      </c>
      <c r="Y84" s="29">
        <f t="shared" si="28"/>
        <v>0</v>
      </c>
      <c r="Z84" s="29">
        <f t="shared" si="28"/>
        <v>0</v>
      </c>
      <c r="AA84" s="29">
        <f t="shared" si="28"/>
        <v>0</v>
      </c>
      <c r="AB84" s="29">
        <f t="shared" si="28"/>
        <v>0</v>
      </c>
      <c r="AC84" s="29">
        <f t="shared" si="28"/>
        <v>0</v>
      </c>
      <c r="AD84" s="29">
        <f t="shared" si="28"/>
        <v>0</v>
      </c>
      <c r="AE84" s="29">
        <f t="shared" si="28"/>
        <v>0</v>
      </c>
      <c r="AF84" s="29">
        <f t="shared" si="28"/>
        <v>0</v>
      </c>
      <c r="AG84" s="29">
        <f t="shared" si="28"/>
        <v>0</v>
      </c>
      <c r="AH84" s="29">
        <f t="shared" si="28"/>
        <v>0</v>
      </c>
      <c r="AI84" s="29">
        <f t="shared" si="28"/>
        <v>0</v>
      </c>
      <c r="AJ84" s="29">
        <f t="shared" si="28"/>
        <v>0</v>
      </c>
      <c r="AK84" s="29">
        <f t="shared" si="28"/>
        <v>0</v>
      </c>
      <c r="AL84" s="29">
        <f t="shared" si="28"/>
        <v>0</v>
      </c>
      <c r="AM84" s="29">
        <f t="shared" si="28"/>
        <v>0</v>
      </c>
      <c r="AN84" s="29">
        <f t="shared" si="28"/>
        <v>0</v>
      </c>
      <c r="AO84" s="29">
        <f t="shared" si="28"/>
        <v>0</v>
      </c>
      <c r="AP84" s="29">
        <f t="shared" si="28"/>
        <v>0</v>
      </c>
      <c r="AQ84" s="29">
        <f t="shared" si="28"/>
        <v>0</v>
      </c>
      <c r="AR84" s="29">
        <f t="shared" si="28"/>
        <v>0</v>
      </c>
      <c r="AS84" s="29">
        <f t="shared" si="28"/>
        <v>0</v>
      </c>
      <c r="AT84" s="29">
        <f t="shared" si="28"/>
        <v>0</v>
      </c>
      <c r="AU84" s="29">
        <f t="shared" si="28"/>
        <v>0</v>
      </c>
      <c r="AV84" s="29">
        <f t="shared" si="28"/>
        <v>0</v>
      </c>
      <c r="AW84" s="29">
        <f t="shared" si="28"/>
        <v>0</v>
      </c>
      <c r="AX84" s="29">
        <f t="shared" si="28"/>
        <v>0</v>
      </c>
      <c r="AY84" s="29">
        <f t="shared" si="28"/>
        <v>0</v>
      </c>
      <c r="AZ84" s="29">
        <f t="shared" si="28"/>
        <v>0</v>
      </c>
      <c r="BA84" s="29">
        <f t="shared" si="28"/>
        <v>0</v>
      </c>
      <c r="BB84" s="29">
        <f t="shared" si="28"/>
        <v>0</v>
      </c>
      <c r="BC84" s="29">
        <f t="shared" si="28"/>
        <v>0</v>
      </c>
      <c r="BD84" s="29">
        <f t="shared" si="28"/>
        <v>0</v>
      </c>
      <c r="BE84" s="29">
        <f t="shared" si="28"/>
        <v>0</v>
      </c>
      <c r="BF84" s="29">
        <f t="shared" si="28"/>
        <v>0</v>
      </c>
      <c r="BG84" s="29">
        <f t="shared" si="28"/>
        <v>0</v>
      </c>
      <c r="BH84" s="17"/>
      <c r="BI84" s="17"/>
    </row>
    <row r="85" spans="1:61" s="17" customFormat="1" ht="15.75" hidden="1" customHeight="1">
      <c r="A85" s="101"/>
      <c r="B85" s="114"/>
      <c r="C85" s="116"/>
      <c r="D85" s="118"/>
      <c r="E85" s="116"/>
      <c r="F85" s="116"/>
      <c r="G85" s="120"/>
      <c r="H85" s="109"/>
      <c r="I85" s="90"/>
      <c r="J85" s="90"/>
      <c r="K85" s="20"/>
      <c r="L85" s="20"/>
      <c r="M85" s="20"/>
      <c r="N85" s="97"/>
      <c r="O85" s="21"/>
      <c r="P85" s="27"/>
      <c r="Q85" s="99"/>
      <c r="R85" s="154"/>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5"/>
      <c r="AZ85" s="155"/>
      <c r="BA85" s="155"/>
      <c r="BB85" s="155"/>
      <c r="BC85" s="155"/>
      <c r="BD85" s="155"/>
      <c r="BE85" s="96"/>
      <c r="BF85" s="155"/>
      <c r="BG85" s="155"/>
    </row>
    <row r="86" spans="1:61" s="17" customFormat="1" ht="15.75" hidden="1" customHeight="1">
      <c r="A86" s="102"/>
      <c r="B86" s="115"/>
      <c r="C86" s="117"/>
      <c r="D86" s="119"/>
      <c r="E86" s="117"/>
      <c r="F86" s="117"/>
      <c r="G86" s="121"/>
      <c r="H86" s="95"/>
      <c r="I86" s="95"/>
      <c r="J86" s="95"/>
      <c r="K86" s="22"/>
      <c r="L86" s="18"/>
      <c r="M86" s="18"/>
      <c r="N86" s="98"/>
      <c r="O86" s="19"/>
      <c r="P86" s="22"/>
      <c r="Q86" s="100"/>
      <c r="R86" s="101"/>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6"/>
      <c r="AZ86" s="156"/>
      <c r="BA86" s="156"/>
      <c r="BB86" s="156"/>
      <c r="BC86" s="156"/>
      <c r="BD86" s="156"/>
      <c r="BE86" s="96"/>
      <c r="BF86" s="156"/>
      <c r="BG86" s="156"/>
    </row>
    <row r="87" spans="1:61" s="17" customFormat="1" ht="15.75" hidden="1" customHeight="1">
      <c r="A87" s="101"/>
      <c r="B87" s="114"/>
      <c r="C87" s="116"/>
      <c r="D87" s="118"/>
      <c r="E87" s="116"/>
      <c r="F87" s="116"/>
      <c r="G87" s="120"/>
      <c r="H87" s="90"/>
      <c r="I87" s="90"/>
      <c r="J87" s="90"/>
      <c r="K87" s="20"/>
      <c r="L87" s="20"/>
      <c r="M87" s="20"/>
      <c r="N87" s="97"/>
      <c r="O87" s="21"/>
      <c r="P87" s="27"/>
      <c r="Q87" s="99"/>
      <c r="R87" s="154"/>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5"/>
      <c r="AZ87" s="155"/>
      <c r="BA87" s="155"/>
      <c r="BB87" s="155"/>
      <c r="BC87" s="155"/>
      <c r="BD87" s="155"/>
      <c r="BE87" s="96"/>
      <c r="BF87" s="155"/>
      <c r="BG87" s="155"/>
    </row>
    <row r="88" spans="1:61" s="17" customFormat="1" ht="15.75" hidden="1" customHeight="1">
      <c r="A88" s="102"/>
      <c r="B88" s="115"/>
      <c r="C88" s="117"/>
      <c r="D88" s="119"/>
      <c r="E88" s="117"/>
      <c r="F88" s="117"/>
      <c r="G88" s="121"/>
      <c r="H88" s="95"/>
      <c r="I88" s="95"/>
      <c r="J88" s="95"/>
      <c r="K88" s="22"/>
      <c r="L88" s="18"/>
      <c r="M88" s="18"/>
      <c r="N88" s="98"/>
      <c r="O88" s="19"/>
      <c r="P88" s="22"/>
      <c r="Q88" s="100"/>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6"/>
      <c r="AZ88" s="156"/>
      <c r="BA88" s="156"/>
      <c r="BB88" s="156"/>
      <c r="BC88" s="156"/>
      <c r="BD88" s="156"/>
      <c r="BE88" s="96"/>
      <c r="BF88" s="156"/>
      <c r="BG88" s="156"/>
    </row>
    <row r="89" spans="1:61" s="17" customFormat="1" ht="15.75" hidden="1" customHeight="1">
      <c r="A89" s="101">
        <v>45163</v>
      </c>
      <c r="B89" s="114" t="s">
        <v>37</v>
      </c>
      <c r="C89" s="116"/>
      <c r="D89" s="118"/>
      <c r="E89" s="116"/>
      <c r="F89" s="116"/>
      <c r="G89" s="120"/>
      <c r="H89" s="90"/>
      <c r="I89" s="90"/>
      <c r="J89" s="90"/>
      <c r="K89" s="20"/>
      <c r="L89" s="20"/>
      <c r="M89" s="20"/>
      <c r="N89" s="97" t="e">
        <f>O90/L90</f>
        <v>#DIV/0!</v>
      </c>
      <c r="O89" s="21">
        <f>L89-M89</f>
        <v>0</v>
      </c>
      <c r="P89" s="27"/>
      <c r="Q89" s="99">
        <f>+L90-P90</f>
        <v>0</v>
      </c>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f>L90-M90</f>
        <v>0</v>
      </c>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row>
    <row r="91" spans="1:61" s="17" customFormat="1" ht="15.75" hidden="1" customHeight="1">
      <c r="A91" s="101">
        <v>45163</v>
      </c>
      <c r="B91" s="114" t="s">
        <v>37</v>
      </c>
      <c r="C91" s="116"/>
      <c r="D91" s="118"/>
      <c r="E91" s="116"/>
      <c r="F91" s="116"/>
      <c r="G91" s="120"/>
      <c r="H91" s="90"/>
      <c r="I91" s="90"/>
      <c r="J91" s="90"/>
      <c r="K91" s="20"/>
      <c r="L91" s="20"/>
      <c r="M91" s="20"/>
      <c r="N91" s="97" t="e">
        <f>O92/L92</f>
        <v>#DIV/0!</v>
      </c>
      <c r="O91" s="21">
        <f>L91-M91</f>
        <v>0</v>
      </c>
      <c r="P91" s="27"/>
      <c r="Q91" s="99">
        <f>+L92-P92</f>
        <v>0</v>
      </c>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f>L92-M92</f>
        <v>0</v>
      </c>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c r="BH92" s="1"/>
      <c r="BI92" s="1"/>
    </row>
    <row r="93" spans="1:61" ht="24.75" hidden="1" customHeight="1">
      <c r="A93" s="111" t="s">
        <v>48</v>
      </c>
      <c r="B93" s="112"/>
      <c r="C93" s="112"/>
      <c r="D93" s="112"/>
      <c r="E93" s="112"/>
      <c r="F93" s="112"/>
      <c r="G93" s="112"/>
      <c r="H93" s="112"/>
      <c r="I93" s="113"/>
      <c r="J93" s="5">
        <f>SUM(J85:J92)</f>
        <v>0</v>
      </c>
      <c r="K93" s="5">
        <f>+SUMPRODUCT(((MOD(ROW(K85:K92),2)=0)*(K85:K92)))</f>
        <v>0</v>
      </c>
      <c r="L93" s="5">
        <f>+SUMPRODUCT(((MOD(ROW(L85:L92),2)=0)*(L85:L92)))</f>
        <v>0</v>
      </c>
      <c r="M93" s="5">
        <f>+SUMPRODUCT(((MOD(ROW(M85:M92),2)=0)*(M85:M92)))</f>
        <v>0</v>
      </c>
      <c r="N93" s="6" t="e">
        <f>O93/L93</f>
        <v>#DIV/0!</v>
      </c>
      <c r="O93" s="5">
        <f>+SUMPRODUCT(((MOD(ROW(O85:O92),2)=0)*(O85:O92)))</f>
        <v>0</v>
      </c>
      <c r="P93" s="5">
        <f>+SUMPRODUCT(((MOD(ROW(P85:P92),2)=0)*(P85:P92)))</f>
        <v>0</v>
      </c>
      <c r="Q93" s="29">
        <f>SUM(Q85:Q92)</f>
        <v>0</v>
      </c>
      <c r="R93" s="29"/>
      <c r="S93" s="29">
        <f t="shared" ref="S93:BG93" si="29">SUM(S85:S92)</f>
        <v>0</v>
      </c>
      <c r="T93" s="29">
        <f t="shared" si="29"/>
        <v>0</v>
      </c>
      <c r="U93" s="29">
        <f t="shared" si="29"/>
        <v>0</v>
      </c>
      <c r="V93" s="29">
        <f t="shared" si="29"/>
        <v>0</v>
      </c>
      <c r="W93" s="29">
        <f t="shared" si="29"/>
        <v>0</v>
      </c>
      <c r="X93" s="29">
        <f t="shared" si="29"/>
        <v>0</v>
      </c>
      <c r="Y93" s="29">
        <f t="shared" si="29"/>
        <v>0</v>
      </c>
      <c r="Z93" s="29">
        <f t="shared" si="29"/>
        <v>0</v>
      </c>
      <c r="AA93" s="29">
        <f t="shared" si="29"/>
        <v>0</v>
      </c>
      <c r="AB93" s="29">
        <f t="shared" si="29"/>
        <v>0</v>
      </c>
      <c r="AC93" s="29">
        <f t="shared" si="29"/>
        <v>0</v>
      </c>
      <c r="AD93" s="29">
        <f t="shared" si="29"/>
        <v>0</v>
      </c>
      <c r="AE93" s="29">
        <f t="shared" si="29"/>
        <v>0</v>
      </c>
      <c r="AF93" s="29">
        <f t="shared" si="29"/>
        <v>0</v>
      </c>
      <c r="AG93" s="29">
        <f t="shared" si="29"/>
        <v>0</v>
      </c>
      <c r="AH93" s="29">
        <f t="shared" si="29"/>
        <v>0</v>
      </c>
      <c r="AI93" s="29">
        <f t="shared" si="29"/>
        <v>0</v>
      </c>
      <c r="AJ93" s="29">
        <f t="shared" si="29"/>
        <v>0</v>
      </c>
      <c r="AK93" s="29">
        <f t="shared" si="29"/>
        <v>0</v>
      </c>
      <c r="AL93" s="29">
        <f t="shared" si="29"/>
        <v>0</v>
      </c>
      <c r="AM93" s="29">
        <f t="shared" si="29"/>
        <v>0</v>
      </c>
      <c r="AN93" s="29">
        <f t="shared" si="29"/>
        <v>0</v>
      </c>
      <c r="AO93" s="29">
        <f t="shared" si="29"/>
        <v>0</v>
      </c>
      <c r="AP93" s="29">
        <f t="shared" si="29"/>
        <v>0</v>
      </c>
      <c r="AQ93" s="29">
        <f t="shared" si="29"/>
        <v>0</v>
      </c>
      <c r="AR93" s="29">
        <f t="shared" si="29"/>
        <v>0</v>
      </c>
      <c r="AS93" s="29">
        <f t="shared" si="29"/>
        <v>0</v>
      </c>
      <c r="AT93" s="29">
        <f t="shared" si="29"/>
        <v>0</v>
      </c>
      <c r="AU93" s="29">
        <f t="shared" si="29"/>
        <v>0</v>
      </c>
      <c r="AV93" s="29">
        <f t="shared" si="29"/>
        <v>0</v>
      </c>
      <c r="AW93" s="29">
        <f t="shared" si="29"/>
        <v>0</v>
      </c>
      <c r="AX93" s="29">
        <f t="shared" si="29"/>
        <v>0</v>
      </c>
      <c r="AY93" s="29">
        <f t="shared" si="29"/>
        <v>0</v>
      </c>
      <c r="AZ93" s="29">
        <f t="shared" si="29"/>
        <v>0</v>
      </c>
      <c r="BA93" s="29">
        <f t="shared" si="29"/>
        <v>0</v>
      </c>
      <c r="BB93" s="29">
        <f t="shared" si="29"/>
        <v>0</v>
      </c>
      <c r="BC93" s="29">
        <f t="shared" si="29"/>
        <v>0</v>
      </c>
      <c r="BD93" s="29">
        <f t="shared" si="29"/>
        <v>0</v>
      </c>
      <c r="BE93" s="29">
        <f t="shared" si="29"/>
        <v>0</v>
      </c>
      <c r="BF93" s="29">
        <f t="shared" si="29"/>
        <v>0</v>
      </c>
      <c r="BG93" s="29">
        <f t="shared" si="29"/>
        <v>0</v>
      </c>
      <c r="BH93" s="17"/>
      <c r="BI93" s="17"/>
    </row>
    <row r="94" spans="1:61" s="17" customFormat="1" ht="15.75" hidden="1" customHeight="1">
      <c r="A94" s="101"/>
      <c r="B94" s="114"/>
      <c r="C94" s="116"/>
      <c r="D94" s="118"/>
      <c r="E94" s="157"/>
      <c r="F94" s="116"/>
      <c r="G94" s="120"/>
      <c r="H94" s="109"/>
      <c r="I94" s="90"/>
      <c r="J94" s="90"/>
      <c r="K94" s="20"/>
      <c r="L94" s="20"/>
      <c r="M94" s="20"/>
      <c r="N94" s="97"/>
      <c r="O94" s="21"/>
      <c r="P94" s="27"/>
      <c r="Q94" s="99"/>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5"/>
      <c r="AZ94" s="155"/>
      <c r="BA94" s="155"/>
      <c r="BB94" s="155"/>
      <c r="BC94" s="155"/>
      <c r="BD94" s="155"/>
      <c r="BE94" s="96"/>
      <c r="BF94" s="155"/>
      <c r="BG94" s="155"/>
    </row>
    <row r="95" spans="1:61" s="17" customFormat="1" ht="15.75" hidden="1" customHeight="1">
      <c r="A95" s="102"/>
      <c r="B95" s="115"/>
      <c r="C95" s="117"/>
      <c r="D95" s="119"/>
      <c r="E95" s="117"/>
      <c r="F95" s="117"/>
      <c r="G95" s="121"/>
      <c r="H95" s="95"/>
      <c r="I95" s="95"/>
      <c r="J95" s="95"/>
      <c r="K95" s="22"/>
      <c r="L95" s="18"/>
      <c r="M95" s="18"/>
      <c r="N95" s="98"/>
      <c r="O95" s="19"/>
      <c r="P95" s="22"/>
      <c r="Q95" s="100"/>
      <c r="R95" s="102"/>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6"/>
      <c r="AZ95" s="156"/>
      <c r="BA95" s="156"/>
      <c r="BB95" s="156"/>
      <c r="BC95" s="156"/>
      <c r="BD95" s="156"/>
      <c r="BE95" s="96"/>
      <c r="BF95" s="156"/>
      <c r="BG95" s="156"/>
    </row>
    <row r="96" spans="1:61" s="17" customFormat="1" ht="15.75" hidden="1" customHeight="1">
      <c r="A96" s="101">
        <v>45061</v>
      </c>
      <c r="B96" s="114" t="s">
        <v>37</v>
      </c>
      <c r="C96" s="116"/>
      <c r="D96" s="118"/>
      <c r="E96" s="157"/>
      <c r="F96" s="116"/>
      <c r="G96" s="120"/>
      <c r="H96" s="90"/>
      <c r="I96" s="90"/>
      <c r="J96" s="90"/>
      <c r="K96" s="20"/>
      <c r="L96" s="20"/>
      <c r="M96" s="20"/>
      <c r="N96" s="97" t="e">
        <f>O97/L97</f>
        <v>#DIV/0!</v>
      </c>
      <c r="O96" s="21">
        <f t="shared" ref="O96:O101" si="30">L96-M96</f>
        <v>0</v>
      </c>
      <c r="P96" s="27"/>
      <c r="Q96" s="99">
        <f>+L97-P97</f>
        <v>0</v>
      </c>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5"/>
      <c r="AZ96" s="155"/>
      <c r="BA96" s="155"/>
      <c r="BB96" s="155"/>
      <c r="BC96" s="155"/>
      <c r="BD96" s="155"/>
      <c r="BE96" s="96"/>
      <c r="BF96" s="155"/>
      <c r="BG96" s="155"/>
    </row>
    <row r="97" spans="1:61" s="17" customFormat="1" ht="15.75" hidden="1" customHeight="1">
      <c r="A97" s="102"/>
      <c r="B97" s="115"/>
      <c r="C97" s="117"/>
      <c r="D97" s="119"/>
      <c r="E97" s="117"/>
      <c r="F97" s="117"/>
      <c r="G97" s="121"/>
      <c r="H97" s="95"/>
      <c r="I97" s="95"/>
      <c r="J97" s="95"/>
      <c r="K97" s="22"/>
      <c r="L97" s="18"/>
      <c r="M97" s="18"/>
      <c r="N97" s="98"/>
      <c r="O97" s="19">
        <f t="shared" si="30"/>
        <v>0</v>
      </c>
      <c r="P97" s="22"/>
      <c r="Q97" s="100"/>
      <c r="R97" s="102"/>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6"/>
      <c r="AZ97" s="156"/>
      <c r="BA97" s="156"/>
      <c r="BB97" s="156"/>
      <c r="BC97" s="156"/>
      <c r="BD97" s="156"/>
      <c r="BE97" s="96"/>
      <c r="BF97" s="156"/>
      <c r="BG97" s="156"/>
    </row>
    <row r="98" spans="1:61" s="17" customFormat="1" ht="15.75" hidden="1" customHeight="1">
      <c r="A98" s="101">
        <v>44990</v>
      </c>
      <c r="B98" s="114" t="s">
        <v>37</v>
      </c>
      <c r="C98" s="116"/>
      <c r="D98" s="118"/>
      <c r="E98" s="116"/>
      <c r="F98" s="116"/>
      <c r="G98" s="120"/>
      <c r="H98" s="90"/>
      <c r="I98" s="90"/>
      <c r="J98" s="90"/>
      <c r="K98" s="20"/>
      <c r="L98" s="20"/>
      <c r="M98" s="20"/>
      <c r="N98" s="97" t="e">
        <f>O99/L99</f>
        <v>#DIV/0!</v>
      </c>
      <c r="O98" s="21">
        <f t="shared" si="30"/>
        <v>0</v>
      </c>
      <c r="P98" s="27"/>
      <c r="Q98" s="99">
        <f>+L99-P99</f>
        <v>0</v>
      </c>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f t="shared" si="30"/>
        <v>0</v>
      </c>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row>
    <row r="100" spans="1:61" s="17" customFormat="1" ht="15.75" hidden="1" customHeight="1">
      <c r="A100" s="101">
        <v>44990</v>
      </c>
      <c r="B100" s="114" t="s">
        <v>37</v>
      </c>
      <c r="C100" s="116"/>
      <c r="D100" s="118"/>
      <c r="E100" s="116"/>
      <c r="F100" s="116"/>
      <c r="G100" s="120"/>
      <c r="H100" s="90"/>
      <c r="I100" s="90"/>
      <c r="J100" s="90"/>
      <c r="K100" s="20"/>
      <c r="L100" s="20"/>
      <c r="M100" s="20"/>
      <c r="N100" s="97" t="e">
        <f>O101/L101</f>
        <v>#DIV/0!</v>
      </c>
      <c r="O100" s="21">
        <f t="shared" si="30"/>
        <v>0</v>
      </c>
      <c r="P100" s="27"/>
      <c r="Q100" s="99">
        <f>+L101-P101</f>
        <v>0</v>
      </c>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f t="shared" si="30"/>
        <v>0</v>
      </c>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c r="BH101" s="1"/>
      <c r="BI101" s="1"/>
    </row>
    <row r="102" spans="1:61" ht="24.75" hidden="1" customHeight="1">
      <c r="A102" s="111" t="s">
        <v>46</v>
      </c>
      <c r="B102" s="112"/>
      <c r="C102" s="112"/>
      <c r="D102" s="112"/>
      <c r="E102" s="112"/>
      <c r="F102" s="112"/>
      <c r="G102" s="112"/>
      <c r="H102" s="112"/>
      <c r="I102" s="113"/>
      <c r="J102" s="5">
        <f>SUM(J94:J101)</f>
        <v>0</v>
      </c>
      <c r="K102" s="5">
        <f>+SUMPRODUCT(((MOD(ROW(K94:K101),2)=0)*(K94:K101)))</f>
        <v>0</v>
      </c>
      <c r="L102" s="5">
        <f>+SUMPRODUCT(((MOD(ROW(L94:L101),2)=0)*(L94:L101)))</f>
        <v>0</v>
      </c>
      <c r="M102" s="5">
        <f>+SUMPRODUCT(((MOD(ROW(M94:M101),2)=0)*(M94:M101)))</f>
        <v>0</v>
      </c>
      <c r="N102" s="6" t="e">
        <f>O102/L102</f>
        <v>#DIV/0!</v>
      </c>
      <c r="O102" s="5">
        <f>+SUMPRODUCT(((MOD(ROW(O94:O101),2)=0)*(O94:O101)))</f>
        <v>0</v>
      </c>
      <c r="P102" s="5">
        <f>+SUMPRODUCT(((MOD(ROW(P94:P101),2)=0)*(P94:P101)))</f>
        <v>0</v>
      </c>
      <c r="Q102" s="29">
        <f>SUM(Q94:Q101)</f>
        <v>0</v>
      </c>
      <c r="R102" s="29"/>
      <c r="S102" s="29">
        <f t="shared" ref="S102:BG102" si="31">SUM(S94:S101)</f>
        <v>0</v>
      </c>
      <c r="T102" s="29">
        <f t="shared" si="31"/>
        <v>0</v>
      </c>
      <c r="U102" s="29">
        <f t="shared" si="31"/>
        <v>0</v>
      </c>
      <c r="V102" s="29">
        <f t="shared" si="31"/>
        <v>0</v>
      </c>
      <c r="W102" s="29">
        <f t="shared" si="31"/>
        <v>0</v>
      </c>
      <c r="X102" s="29">
        <f t="shared" si="31"/>
        <v>0</v>
      </c>
      <c r="Y102" s="29">
        <f t="shared" si="31"/>
        <v>0</v>
      </c>
      <c r="Z102" s="29">
        <f t="shared" si="31"/>
        <v>0</v>
      </c>
      <c r="AA102" s="29">
        <f t="shared" si="31"/>
        <v>0</v>
      </c>
      <c r="AB102" s="29">
        <f t="shared" si="31"/>
        <v>0</v>
      </c>
      <c r="AC102" s="29">
        <f t="shared" si="31"/>
        <v>0</v>
      </c>
      <c r="AD102" s="29">
        <f t="shared" si="31"/>
        <v>0</v>
      </c>
      <c r="AE102" s="29">
        <f t="shared" si="31"/>
        <v>0</v>
      </c>
      <c r="AF102" s="29">
        <f t="shared" si="31"/>
        <v>0</v>
      </c>
      <c r="AG102" s="29">
        <f t="shared" si="31"/>
        <v>0</v>
      </c>
      <c r="AH102" s="29">
        <f t="shared" si="31"/>
        <v>0</v>
      </c>
      <c r="AI102" s="29">
        <f t="shared" si="31"/>
        <v>0</v>
      </c>
      <c r="AJ102" s="29">
        <f t="shared" si="31"/>
        <v>0</v>
      </c>
      <c r="AK102" s="29">
        <f t="shared" si="31"/>
        <v>0</v>
      </c>
      <c r="AL102" s="29">
        <f t="shared" si="31"/>
        <v>0</v>
      </c>
      <c r="AM102" s="29">
        <f t="shared" si="31"/>
        <v>0</v>
      </c>
      <c r="AN102" s="29">
        <f t="shared" si="31"/>
        <v>0</v>
      </c>
      <c r="AO102" s="29">
        <f t="shared" si="31"/>
        <v>0</v>
      </c>
      <c r="AP102" s="29">
        <f t="shared" si="31"/>
        <v>0</v>
      </c>
      <c r="AQ102" s="29">
        <f t="shared" si="31"/>
        <v>0</v>
      </c>
      <c r="AR102" s="29">
        <f t="shared" si="31"/>
        <v>0</v>
      </c>
      <c r="AS102" s="29">
        <f t="shared" si="31"/>
        <v>0</v>
      </c>
      <c r="AT102" s="29">
        <f t="shared" si="31"/>
        <v>0</v>
      </c>
      <c r="AU102" s="29">
        <f t="shared" si="31"/>
        <v>0</v>
      </c>
      <c r="AV102" s="29">
        <f t="shared" si="31"/>
        <v>0</v>
      </c>
      <c r="AW102" s="29">
        <f t="shared" si="31"/>
        <v>0</v>
      </c>
      <c r="AX102" s="29">
        <f t="shared" si="31"/>
        <v>0</v>
      </c>
      <c r="AY102" s="29">
        <f t="shared" si="31"/>
        <v>0</v>
      </c>
      <c r="AZ102" s="29">
        <f t="shared" si="31"/>
        <v>0</v>
      </c>
      <c r="BA102" s="29">
        <f t="shared" si="31"/>
        <v>0</v>
      </c>
      <c r="BB102" s="29">
        <f t="shared" si="31"/>
        <v>0</v>
      </c>
      <c r="BC102" s="29">
        <f t="shared" si="31"/>
        <v>0</v>
      </c>
      <c r="BD102" s="29">
        <f t="shared" si="31"/>
        <v>0</v>
      </c>
      <c r="BE102" s="29">
        <f t="shared" si="31"/>
        <v>0</v>
      </c>
      <c r="BF102" s="29">
        <f t="shared" si="31"/>
        <v>0</v>
      </c>
      <c r="BG102" s="29">
        <f t="shared" si="31"/>
        <v>0</v>
      </c>
    </row>
    <row r="103" spans="1:61" ht="24.75" customHeight="1">
      <c r="A103" s="122" t="s">
        <v>5</v>
      </c>
      <c r="B103" s="122"/>
      <c r="C103" s="122"/>
      <c r="D103" s="122"/>
      <c r="E103" s="122"/>
      <c r="F103" s="122"/>
      <c r="G103" s="122"/>
      <c r="H103" s="122"/>
      <c r="I103" s="122"/>
      <c r="J103" s="4">
        <f>J73+J84+J93+J102</f>
        <v>12023</v>
      </c>
      <c r="K103" s="4">
        <f>K73+K84+K93+K102</f>
        <v>60</v>
      </c>
      <c r="L103" s="4">
        <f>L73+L84+L93+L102</f>
        <v>0</v>
      </c>
      <c r="M103" s="4">
        <f>M73+M84+M93+M102</f>
        <v>0</v>
      </c>
      <c r="N103" s="33" t="e">
        <f>O103/L103</f>
        <v>#DIV/0!</v>
      </c>
      <c r="O103" s="4">
        <f>O73+O84+O93+O102</f>
        <v>0</v>
      </c>
      <c r="P103" s="31">
        <f>P73+P84+P93+P102</f>
        <v>0</v>
      </c>
      <c r="Q103" s="31">
        <f>Q73+Q84+Q93+Q102</f>
        <v>203</v>
      </c>
      <c r="R103" s="4"/>
      <c r="S103" s="31">
        <f t="shared" ref="S103:BG103" si="32">S73+S84+S93+S102</f>
        <v>0</v>
      </c>
      <c r="T103" s="31">
        <f t="shared" si="32"/>
        <v>0</v>
      </c>
      <c r="U103" s="31">
        <f t="shared" si="32"/>
        <v>0</v>
      </c>
      <c r="V103" s="31">
        <f t="shared" si="32"/>
        <v>0</v>
      </c>
      <c r="W103" s="31">
        <f t="shared" si="32"/>
        <v>0</v>
      </c>
      <c r="X103" s="31">
        <f t="shared" si="32"/>
        <v>0</v>
      </c>
      <c r="Y103" s="31">
        <f t="shared" si="32"/>
        <v>0</v>
      </c>
      <c r="Z103" s="31">
        <f t="shared" si="32"/>
        <v>0</v>
      </c>
      <c r="AA103" s="31">
        <f t="shared" si="32"/>
        <v>0</v>
      </c>
      <c r="AB103" s="31">
        <f t="shared" si="32"/>
        <v>0</v>
      </c>
      <c r="AC103" s="31">
        <f t="shared" si="32"/>
        <v>0</v>
      </c>
      <c r="AD103" s="31">
        <f t="shared" si="32"/>
        <v>0</v>
      </c>
      <c r="AE103" s="31">
        <f t="shared" si="32"/>
        <v>0</v>
      </c>
      <c r="AF103" s="31">
        <f t="shared" si="32"/>
        <v>0</v>
      </c>
      <c r="AG103" s="31">
        <f t="shared" si="32"/>
        <v>0</v>
      </c>
      <c r="AH103" s="31">
        <f t="shared" si="32"/>
        <v>0</v>
      </c>
      <c r="AI103" s="31">
        <f t="shared" si="32"/>
        <v>0</v>
      </c>
      <c r="AJ103" s="31">
        <f t="shared" si="32"/>
        <v>0</v>
      </c>
      <c r="AK103" s="31">
        <f t="shared" si="32"/>
        <v>0</v>
      </c>
      <c r="AL103" s="31">
        <f t="shared" si="32"/>
        <v>0</v>
      </c>
      <c r="AM103" s="31">
        <f t="shared" si="32"/>
        <v>0</v>
      </c>
      <c r="AN103" s="31">
        <f t="shared" si="32"/>
        <v>0</v>
      </c>
      <c r="AO103" s="31">
        <f t="shared" si="32"/>
        <v>0</v>
      </c>
      <c r="AP103" s="31">
        <f t="shared" si="32"/>
        <v>0</v>
      </c>
      <c r="AQ103" s="31">
        <f t="shared" si="32"/>
        <v>0</v>
      </c>
      <c r="AR103" s="31">
        <f t="shared" si="32"/>
        <v>0</v>
      </c>
      <c r="AS103" s="31">
        <f t="shared" si="32"/>
        <v>0</v>
      </c>
      <c r="AT103" s="31">
        <f t="shared" si="32"/>
        <v>0</v>
      </c>
      <c r="AU103" s="31">
        <f t="shared" si="32"/>
        <v>0</v>
      </c>
      <c r="AV103" s="31">
        <f t="shared" si="32"/>
        <v>0</v>
      </c>
      <c r="AW103" s="31">
        <f t="shared" si="32"/>
        <v>0</v>
      </c>
      <c r="AX103" s="31">
        <f t="shared" si="32"/>
        <v>0</v>
      </c>
      <c r="AY103" s="31">
        <f t="shared" si="32"/>
        <v>0</v>
      </c>
      <c r="AZ103" s="31">
        <f t="shared" si="32"/>
        <v>0</v>
      </c>
      <c r="BA103" s="31">
        <f t="shared" si="32"/>
        <v>0</v>
      </c>
      <c r="BB103" s="31">
        <f t="shared" si="32"/>
        <v>0</v>
      </c>
      <c r="BC103" s="31">
        <f t="shared" si="32"/>
        <v>0</v>
      </c>
      <c r="BD103" s="31">
        <f t="shared" si="32"/>
        <v>0</v>
      </c>
      <c r="BE103" s="31">
        <f t="shared" si="32"/>
        <v>0</v>
      </c>
      <c r="BF103" s="31">
        <f t="shared" si="32"/>
        <v>0</v>
      </c>
      <c r="BG103" s="31">
        <f t="shared" si="32"/>
        <v>0</v>
      </c>
    </row>
    <row r="106" spans="1:61" s="25" customFormat="1" ht="35.25" customHeight="1">
      <c r="A106" s="2"/>
      <c r="B106" s="2"/>
      <c r="C106" s="2"/>
      <c r="D106" s="1"/>
      <c r="E106" s="1"/>
      <c r="F106" s="1"/>
      <c r="G106" s="1"/>
      <c r="H106" s="1"/>
      <c r="I106" s="1"/>
      <c r="J106" s="1"/>
      <c r="K106" s="35"/>
      <c r="L106" s="35"/>
      <c r="M106" s="35"/>
      <c r="N106" s="35"/>
      <c r="O106" s="35"/>
      <c r="P106" s="35"/>
      <c r="Q106" s="36"/>
      <c r="S106" s="8"/>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row>
    <row r="109" spans="1:61" s="25" customFormat="1" ht="33" customHeight="1">
      <c r="A109" s="2"/>
      <c r="B109" s="2"/>
      <c r="C109" s="2"/>
      <c r="D109" s="1"/>
      <c r="E109" s="1"/>
      <c r="F109" s="1"/>
      <c r="G109" s="1"/>
      <c r="H109" s="1"/>
      <c r="I109" s="1"/>
      <c r="J109" s="1"/>
      <c r="K109" s="1"/>
      <c r="L109" s="1"/>
      <c r="M109" s="1"/>
      <c r="N109" s="1"/>
      <c r="O109" s="1"/>
      <c r="S109" s="8"/>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row>
  </sheetData>
  <mergeCells count="2417">
    <mergeCell ref="AZ19:AZ20"/>
    <mergeCell ref="BA19:BA20"/>
    <mergeCell ref="BB19:BB20"/>
    <mergeCell ref="BC19:BC20"/>
    <mergeCell ref="BD19:BD20"/>
    <mergeCell ref="BE19:BE20"/>
    <mergeCell ref="BF19:BF20"/>
    <mergeCell ref="BG19:BG20"/>
    <mergeCell ref="AI19:AI20"/>
    <mergeCell ref="AJ19:AJ20"/>
    <mergeCell ref="AK19:AK20"/>
    <mergeCell ref="AL19:AL20"/>
    <mergeCell ref="AM19:AM20"/>
    <mergeCell ref="AN19:AN20"/>
    <mergeCell ref="AO19:AO20"/>
    <mergeCell ref="AP19:AP20"/>
    <mergeCell ref="AQ19:AQ20"/>
    <mergeCell ref="AR19:AR20"/>
    <mergeCell ref="AS19:AS20"/>
    <mergeCell ref="AT19:AT20"/>
    <mergeCell ref="AU19:AU20"/>
    <mergeCell ref="AV19:AV20"/>
    <mergeCell ref="AW19:AW20"/>
    <mergeCell ref="AX19:AX20"/>
    <mergeCell ref="AY19:AY20"/>
    <mergeCell ref="A19:A20"/>
    <mergeCell ref="B19:B20"/>
    <mergeCell ref="C19:C20"/>
    <mergeCell ref="D19:D20"/>
    <mergeCell ref="E19:E20"/>
    <mergeCell ref="F19:F20"/>
    <mergeCell ref="G19:G20"/>
    <mergeCell ref="H19:H20"/>
    <mergeCell ref="I19:I20"/>
    <mergeCell ref="J19:J20"/>
    <mergeCell ref="N19:N20"/>
    <mergeCell ref="Q19:Q20"/>
    <mergeCell ref="R19:R20"/>
    <mergeCell ref="S19:S20"/>
    <mergeCell ref="T19:T20"/>
    <mergeCell ref="U19:U20"/>
    <mergeCell ref="V19:V20"/>
    <mergeCell ref="W19:W20"/>
    <mergeCell ref="X19:X20"/>
    <mergeCell ref="Y19:Y20"/>
    <mergeCell ref="Z19:Z20"/>
    <mergeCell ref="AA19:AA20"/>
    <mergeCell ref="AB19:AB20"/>
    <mergeCell ref="AC19:AC20"/>
    <mergeCell ref="AD19:AD20"/>
    <mergeCell ref="AE19:AE20"/>
    <mergeCell ref="AF19:AF20"/>
    <mergeCell ref="AG19:AG20"/>
    <mergeCell ref="AH19:AH20"/>
    <mergeCell ref="BE7:BE8"/>
    <mergeCell ref="BF7:BF8"/>
    <mergeCell ref="BG7:BG8"/>
    <mergeCell ref="AN7:AN8"/>
    <mergeCell ref="AO7:AO8"/>
    <mergeCell ref="AP7:AP8"/>
    <mergeCell ref="AQ7:AQ8"/>
    <mergeCell ref="AR7:AR8"/>
    <mergeCell ref="AS7:AS8"/>
    <mergeCell ref="AT7:AT8"/>
    <mergeCell ref="AU7:AU8"/>
    <mergeCell ref="AV7:AV8"/>
    <mergeCell ref="AW7:AW8"/>
    <mergeCell ref="AX7:AX8"/>
    <mergeCell ref="AY7:AY8"/>
    <mergeCell ref="AZ7:AZ8"/>
    <mergeCell ref="BA7:BA8"/>
    <mergeCell ref="BB7:BB8"/>
    <mergeCell ref="BC7:BC8"/>
    <mergeCell ref="BD7:BD8"/>
    <mergeCell ref="W7:W8"/>
    <mergeCell ref="X7:X8"/>
    <mergeCell ref="Y7:Y8"/>
    <mergeCell ref="Z7:Z8"/>
    <mergeCell ref="AA7:AA8"/>
    <mergeCell ref="AB7:AB8"/>
    <mergeCell ref="AC7:AC8"/>
    <mergeCell ref="AD7:AD8"/>
    <mergeCell ref="AE7:AE8"/>
    <mergeCell ref="AF7:AF8"/>
    <mergeCell ref="AG7:AG8"/>
    <mergeCell ref="AH7:AH8"/>
    <mergeCell ref="AI7:AI8"/>
    <mergeCell ref="AJ7:AJ8"/>
    <mergeCell ref="AK7:AK8"/>
    <mergeCell ref="AL7:AL8"/>
    <mergeCell ref="AM7:AM8"/>
    <mergeCell ref="A7:A8"/>
    <mergeCell ref="B7:B8"/>
    <mergeCell ref="C7:C8"/>
    <mergeCell ref="D7:D8"/>
    <mergeCell ref="E7:E8"/>
    <mergeCell ref="F7:F8"/>
    <mergeCell ref="G7:G8"/>
    <mergeCell ref="H7:H8"/>
    <mergeCell ref="I7:I8"/>
    <mergeCell ref="J7:J8"/>
    <mergeCell ref="N7:N8"/>
    <mergeCell ref="Q7:Q8"/>
    <mergeCell ref="R7:R8"/>
    <mergeCell ref="S7:S8"/>
    <mergeCell ref="T7:T8"/>
    <mergeCell ref="U7:U8"/>
    <mergeCell ref="V7:V8"/>
    <mergeCell ref="BG27:BG28"/>
    <mergeCell ref="BA27:BA28"/>
    <mergeCell ref="BB27:BB28"/>
    <mergeCell ref="BC27:BC28"/>
    <mergeCell ref="BD27:BD28"/>
    <mergeCell ref="BE27:BE28"/>
    <mergeCell ref="BF27:BF28"/>
    <mergeCell ref="AU27:AU28"/>
    <mergeCell ref="AV27:AV28"/>
    <mergeCell ref="AW27:AW28"/>
    <mergeCell ref="AX27:AX28"/>
    <mergeCell ref="AY27:AY28"/>
    <mergeCell ref="AZ27:AZ28"/>
    <mergeCell ref="AO27:AO28"/>
    <mergeCell ref="AP27:AP28"/>
    <mergeCell ref="AQ27:AQ28"/>
    <mergeCell ref="AR27:AR28"/>
    <mergeCell ref="AS27:AS28"/>
    <mergeCell ref="AT27:AT28"/>
    <mergeCell ref="AI27:AI28"/>
    <mergeCell ref="AJ27:AJ28"/>
    <mergeCell ref="AK27:AK28"/>
    <mergeCell ref="AL27:AL28"/>
    <mergeCell ref="AM27:AM28"/>
    <mergeCell ref="AN27:AN28"/>
    <mergeCell ref="AC27:AC28"/>
    <mergeCell ref="AD27:AD28"/>
    <mergeCell ref="AE27:AE28"/>
    <mergeCell ref="AF27:AF28"/>
    <mergeCell ref="AG27:AG28"/>
    <mergeCell ref="AH27:AH28"/>
    <mergeCell ref="W27:W28"/>
    <mergeCell ref="X27:X28"/>
    <mergeCell ref="Y27:Y28"/>
    <mergeCell ref="Z27:Z28"/>
    <mergeCell ref="AA27:AA28"/>
    <mergeCell ref="AB27:AB28"/>
    <mergeCell ref="Q27:Q28"/>
    <mergeCell ref="R27:R28"/>
    <mergeCell ref="S27:S28"/>
    <mergeCell ref="T27:T28"/>
    <mergeCell ref="U27:U28"/>
    <mergeCell ref="V27:V28"/>
    <mergeCell ref="F27:F28"/>
    <mergeCell ref="G27:G28"/>
    <mergeCell ref="H27:H28"/>
    <mergeCell ref="I27:I28"/>
    <mergeCell ref="J27:J28"/>
    <mergeCell ref="N27:N28"/>
    <mergeCell ref="BE100:BE101"/>
    <mergeCell ref="BF100:BF101"/>
    <mergeCell ref="BG100:BG101"/>
    <mergeCell ref="A102:I102"/>
    <mergeCell ref="A103:I103"/>
    <mergeCell ref="A27:A28"/>
    <mergeCell ref="B27:B28"/>
    <mergeCell ref="C27:C28"/>
    <mergeCell ref="D27:D28"/>
    <mergeCell ref="E27:E28"/>
    <mergeCell ref="AY100:AY101"/>
    <mergeCell ref="AZ100:AZ101"/>
    <mergeCell ref="BA100:BA101"/>
    <mergeCell ref="BB100:BB101"/>
    <mergeCell ref="BC100:BC101"/>
    <mergeCell ref="BD100:BD101"/>
    <mergeCell ref="AS100:AS101"/>
    <mergeCell ref="AT100:AT101"/>
    <mergeCell ref="AU100:AU101"/>
    <mergeCell ref="AV100:AV101"/>
    <mergeCell ref="AW100:AW101"/>
    <mergeCell ref="AX100:AX101"/>
    <mergeCell ref="AM100:AM101"/>
    <mergeCell ref="AN100:AN101"/>
    <mergeCell ref="AO100:AO101"/>
    <mergeCell ref="AP100:AP101"/>
    <mergeCell ref="AQ100:AQ101"/>
    <mergeCell ref="AR100:AR101"/>
    <mergeCell ref="AG100:AG101"/>
    <mergeCell ref="AH100:AH101"/>
    <mergeCell ref="AI100:AI101"/>
    <mergeCell ref="AJ100:AJ101"/>
    <mergeCell ref="AK100:AK101"/>
    <mergeCell ref="AL100:AL101"/>
    <mergeCell ref="AA100:AA101"/>
    <mergeCell ref="AB100:AB101"/>
    <mergeCell ref="AC100:AC101"/>
    <mergeCell ref="AD100:AD101"/>
    <mergeCell ref="AE100:AE101"/>
    <mergeCell ref="AF100:AF101"/>
    <mergeCell ref="U100:U101"/>
    <mergeCell ref="V100:V101"/>
    <mergeCell ref="W100:W101"/>
    <mergeCell ref="X100:X101"/>
    <mergeCell ref="Y100:Y101"/>
    <mergeCell ref="Z100:Z101"/>
    <mergeCell ref="J100:J101"/>
    <mergeCell ref="N100:N101"/>
    <mergeCell ref="Q100:Q101"/>
    <mergeCell ref="R100:R101"/>
    <mergeCell ref="S100:S101"/>
    <mergeCell ref="T100:T101"/>
    <mergeCell ref="BG98:BG99"/>
    <mergeCell ref="A100:A101"/>
    <mergeCell ref="B100:B101"/>
    <mergeCell ref="C100:C101"/>
    <mergeCell ref="D100:D101"/>
    <mergeCell ref="E100:E101"/>
    <mergeCell ref="F100:F101"/>
    <mergeCell ref="G100:G101"/>
    <mergeCell ref="H100:H101"/>
    <mergeCell ref="I100:I101"/>
    <mergeCell ref="BA98:BA99"/>
    <mergeCell ref="BB98:BB99"/>
    <mergeCell ref="BC98:BC99"/>
    <mergeCell ref="BD98:BD99"/>
    <mergeCell ref="BE98:BE99"/>
    <mergeCell ref="BF98:BF99"/>
    <mergeCell ref="AU98:AU99"/>
    <mergeCell ref="AV98:AV99"/>
    <mergeCell ref="AW98:AW99"/>
    <mergeCell ref="AX98:AX99"/>
    <mergeCell ref="AY98:AY99"/>
    <mergeCell ref="AZ98:AZ99"/>
    <mergeCell ref="AO98:AO99"/>
    <mergeCell ref="AP98:AP99"/>
    <mergeCell ref="AQ98:AQ99"/>
    <mergeCell ref="AR98:AR99"/>
    <mergeCell ref="AS98:AS99"/>
    <mergeCell ref="AT98:AT99"/>
    <mergeCell ref="AI98:AI99"/>
    <mergeCell ref="AJ98:AJ99"/>
    <mergeCell ref="AK98:AK99"/>
    <mergeCell ref="AL98:AL99"/>
    <mergeCell ref="AM98:AM99"/>
    <mergeCell ref="AN98:AN99"/>
    <mergeCell ref="AC98:AC99"/>
    <mergeCell ref="AD98:AD99"/>
    <mergeCell ref="AE98:AE99"/>
    <mergeCell ref="AF98:AF99"/>
    <mergeCell ref="AG98:AG99"/>
    <mergeCell ref="AH98:AH99"/>
    <mergeCell ref="W98:W99"/>
    <mergeCell ref="X98:X99"/>
    <mergeCell ref="Y98:Y99"/>
    <mergeCell ref="Z98:Z99"/>
    <mergeCell ref="AA98:AA99"/>
    <mergeCell ref="AB98:AB99"/>
    <mergeCell ref="Q98:Q99"/>
    <mergeCell ref="R98:R99"/>
    <mergeCell ref="S98:S99"/>
    <mergeCell ref="T98:T99"/>
    <mergeCell ref="U98:U99"/>
    <mergeCell ref="V98:V99"/>
    <mergeCell ref="F98:F99"/>
    <mergeCell ref="G98:G99"/>
    <mergeCell ref="H98:H99"/>
    <mergeCell ref="I98:I99"/>
    <mergeCell ref="J98:J99"/>
    <mergeCell ref="N98:N99"/>
    <mergeCell ref="BC96:BC97"/>
    <mergeCell ref="BD96:BD97"/>
    <mergeCell ref="BE96:BE97"/>
    <mergeCell ref="BF96:BF97"/>
    <mergeCell ref="BG96:BG97"/>
    <mergeCell ref="A98:A99"/>
    <mergeCell ref="B98:B99"/>
    <mergeCell ref="C98:C99"/>
    <mergeCell ref="D98:D99"/>
    <mergeCell ref="E98:E99"/>
    <mergeCell ref="AW96:AW97"/>
    <mergeCell ref="AX96:AX97"/>
    <mergeCell ref="AY96:AY97"/>
    <mergeCell ref="AZ96:AZ97"/>
    <mergeCell ref="BA96:BA97"/>
    <mergeCell ref="BB96:BB97"/>
    <mergeCell ref="AQ96:AQ97"/>
    <mergeCell ref="AR96:AR97"/>
    <mergeCell ref="AS96:AS97"/>
    <mergeCell ref="AT96:AT97"/>
    <mergeCell ref="AU96:AU97"/>
    <mergeCell ref="AV96:AV97"/>
    <mergeCell ref="AK96:AK97"/>
    <mergeCell ref="AL96:AL97"/>
    <mergeCell ref="AM96:AM97"/>
    <mergeCell ref="AN96:AN97"/>
    <mergeCell ref="AO96:AO97"/>
    <mergeCell ref="AP96:AP97"/>
    <mergeCell ref="AE96:AE97"/>
    <mergeCell ref="AF96:AF97"/>
    <mergeCell ref="AG96:AG97"/>
    <mergeCell ref="AH96:AH97"/>
    <mergeCell ref="AI96:AI97"/>
    <mergeCell ref="AJ96:AJ97"/>
    <mergeCell ref="Y96:Y97"/>
    <mergeCell ref="Z96:Z97"/>
    <mergeCell ref="AA96:AA97"/>
    <mergeCell ref="AB96:AB97"/>
    <mergeCell ref="AC96:AC97"/>
    <mergeCell ref="AD96:AD97"/>
    <mergeCell ref="S96:S97"/>
    <mergeCell ref="T96:T97"/>
    <mergeCell ref="U96:U97"/>
    <mergeCell ref="V96:V97"/>
    <mergeCell ref="W96:W97"/>
    <mergeCell ref="X96:X97"/>
    <mergeCell ref="H96:H97"/>
    <mergeCell ref="I96:I97"/>
    <mergeCell ref="J96:J97"/>
    <mergeCell ref="N96:N97"/>
    <mergeCell ref="Q96:Q97"/>
    <mergeCell ref="R96:R97"/>
    <mergeCell ref="BE94:BE95"/>
    <mergeCell ref="BF94:BF95"/>
    <mergeCell ref="BG94:BG95"/>
    <mergeCell ref="A96:A97"/>
    <mergeCell ref="B96:B97"/>
    <mergeCell ref="C96:C97"/>
    <mergeCell ref="D96:D97"/>
    <mergeCell ref="E96:E97"/>
    <mergeCell ref="F96:F97"/>
    <mergeCell ref="G96:G97"/>
    <mergeCell ref="AY94:AY95"/>
    <mergeCell ref="AZ94:AZ95"/>
    <mergeCell ref="BA94:BA95"/>
    <mergeCell ref="BB94:BB95"/>
    <mergeCell ref="BC94:BC95"/>
    <mergeCell ref="BD94:BD95"/>
    <mergeCell ref="AS94:AS95"/>
    <mergeCell ref="AT94:AT95"/>
    <mergeCell ref="AU94:AU95"/>
    <mergeCell ref="AV94:AV95"/>
    <mergeCell ref="AW94:AW95"/>
    <mergeCell ref="AX94:AX95"/>
    <mergeCell ref="AM94:AM95"/>
    <mergeCell ref="AN94:AN95"/>
    <mergeCell ref="AO94:AO95"/>
    <mergeCell ref="AP94:AP95"/>
    <mergeCell ref="AQ94:AQ95"/>
    <mergeCell ref="AR94:AR95"/>
    <mergeCell ref="AG94:AG95"/>
    <mergeCell ref="AH94:AH95"/>
    <mergeCell ref="AI94:AI95"/>
    <mergeCell ref="AJ94:AJ95"/>
    <mergeCell ref="AK94:AK95"/>
    <mergeCell ref="AL94:AL95"/>
    <mergeCell ref="AA94:AA95"/>
    <mergeCell ref="AB94:AB95"/>
    <mergeCell ref="AC94:AC95"/>
    <mergeCell ref="AD94:AD95"/>
    <mergeCell ref="AE94:AE95"/>
    <mergeCell ref="AF94:AF95"/>
    <mergeCell ref="U94:U95"/>
    <mergeCell ref="V94:V95"/>
    <mergeCell ref="W94:W95"/>
    <mergeCell ref="X94:X95"/>
    <mergeCell ref="Y94:Y95"/>
    <mergeCell ref="Z94:Z95"/>
    <mergeCell ref="J94:J95"/>
    <mergeCell ref="N94:N95"/>
    <mergeCell ref="Q94:Q95"/>
    <mergeCell ref="R94:R95"/>
    <mergeCell ref="S94:S95"/>
    <mergeCell ref="T94:T95"/>
    <mergeCell ref="A93:I93"/>
    <mergeCell ref="A94:A95"/>
    <mergeCell ref="B94:B95"/>
    <mergeCell ref="C94:C95"/>
    <mergeCell ref="D94:D95"/>
    <mergeCell ref="E94:E95"/>
    <mergeCell ref="F94:F95"/>
    <mergeCell ref="G94:G95"/>
    <mergeCell ref="H94:H95"/>
    <mergeCell ref="I94:I95"/>
    <mergeCell ref="BB91:BB92"/>
    <mergeCell ref="BC91:BC92"/>
    <mergeCell ref="BD91:BD92"/>
    <mergeCell ref="BE91:BE92"/>
    <mergeCell ref="BF91:BF92"/>
    <mergeCell ref="BG91:BG92"/>
    <mergeCell ref="AV91:AV92"/>
    <mergeCell ref="AW91:AW92"/>
    <mergeCell ref="AX91:AX92"/>
    <mergeCell ref="AY91:AY92"/>
    <mergeCell ref="AZ91:AZ92"/>
    <mergeCell ref="BA91:BA92"/>
    <mergeCell ref="AP91:AP92"/>
    <mergeCell ref="AQ91:AQ92"/>
    <mergeCell ref="AR91:AR92"/>
    <mergeCell ref="AS91:AS92"/>
    <mergeCell ref="AT91:AT92"/>
    <mergeCell ref="AU91:AU92"/>
    <mergeCell ref="AJ91:AJ92"/>
    <mergeCell ref="AK91:AK92"/>
    <mergeCell ref="AL91:AL92"/>
    <mergeCell ref="AM91:AM92"/>
    <mergeCell ref="AN91:AN92"/>
    <mergeCell ref="AO91:AO92"/>
    <mergeCell ref="AD91:AD92"/>
    <mergeCell ref="AE91:AE92"/>
    <mergeCell ref="AF91:AF92"/>
    <mergeCell ref="AG91:AG92"/>
    <mergeCell ref="AH91:AH92"/>
    <mergeCell ref="AI91:AI92"/>
    <mergeCell ref="X91:X92"/>
    <mergeCell ref="Y91:Y92"/>
    <mergeCell ref="Z91:Z92"/>
    <mergeCell ref="AA91:AA92"/>
    <mergeCell ref="AB91:AB92"/>
    <mergeCell ref="AC91:AC92"/>
    <mergeCell ref="R91:R92"/>
    <mergeCell ref="S91:S92"/>
    <mergeCell ref="T91:T92"/>
    <mergeCell ref="U91:U92"/>
    <mergeCell ref="V91:V92"/>
    <mergeCell ref="W91:W92"/>
    <mergeCell ref="G91:G92"/>
    <mergeCell ref="H91:H92"/>
    <mergeCell ref="I91:I92"/>
    <mergeCell ref="J91:J92"/>
    <mergeCell ref="N91:N92"/>
    <mergeCell ref="Q91:Q92"/>
    <mergeCell ref="A91:A92"/>
    <mergeCell ref="B91:B92"/>
    <mergeCell ref="C91:C92"/>
    <mergeCell ref="D91:D92"/>
    <mergeCell ref="E91:E92"/>
    <mergeCell ref="F91:F92"/>
    <mergeCell ref="BB89:BB90"/>
    <mergeCell ref="BC89:BC90"/>
    <mergeCell ref="BD89:BD90"/>
    <mergeCell ref="BE89:BE90"/>
    <mergeCell ref="BF89:BF90"/>
    <mergeCell ref="AD89:AD90"/>
    <mergeCell ref="AE89:AE90"/>
    <mergeCell ref="AF89:AF90"/>
    <mergeCell ref="AG89:AG90"/>
    <mergeCell ref="AH89:AH90"/>
    <mergeCell ref="AI89:AI90"/>
    <mergeCell ref="X89:X90"/>
    <mergeCell ref="Y89:Y90"/>
    <mergeCell ref="Z89:Z90"/>
    <mergeCell ref="AA89:AA90"/>
    <mergeCell ref="AB89:AB90"/>
    <mergeCell ref="AC89:AC90"/>
    <mergeCell ref="R89:R90"/>
    <mergeCell ref="S89:S90"/>
    <mergeCell ref="T89:T90"/>
    <mergeCell ref="BG89:BG90"/>
    <mergeCell ref="AV89:AV90"/>
    <mergeCell ref="AW89:AW90"/>
    <mergeCell ref="AX89:AX90"/>
    <mergeCell ref="AY89:AY90"/>
    <mergeCell ref="AZ89:AZ90"/>
    <mergeCell ref="BA89:BA90"/>
    <mergeCell ref="AP89:AP90"/>
    <mergeCell ref="AQ89:AQ90"/>
    <mergeCell ref="AR89:AR90"/>
    <mergeCell ref="AS89:AS90"/>
    <mergeCell ref="AT89:AT90"/>
    <mergeCell ref="AU89:AU90"/>
    <mergeCell ref="AJ89:AJ90"/>
    <mergeCell ref="AK89:AK90"/>
    <mergeCell ref="AL89:AL90"/>
    <mergeCell ref="AM89:AM90"/>
    <mergeCell ref="AN89:AN90"/>
    <mergeCell ref="AO89:AO90"/>
    <mergeCell ref="U89:U90"/>
    <mergeCell ref="V89:V90"/>
    <mergeCell ref="W89:W90"/>
    <mergeCell ref="G89:G90"/>
    <mergeCell ref="H89:H90"/>
    <mergeCell ref="I89:I90"/>
    <mergeCell ref="J89:J90"/>
    <mergeCell ref="N89:N90"/>
    <mergeCell ref="Q89:Q90"/>
    <mergeCell ref="A89:A90"/>
    <mergeCell ref="B89:B90"/>
    <mergeCell ref="C89:C90"/>
    <mergeCell ref="D89:D90"/>
    <mergeCell ref="E89:E90"/>
    <mergeCell ref="F89:F90"/>
    <mergeCell ref="BB87:BB88"/>
    <mergeCell ref="BC87:BC88"/>
    <mergeCell ref="AD87:AD88"/>
    <mergeCell ref="AE87:AE88"/>
    <mergeCell ref="AF87:AF88"/>
    <mergeCell ref="AG87:AG88"/>
    <mergeCell ref="AH87:AH88"/>
    <mergeCell ref="AI87:AI88"/>
    <mergeCell ref="X87:X88"/>
    <mergeCell ref="Y87:Y88"/>
    <mergeCell ref="Z87:Z88"/>
    <mergeCell ref="AA87:AA88"/>
    <mergeCell ref="AB87:AB88"/>
    <mergeCell ref="AC87:AC88"/>
    <mergeCell ref="R87:R88"/>
    <mergeCell ref="S87:S88"/>
    <mergeCell ref="T87:T88"/>
    <mergeCell ref="BD87:BD88"/>
    <mergeCell ref="BE87:BE88"/>
    <mergeCell ref="BF87:BF88"/>
    <mergeCell ref="BG87:BG88"/>
    <mergeCell ref="AV87:AV88"/>
    <mergeCell ref="AW87:AW88"/>
    <mergeCell ref="AX87:AX88"/>
    <mergeCell ref="AY87:AY88"/>
    <mergeCell ref="AZ87:AZ88"/>
    <mergeCell ref="BA87:BA88"/>
    <mergeCell ref="AP87:AP88"/>
    <mergeCell ref="AQ87:AQ88"/>
    <mergeCell ref="AR87:AR88"/>
    <mergeCell ref="AS87:AS88"/>
    <mergeCell ref="AT87:AT88"/>
    <mergeCell ref="AU87:AU88"/>
    <mergeCell ref="AJ87:AJ88"/>
    <mergeCell ref="AK87:AK88"/>
    <mergeCell ref="AL87:AL88"/>
    <mergeCell ref="AM87:AM88"/>
    <mergeCell ref="AN87:AN88"/>
    <mergeCell ref="AO87:AO88"/>
    <mergeCell ref="U87:U88"/>
    <mergeCell ref="V87:V88"/>
    <mergeCell ref="W87:W88"/>
    <mergeCell ref="G87:G88"/>
    <mergeCell ref="H87:H88"/>
    <mergeCell ref="I87:I88"/>
    <mergeCell ref="J87:J88"/>
    <mergeCell ref="N87:N88"/>
    <mergeCell ref="Q87:Q88"/>
    <mergeCell ref="A87:A88"/>
    <mergeCell ref="B87:B88"/>
    <mergeCell ref="C87:C88"/>
    <mergeCell ref="D87:D88"/>
    <mergeCell ref="E87:E88"/>
    <mergeCell ref="F87:F88"/>
    <mergeCell ref="BB85:BB86"/>
    <mergeCell ref="BC85:BC86"/>
    <mergeCell ref="AD85:AD86"/>
    <mergeCell ref="AE85:AE86"/>
    <mergeCell ref="AF85:AF86"/>
    <mergeCell ref="AG85:AG86"/>
    <mergeCell ref="AH85:AH86"/>
    <mergeCell ref="AI85:AI86"/>
    <mergeCell ref="X85:X86"/>
    <mergeCell ref="Y85:Y86"/>
    <mergeCell ref="Z85:Z86"/>
    <mergeCell ref="AA85:AA86"/>
    <mergeCell ref="AB85:AB86"/>
    <mergeCell ref="AC85:AC86"/>
    <mergeCell ref="R85:R86"/>
    <mergeCell ref="S85:S86"/>
    <mergeCell ref="T85:T86"/>
    <mergeCell ref="BE85:BE86"/>
    <mergeCell ref="BF85:BF86"/>
    <mergeCell ref="BG85:BG86"/>
    <mergeCell ref="AV85:AV86"/>
    <mergeCell ref="AW85:AW86"/>
    <mergeCell ref="AX85:AX86"/>
    <mergeCell ref="AY85:AY86"/>
    <mergeCell ref="AZ85:AZ86"/>
    <mergeCell ref="BA85:BA86"/>
    <mergeCell ref="AP85:AP86"/>
    <mergeCell ref="AQ85:AQ86"/>
    <mergeCell ref="AR85:AR86"/>
    <mergeCell ref="AS85:AS86"/>
    <mergeCell ref="AT85:AT86"/>
    <mergeCell ref="AU85:AU86"/>
    <mergeCell ref="AJ85:AJ86"/>
    <mergeCell ref="AK85:AK86"/>
    <mergeCell ref="AL85:AL86"/>
    <mergeCell ref="AM85:AM86"/>
    <mergeCell ref="AN85:AN86"/>
    <mergeCell ref="AO85:AO86"/>
    <mergeCell ref="U85:U86"/>
    <mergeCell ref="V85:V86"/>
    <mergeCell ref="W85:W86"/>
    <mergeCell ref="G85:G86"/>
    <mergeCell ref="H85:H86"/>
    <mergeCell ref="I85:I86"/>
    <mergeCell ref="J85:J86"/>
    <mergeCell ref="N85:N86"/>
    <mergeCell ref="Q85:Q86"/>
    <mergeCell ref="A85:A86"/>
    <mergeCell ref="B85:B86"/>
    <mergeCell ref="C85:C86"/>
    <mergeCell ref="D85:D86"/>
    <mergeCell ref="E85:E86"/>
    <mergeCell ref="F85:F86"/>
    <mergeCell ref="BC82:BC83"/>
    <mergeCell ref="BD82:BD83"/>
    <mergeCell ref="AC82:AC83"/>
    <mergeCell ref="AD82:AD83"/>
    <mergeCell ref="S82:S83"/>
    <mergeCell ref="T82:T83"/>
    <mergeCell ref="U82:U83"/>
    <mergeCell ref="V82:V83"/>
    <mergeCell ref="W82:W83"/>
    <mergeCell ref="X82:X83"/>
    <mergeCell ref="H82:H83"/>
    <mergeCell ref="I82:I83"/>
    <mergeCell ref="J82:J83"/>
    <mergeCell ref="N82:N83"/>
    <mergeCell ref="Q82:Q83"/>
    <mergeCell ref="R82:R83"/>
    <mergeCell ref="BD85:BD86"/>
    <mergeCell ref="BE82:BE83"/>
    <mergeCell ref="BF82:BF83"/>
    <mergeCell ref="BG82:BG83"/>
    <mergeCell ref="A84:I84"/>
    <mergeCell ref="AW82:AW83"/>
    <mergeCell ref="AX82:AX83"/>
    <mergeCell ref="AY82:AY83"/>
    <mergeCell ref="AZ82:AZ83"/>
    <mergeCell ref="BA82:BA83"/>
    <mergeCell ref="BB82:BB83"/>
    <mergeCell ref="AQ82:AQ83"/>
    <mergeCell ref="AR82:AR83"/>
    <mergeCell ref="AS82:AS83"/>
    <mergeCell ref="AT82:AT83"/>
    <mergeCell ref="AU82:AU83"/>
    <mergeCell ref="AV82:AV83"/>
    <mergeCell ref="AK82:AK83"/>
    <mergeCell ref="AL82:AL83"/>
    <mergeCell ref="AM82:AM83"/>
    <mergeCell ref="AN82:AN83"/>
    <mergeCell ref="AO82:AO83"/>
    <mergeCell ref="AP82:AP83"/>
    <mergeCell ref="AE82:AE83"/>
    <mergeCell ref="AF82:AF83"/>
    <mergeCell ref="AG82:AG83"/>
    <mergeCell ref="AH82:AH83"/>
    <mergeCell ref="AI82:AI83"/>
    <mergeCell ref="AJ82:AJ83"/>
    <mergeCell ref="Y82:Y83"/>
    <mergeCell ref="Z82:Z83"/>
    <mergeCell ref="AA82:AA83"/>
    <mergeCell ref="AB82:AB83"/>
    <mergeCell ref="BE80:BE81"/>
    <mergeCell ref="BF80:BF81"/>
    <mergeCell ref="BG80:BG81"/>
    <mergeCell ref="A82:A83"/>
    <mergeCell ref="B82:B83"/>
    <mergeCell ref="C82:C83"/>
    <mergeCell ref="D82:D83"/>
    <mergeCell ref="E82:E83"/>
    <mergeCell ref="F82:F83"/>
    <mergeCell ref="G82:G83"/>
    <mergeCell ref="AY80:AY81"/>
    <mergeCell ref="AZ80:AZ81"/>
    <mergeCell ref="BA80:BA81"/>
    <mergeCell ref="BB80:BB81"/>
    <mergeCell ref="BC80:BC81"/>
    <mergeCell ref="BD80:BD81"/>
    <mergeCell ref="AS80:AS81"/>
    <mergeCell ref="AT80:AT81"/>
    <mergeCell ref="AU80:AU81"/>
    <mergeCell ref="AV80:AV81"/>
    <mergeCell ref="AW80:AW81"/>
    <mergeCell ref="AX80:AX81"/>
    <mergeCell ref="AM80:AM81"/>
    <mergeCell ref="AN80:AN81"/>
    <mergeCell ref="AO80:AO81"/>
    <mergeCell ref="AP80:AP81"/>
    <mergeCell ref="AQ80:AQ81"/>
    <mergeCell ref="AR80:AR81"/>
    <mergeCell ref="AG80:AG81"/>
    <mergeCell ref="AH80:AH81"/>
    <mergeCell ref="AI80:AI81"/>
    <mergeCell ref="AJ80:AJ81"/>
    <mergeCell ref="AK80:AK81"/>
    <mergeCell ref="AL80:AL81"/>
    <mergeCell ref="AA80:AA81"/>
    <mergeCell ref="AB80:AB81"/>
    <mergeCell ref="AC80:AC81"/>
    <mergeCell ref="AD80:AD81"/>
    <mergeCell ref="AE80:AE81"/>
    <mergeCell ref="AF80:AF81"/>
    <mergeCell ref="U80:U81"/>
    <mergeCell ref="V80:V81"/>
    <mergeCell ref="W80:W81"/>
    <mergeCell ref="X80:X81"/>
    <mergeCell ref="Y80:Y81"/>
    <mergeCell ref="Z80:Z81"/>
    <mergeCell ref="J80:J81"/>
    <mergeCell ref="N80:N81"/>
    <mergeCell ref="Q80:Q81"/>
    <mergeCell ref="R80:R81"/>
    <mergeCell ref="S80:S81"/>
    <mergeCell ref="T80:T81"/>
    <mergeCell ref="BG78:BG79"/>
    <mergeCell ref="A80:A81"/>
    <mergeCell ref="B80:B81"/>
    <mergeCell ref="C80:C81"/>
    <mergeCell ref="D80:D81"/>
    <mergeCell ref="E80:E81"/>
    <mergeCell ref="F80:F81"/>
    <mergeCell ref="G80:G81"/>
    <mergeCell ref="H80:H81"/>
    <mergeCell ref="I80:I81"/>
    <mergeCell ref="BA78:BA79"/>
    <mergeCell ref="BB78:BB79"/>
    <mergeCell ref="BC78:BC79"/>
    <mergeCell ref="BD78:BD79"/>
    <mergeCell ref="BE78:BE79"/>
    <mergeCell ref="BF78:BF79"/>
    <mergeCell ref="AU78:AU79"/>
    <mergeCell ref="AV78:AV79"/>
    <mergeCell ref="AW78:AW79"/>
    <mergeCell ref="AX78:AX79"/>
    <mergeCell ref="AY78:AY79"/>
    <mergeCell ref="AZ78:AZ79"/>
    <mergeCell ref="AO78:AO79"/>
    <mergeCell ref="AP78:AP79"/>
    <mergeCell ref="AQ78:AQ79"/>
    <mergeCell ref="AR78:AR79"/>
    <mergeCell ref="AS78:AS79"/>
    <mergeCell ref="AT78:AT79"/>
    <mergeCell ref="AI78:AI79"/>
    <mergeCell ref="AJ78:AJ79"/>
    <mergeCell ref="AK78:AK79"/>
    <mergeCell ref="AL78:AL79"/>
    <mergeCell ref="AM78:AM79"/>
    <mergeCell ref="AN78:AN79"/>
    <mergeCell ref="AC78:AC79"/>
    <mergeCell ref="AD78:AD79"/>
    <mergeCell ref="AE78:AE79"/>
    <mergeCell ref="AF78:AF79"/>
    <mergeCell ref="AG78:AG79"/>
    <mergeCell ref="AH78:AH79"/>
    <mergeCell ref="W78:W79"/>
    <mergeCell ref="X78:X79"/>
    <mergeCell ref="Y78:Y79"/>
    <mergeCell ref="Z78:Z79"/>
    <mergeCell ref="AA78:AA79"/>
    <mergeCell ref="AB78:AB79"/>
    <mergeCell ref="Q78:Q79"/>
    <mergeCell ref="R78:R79"/>
    <mergeCell ref="S78:S79"/>
    <mergeCell ref="T78:T79"/>
    <mergeCell ref="U78:U79"/>
    <mergeCell ref="V78:V79"/>
    <mergeCell ref="F78:F79"/>
    <mergeCell ref="G78:G79"/>
    <mergeCell ref="H78:H79"/>
    <mergeCell ref="I78:I79"/>
    <mergeCell ref="J78:J79"/>
    <mergeCell ref="N78:N79"/>
    <mergeCell ref="BC76:BC77"/>
    <mergeCell ref="BD76:BD77"/>
    <mergeCell ref="BE76:BE77"/>
    <mergeCell ref="BF76:BF77"/>
    <mergeCell ref="BG76:BG77"/>
    <mergeCell ref="A78:A79"/>
    <mergeCell ref="B78:B79"/>
    <mergeCell ref="C78:C79"/>
    <mergeCell ref="D78:D79"/>
    <mergeCell ref="E78:E79"/>
    <mergeCell ref="AW76:AW77"/>
    <mergeCell ref="AX76:AX77"/>
    <mergeCell ref="AY76:AY77"/>
    <mergeCell ref="AZ76:AZ77"/>
    <mergeCell ref="BA76:BA77"/>
    <mergeCell ref="BB76:BB77"/>
    <mergeCell ref="AQ76:AQ77"/>
    <mergeCell ref="AR76:AR77"/>
    <mergeCell ref="AS76:AS77"/>
    <mergeCell ref="AT76:AT77"/>
    <mergeCell ref="AU76:AU77"/>
    <mergeCell ref="AV76:AV77"/>
    <mergeCell ref="AK76:AK77"/>
    <mergeCell ref="AL76:AL77"/>
    <mergeCell ref="AM76:AM77"/>
    <mergeCell ref="AN76:AN77"/>
    <mergeCell ref="AO76:AO77"/>
    <mergeCell ref="AP76:AP77"/>
    <mergeCell ref="AE76:AE77"/>
    <mergeCell ref="AF76:AF77"/>
    <mergeCell ref="AG76:AG77"/>
    <mergeCell ref="AH76:AH77"/>
    <mergeCell ref="AI76:AI77"/>
    <mergeCell ref="AJ76:AJ77"/>
    <mergeCell ref="Y76:Y77"/>
    <mergeCell ref="Z76:Z77"/>
    <mergeCell ref="AA76:AA77"/>
    <mergeCell ref="AB76:AB77"/>
    <mergeCell ref="AC76:AC77"/>
    <mergeCell ref="AD76:AD77"/>
    <mergeCell ref="S76:S77"/>
    <mergeCell ref="T76:T77"/>
    <mergeCell ref="U76:U77"/>
    <mergeCell ref="V76:V77"/>
    <mergeCell ref="W76:W77"/>
    <mergeCell ref="X76:X77"/>
    <mergeCell ref="H76:H77"/>
    <mergeCell ref="I76:I77"/>
    <mergeCell ref="J76:J77"/>
    <mergeCell ref="N76:N77"/>
    <mergeCell ref="Q76:Q77"/>
    <mergeCell ref="R76:R77"/>
    <mergeCell ref="BE74:BE75"/>
    <mergeCell ref="BF74:BF75"/>
    <mergeCell ref="BG74:BG75"/>
    <mergeCell ref="A76:A77"/>
    <mergeCell ref="B76:B77"/>
    <mergeCell ref="C76:C77"/>
    <mergeCell ref="D76:D77"/>
    <mergeCell ref="E76:E77"/>
    <mergeCell ref="F76:F77"/>
    <mergeCell ref="G76:G77"/>
    <mergeCell ref="AY74:AY75"/>
    <mergeCell ref="AZ74:AZ75"/>
    <mergeCell ref="BA74:BA75"/>
    <mergeCell ref="BB74:BB75"/>
    <mergeCell ref="BC74:BC75"/>
    <mergeCell ref="BD74:BD75"/>
    <mergeCell ref="AS74:AS75"/>
    <mergeCell ref="AT74:AT75"/>
    <mergeCell ref="AU74:AU75"/>
    <mergeCell ref="AV74:AV75"/>
    <mergeCell ref="AW74:AW75"/>
    <mergeCell ref="AX74:AX75"/>
    <mergeCell ref="AM74:AM75"/>
    <mergeCell ref="AN74:AN75"/>
    <mergeCell ref="AO74:AO75"/>
    <mergeCell ref="AP74:AP75"/>
    <mergeCell ref="AQ74:AQ75"/>
    <mergeCell ref="AR74:AR75"/>
    <mergeCell ref="AG74:AG75"/>
    <mergeCell ref="AH74:AH75"/>
    <mergeCell ref="AI74:AI75"/>
    <mergeCell ref="AJ74:AJ75"/>
    <mergeCell ref="AK74:AK75"/>
    <mergeCell ref="AL74:AL75"/>
    <mergeCell ref="AA74:AA75"/>
    <mergeCell ref="AB74:AB75"/>
    <mergeCell ref="AC74:AC75"/>
    <mergeCell ref="AD74:AD75"/>
    <mergeCell ref="AE74:AE75"/>
    <mergeCell ref="AF74:AF75"/>
    <mergeCell ref="U74:U75"/>
    <mergeCell ref="V74:V75"/>
    <mergeCell ref="W74:W75"/>
    <mergeCell ref="X74:X75"/>
    <mergeCell ref="Y74:Y75"/>
    <mergeCell ref="Z74:Z75"/>
    <mergeCell ref="J74:J75"/>
    <mergeCell ref="N74:N75"/>
    <mergeCell ref="Q74:Q75"/>
    <mergeCell ref="R74:R75"/>
    <mergeCell ref="S74:S75"/>
    <mergeCell ref="T74:T75"/>
    <mergeCell ref="A73:I73"/>
    <mergeCell ref="A74:A75"/>
    <mergeCell ref="B74:B75"/>
    <mergeCell ref="C74:C75"/>
    <mergeCell ref="D74:D75"/>
    <mergeCell ref="E74:E75"/>
    <mergeCell ref="F74:F75"/>
    <mergeCell ref="G74:G75"/>
    <mergeCell ref="H74:H75"/>
    <mergeCell ref="I74:I75"/>
    <mergeCell ref="BB71:BB72"/>
    <mergeCell ref="AJ71:AJ72"/>
    <mergeCell ref="AK71:AK72"/>
    <mergeCell ref="AL71:AL72"/>
    <mergeCell ref="AM71:AM72"/>
    <mergeCell ref="AN71:AN72"/>
    <mergeCell ref="AO71:AO72"/>
    <mergeCell ref="AD71:AD72"/>
    <mergeCell ref="AE71:AE72"/>
    <mergeCell ref="AF71:AF72"/>
    <mergeCell ref="AG71:AG72"/>
    <mergeCell ref="AH71:AH72"/>
    <mergeCell ref="AI71:AI72"/>
    <mergeCell ref="X71:X72"/>
    <mergeCell ref="Y71:Y72"/>
    <mergeCell ref="Z71:Z72"/>
    <mergeCell ref="BC71:BC72"/>
    <mergeCell ref="BD71:BD72"/>
    <mergeCell ref="BE71:BE72"/>
    <mergeCell ref="BF71:BF72"/>
    <mergeCell ref="BG71:BG72"/>
    <mergeCell ref="AV71:AV72"/>
    <mergeCell ref="AW71:AW72"/>
    <mergeCell ref="AX71:AX72"/>
    <mergeCell ref="AY71:AY72"/>
    <mergeCell ref="AZ71:AZ72"/>
    <mergeCell ref="BA71:BA72"/>
    <mergeCell ref="AP71:AP72"/>
    <mergeCell ref="AQ71:AQ72"/>
    <mergeCell ref="AR71:AR72"/>
    <mergeCell ref="AS71:AS72"/>
    <mergeCell ref="AT71:AT72"/>
    <mergeCell ref="AU71:AU72"/>
    <mergeCell ref="AA71:AA72"/>
    <mergeCell ref="AB71:AB72"/>
    <mergeCell ref="AC71:AC72"/>
    <mergeCell ref="R71:R72"/>
    <mergeCell ref="S71:S72"/>
    <mergeCell ref="T71:T72"/>
    <mergeCell ref="U71:U72"/>
    <mergeCell ref="V71:V72"/>
    <mergeCell ref="W71:W72"/>
    <mergeCell ref="G71:G72"/>
    <mergeCell ref="H71:H72"/>
    <mergeCell ref="I71:I72"/>
    <mergeCell ref="J71:J72"/>
    <mergeCell ref="N71:N72"/>
    <mergeCell ref="Q71:Q72"/>
    <mergeCell ref="A71:A72"/>
    <mergeCell ref="B71:B72"/>
    <mergeCell ref="C71:C72"/>
    <mergeCell ref="D71:D72"/>
    <mergeCell ref="E71:E72"/>
    <mergeCell ref="F71:F72"/>
    <mergeCell ref="BB69:BB70"/>
    <mergeCell ref="BC69:BC70"/>
    <mergeCell ref="BD69:BD70"/>
    <mergeCell ref="BE69:BE70"/>
    <mergeCell ref="BF69:BF70"/>
    <mergeCell ref="BG69:BG70"/>
    <mergeCell ref="AV69:AV70"/>
    <mergeCell ref="AW69:AW70"/>
    <mergeCell ref="AX69:AX70"/>
    <mergeCell ref="AY69:AY70"/>
    <mergeCell ref="AZ69:AZ70"/>
    <mergeCell ref="BA69:BA70"/>
    <mergeCell ref="AP69:AP70"/>
    <mergeCell ref="AQ69:AQ70"/>
    <mergeCell ref="AR69:AR70"/>
    <mergeCell ref="AS69:AS70"/>
    <mergeCell ref="AT69:AT70"/>
    <mergeCell ref="AU69:AU70"/>
    <mergeCell ref="AJ69:AJ70"/>
    <mergeCell ref="AK69:AK70"/>
    <mergeCell ref="AL69:AL70"/>
    <mergeCell ref="AM69:AM70"/>
    <mergeCell ref="AN69:AN70"/>
    <mergeCell ref="AO69:AO70"/>
    <mergeCell ref="AD69:AD70"/>
    <mergeCell ref="AE69:AE70"/>
    <mergeCell ref="AF69:AF70"/>
    <mergeCell ref="AG69:AG70"/>
    <mergeCell ref="AH69:AH70"/>
    <mergeCell ref="AI69:AI70"/>
    <mergeCell ref="X69:X70"/>
    <mergeCell ref="Y69:Y70"/>
    <mergeCell ref="Z69:Z70"/>
    <mergeCell ref="AA69:AA70"/>
    <mergeCell ref="AB69:AB70"/>
    <mergeCell ref="AC69:AC70"/>
    <mergeCell ref="R69:R70"/>
    <mergeCell ref="S69:S70"/>
    <mergeCell ref="T69:T70"/>
    <mergeCell ref="U69:U70"/>
    <mergeCell ref="V69:V70"/>
    <mergeCell ref="W69:W70"/>
    <mergeCell ref="G69:G70"/>
    <mergeCell ref="H69:H70"/>
    <mergeCell ref="I69:I70"/>
    <mergeCell ref="J69:J70"/>
    <mergeCell ref="N69:N70"/>
    <mergeCell ref="Q69:Q70"/>
    <mergeCell ref="A69:A70"/>
    <mergeCell ref="B69:B70"/>
    <mergeCell ref="C69:C70"/>
    <mergeCell ref="D69:D70"/>
    <mergeCell ref="E69:E70"/>
    <mergeCell ref="F69:F70"/>
    <mergeCell ref="BB67:BB68"/>
    <mergeCell ref="BC67:BC68"/>
    <mergeCell ref="BD67:BD68"/>
    <mergeCell ref="BE67:BE68"/>
    <mergeCell ref="BF67:BF68"/>
    <mergeCell ref="BG67:BG68"/>
    <mergeCell ref="AV67:AV68"/>
    <mergeCell ref="AW67:AW68"/>
    <mergeCell ref="AX67:AX68"/>
    <mergeCell ref="AY67:AY68"/>
    <mergeCell ref="AZ67:AZ68"/>
    <mergeCell ref="BA67:BA68"/>
    <mergeCell ref="AP67:AP68"/>
    <mergeCell ref="AQ67:AQ68"/>
    <mergeCell ref="AR67:AR68"/>
    <mergeCell ref="AS67:AS68"/>
    <mergeCell ref="AT67:AT68"/>
    <mergeCell ref="AU67:AU68"/>
    <mergeCell ref="AJ67:AJ68"/>
    <mergeCell ref="AK67:AK68"/>
    <mergeCell ref="AL67:AL68"/>
    <mergeCell ref="AM67:AM68"/>
    <mergeCell ref="AN67:AN68"/>
    <mergeCell ref="AO67:AO68"/>
    <mergeCell ref="AD67:AD68"/>
    <mergeCell ref="AE67:AE68"/>
    <mergeCell ref="AF67:AF68"/>
    <mergeCell ref="AG67:AG68"/>
    <mergeCell ref="AH67:AH68"/>
    <mergeCell ref="AI67:AI68"/>
    <mergeCell ref="X67:X68"/>
    <mergeCell ref="Y67:Y68"/>
    <mergeCell ref="Z67:Z68"/>
    <mergeCell ref="AA67:AA68"/>
    <mergeCell ref="AB67:AB68"/>
    <mergeCell ref="AC67:AC68"/>
    <mergeCell ref="R67:R68"/>
    <mergeCell ref="S67:S68"/>
    <mergeCell ref="T67:T68"/>
    <mergeCell ref="U67:U68"/>
    <mergeCell ref="V67:V68"/>
    <mergeCell ref="W67:W68"/>
    <mergeCell ref="G67:G68"/>
    <mergeCell ref="H67:H68"/>
    <mergeCell ref="I67:I68"/>
    <mergeCell ref="J67:J68"/>
    <mergeCell ref="N67:N68"/>
    <mergeCell ref="Q67:Q68"/>
    <mergeCell ref="A67:A68"/>
    <mergeCell ref="B67:B68"/>
    <mergeCell ref="C67:C68"/>
    <mergeCell ref="D67:D68"/>
    <mergeCell ref="E67:E68"/>
    <mergeCell ref="F67:F68"/>
    <mergeCell ref="BB65:BB66"/>
    <mergeCell ref="BC65:BC66"/>
    <mergeCell ref="BD65:BD66"/>
    <mergeCell ref="BE65:BE66"/>
    <mergeCell ref="BF65:BF66"/>
    <mergeCell ref="BG65:BG66"/>
    <mergeCell ref="AV65:AV66"/>
    <mergeCell ref="AW65:AW66"/>
    <mergeCell ref="AX65:AX66"/>
    <mergeCell ref="AY65:AY66"/>
    <mergeCell ref="AZ65:AZ66"/>
    <mergeCell ref="BA65:BA66"/>
    <mergeCell ref="AP65:AP66"/>
    <mergeCell ref="AQ65:AQ66"/>
    <mergeCell ref="AR65:AR66"/>
    <mergeCell ref="AS65:AS66"/>
    <mergeCell ref="AT65:AT66"/>
    <mergeCell ref="AU65:AU66"/>
    <mergeCell ref="AJ65:AJ66"/>
    <mergeCell ref="AK65:AK66"/>
    <mergeCell ref="AL65:AL66"/>
    <mergeCell ref="AM65:AM66"/>
    <mergeCell ref="AN65:AN66"/>
    <mergeCell ref="AO65:AO66"/>
    <mergeCell ref="AD65:AD66"/>
    <mergeCell ref="AE65:AE66"/>
    <mergeCell ref="AF65:AF66"/>
    <mergeCell ref="AG65:AG66"/>
    <mergeCell ref="AH65:AH66"/>
    <mergeCell ref="AI65:AI66"/>
    <mergeCell ref="X65:X66"/>
    <mergeCell ref="Y65:Y66"/>
    <mergeCell ref="Z65:Z66"/>
    <mergeCell ref="AA65:AA66"/>
    <mergeCell ref="AB65:AB66"/>
    <mergeCell ref="AC65:AC66"/>
    <mergeCell ref="R65:R66"/>
    <mergeCell ref="S65:S66"/>
    <mergeCell ref="T65:T66"/>
    <mergeCell ref="U65:U66"/>
    <mergeCell ref="V65:V66"/>
    <mergeCell ref="W65:W66"/>
    <mergeCell ref="G65:G66"/>
    <mergeCell ref="H65:H66"/>
    <mergeCell ref="I65:I66"/>
    <mergeCell ref="J65:J66"/>
    <mergeCell ref="N65:N66"/>
    <mergeCell ref="Q65:Q66"/>
    <mergeCell ref="A65:A66"/>
    <mergeCell ref="B65:B66"/>
    <mergeCell ref="C65:C66"/>
    <mergeCell ref="D65:D66"/>
    <mergeCell ref="E65:E66"/>
    <mergeCell ref="F65:F66"/>
    <mergeCell ref="BB63:BB64"/>
    <mergeCell ref="BC63:BC64"/>
    <mergeCell ref="BD63:BD64"/>
    <mergeCell ref="BE63:BE64"/>
    <mergeCell ref="BF63:BF64"/>
    <mergeCell ref="BG63:BG64"/>
    <mergeCell ref="AV63:AV64"/>
    <mergeCell ref="AW63:AW64"/>
    <mergeCell ref="AX63:AX64"/>
    <mergeCell ref="AY63:AY64"/>
    <mergeCell ref="AZ63:AZ64"/>
    <mergeCell ref="BA63:BA64"/>
    <mergeCell ref="AP63:AP64"/>
    <mergeCell ref="AQ63:AQ64"/>
    <mergeCell ref="AR63:AR64"/>
    <mergeCell ref="AS63:AS64"/>
    <mergeCell ref="AT63:AT64"/>
    <mergeCell ref="AU63:AU64"/>
    <mergeCell ref="AJ63:AJ64"/>
    <mergeCell ref="AK63:AK64"/>
    <mergeCell ref="AL63:AL64"/>
    <mergeCell ref="AM63:AM64"/>
    <mergeCell ref="AN63:AN64"/>
    <mergeCell ref="AO63:AO64"/>
    <mergeCell ref="AD63:AD64"/>
    <mergeCell ref="AE63:AE64"/>
    <mergeCell ref="AF63:AF64"/>
    <mergeCell ref="AG63:AG64"/>
    <mergeCell ref="AH63:AH64"/>
    <mergeCell ref="AI63:AI64"/>
    <mergeCell ref="X63:X64"/>
    <mergeCell ref="Y63:Y64"/>
    <mergeCell ref="Z63:Z64"/>
    <mergeCell ref="AA63:AA64"/>
    <mergeCell ref="AB63:AB64"/>
    <mergeCell ref="AC63:AC64"/>
    <mergeCell ref="BG57:BG58"/>
    <mergeCell ref="A59:I59"/>
    <mergeCell ref="A60:I60"/>
    <mergeCell ref="A61:O61"/>
    <mergeCell ref="A62:O62"/>
    <mergeCell ref="S63:S64"/>
    <mergeCell ref="T63:T64"/>
    <mergeCell ref="U63:U64"/>
    <mergeCell ref="V63:V64"/>
    <mergeCell ref="W63:W64"/>
    <mergeCell ref="BA57:BA58"/>
    <mergeCell ref="BB57:BB58"/>
    <mergeCell ref="BC57:BC58"/>
    <mergeCell ref="BD57:BD58"/>
    <mergeCell ref="BE57:BE58"/>
    <mergeCell ref="BF57:BF58"/>
    <mergeCell ref="AU57:AU58"/>
    <mergeCell ref="AV57:AV58"/>
    <mergeCell ref="AW57:AW58"/>
    <mergeCell ref="AX57:AX58"/>
    <mergeCell ref="AY57:AY58"/>
    <mergeCell ref="AZ57:AZ58"/>
    <mergeCell ref="AO57:AO58"/>
    <mergeCell ref="AP57:AP58"/>
    <mergeCell ref="AQ57:AQ58"/>
    <mergeCell ref="AR57:AR58"/>
    <mergeCell ref="AS57:AS58"/>
    <mergeCell ref="AT57:AT58"/>
    <mergeCell ref="AI57:AI58"/>
    <mergeCell ref="AJ57:AJ58"/>
    <mergeCell ref="AK57:AK58"/>
    <mergeCell ref="AL57:AL58"/>
    <mergeCell ref="AM57:AM58"/>
    <mergeCell ref="AN57:AN58"/>
    <mergeCell ref="AC57:AC58"/>
    <mergeCell ref="AD57:AD58"/>
    <mergeCell ref="AE57:AE58"/>
    <mergeCell ref="AF57:AF58"/>
    <mergeCell ref="AG57:AG58"/>
    <mergeCell ref="AH57:AH58"/>
    <mergeCell ref="W57:W58"/>
    <mergeCell ref="X57:X58"/>
    <mergeCell ref="Y57:Y58"/>
    <mergeCell ref="Z57:Z58"/>
    <mergeCell ref="AA57:AA58"/>
    <mergeCell ref="AB57:AB58"/>
    <mergeCell ref="Q57:Q58"/>
    <mergeCell ref="R57:R58"/>
    <mergeCell ref="S57:S58"/>
    <mergeCell ref="T57:T58"/>
    <mergeCell ref="U57:U58"/>
    <mergeCell ref="V57:V58"/>
    <mergeCell ref="F57:F58"/>
    <mergeCell ref="G57:G58"/>
    <mergeCell ref="H57:H58"/>
    <mergeCell ref="I57:I58"/>
    <mergeCell ref="J57:J58"/>
    <mergeCell ref="N57:N58"/>
    <mergeCell ref="BC55:BC56"/>
    <mergeCell ref="BD55:BD56"/>
    <mergeCell ref="BE55:BE56"/>
    <mergeCell ref="BF55:BF56"/>
    <mergeCell ref="BG55:BG56"/>
    <mergeCell ref="A57:A58"/>
    <mergeCell ref="B57:B58"/>
    <mergeCell ref="C57:C58"/>
    <mergeCell ref="D57:D58"/>
    <mergeCell ref="E57:E58"/>
    <mergeCell ref="AW55:AW56"/>
    <mergeCell ref="AX55:AX56"/>
    <mergeCell ref="AY55:AY56"/>
    <mergeCell ref="AZ55:AZ56"/>
    <mergeCell ref="BA55:BA56"/>
    <mergeCell ref="BB55:BB56"/>
    <mergeCell ref="AQ55:AQ56"/>
    <mergeCell ref="AR55:AR56"/>
    <mergeCell ref="AS55:AS56"/>
    <mergeCell ref="AT55:AT56"/>
    <mergeCell ref="AU55:AU56"/>
    <mergeCell ref="AV55:AV56"/>
    <mergeCell ref="AK55:AK56"/>
    <mergeCell ref="AL55:AL56"/>
    <mergeCell ref="AM55:AM56"/>
    <mergeCell ref="AN55:AN56"/>
    <mergeCell ref="AO55:AO56"/>
    <mergeCell ref="AP55:AP56"/>
    <mergeCell ref="AE55:AE56"/>
    <mergeCell ref="AF55:AF56"/>
    <mergeCell ref="AG55:AG56"/>
    <mergeCell ref="AH55:AH56"/>
    <mergeCell ref="AI55:AI56"/>
    <mergeCell ref="AJ55:AJ56"/>
    <mergeCell ref="Y55:Y56"/>
    <mergeCell ref="Z55:Z56"/>
    <mergeCell ref="AA55:AA56"/>
    <mergeCell ref="AB55:AB56"/>
    <mergeCell ref="AC55:AC56"/>
    <mergeCell ref="AD55:AD56"/>
    <mergeCell ref="S55:S56"/>
    <mergeCell ref="T55:T56"/>
    <mergeCell ref="U55:U56"/>
    <mergeCell ref="V55:V56"/>
    <mergeCell ref="W55:W56"/>
    <mergeCell ref="X55:X56"/>
    <mergeCell ref="H55:H56"/>
    <mergeCell ref="I55:I56"/>
    <mergeCell ref="J55:J56"/>
    <mergeCell ref="N55:N56"/>
    <mergeCell ref="Q55:Q56"/>
    <mergeCell ref="R55:R56"/>
    <mergeCell ref="BE53:BE54"/>
    <mergeCell ref="BF53:BF54"/>
    <mergeCell ref="BG53:BG54"/>
    <mergeCell ref="A55:A56"/>
    <mergeCell ref="B55:B56"/>
    <mergeCell ref="C55:C56"/>
    <mergeCell ref="D55:D56"/>
    <mergeCell ref="E55:E56"/>
    <mergeCell ref="F55:F56"/>
    <mergeCell ref="G55:G56"/>
    <mergeCell ref="AY53:AY54"/>
    <mergeCell ref="AZ53:AZ54"/>
    <mergeCell ref="BA53:BA54"/>
    <mergeCell ref="BB53:BB54"/>
    <mergeCell ref="BC53:BC54"/>
    <mergeCell ref="BD53:BD54"/>
    <mergeCell ref="AS53:AS54"/>
    <mergeCell ref="AT53:AT54"/>
    <mergeCell ref="AU53:AU54"/>
    <mergeCell ref="AV53:AV54"/>
    <mergeCell ref="AW53:AW54"/>
    <mergeCell ref="AX53:AX54"/>
    <mergeCell ref="AM53:AM54"/>
    <mergeCell ref="AN53:AN54"/>
    <mergeCell ref="AO53:AO54"/>
    <mergeCell ref="AP53:AP54"/>
    <mergeCell ref="AQ53:AQ54"/>
    <mergeCell ref="AR53:AR54"/>
    <mergeCell ref="AG53:AG54"/>
    <mergeCell ref="AH53:AH54"/>
    <mergeCell ref="AI53:AI54"/>
    <mergeCell ref="AJ53:AJ54"/>
    <mergeCell ref="AK53:AK54"/>
    <mergeCell ref="AL53:AL54"/>
    <mergeCell ref="AA53:AA54"/>
    <mergeCell ref="AB53:AB54"/>
    <mergeCell ref="AC53:AC54"/>
    <mergeCell ref="AD53:AD54"/>
    <mergeCell ref="AE53:AE54"/>
    <mergeCell ref="AF53:AF54"/>
    <mergeCell ref="U53:U54"/>
    <mergeCell ref="V53:V54"/>
    <mergeCell ref="W53:W54"/>
    <mergeCell ref="X53:X54"/>
    <mergeCell ref="Y53:Y54"/>
    <mergeCell ref="Z53:Z54"/>
    <mergeCell ref="J53:J54"/>
    <mergeCell ref="N53:N54"/>
    <mergeCell ref="Q53:Q54"/>
    <mergeCell ref="R53:R54"/>
    <mergeCell ref="S53:S54"/>
    <mergeCell ref="T53:T54"/>
    <mergeCell ref="BG51:BG52"/>
    <mergeCell ref="A53:A54"/>
    <mergeCell ref="B53:B54"/>
    <mergeCell ref="C53:C54"/>
    <mergeCell ref="D53:D54"/>
    <mergeCell ref="E53:E54"/>
    <mergeCell ref="F53:F54"/>
    <mergeCell ref="G53:G54"/>
    <mergeCell ref="H53:H54"/>
    <mergeCell ref="I53:I54"/>
    <mergeCell ref="BA51:BA52"/>
    <mergeCell ref="BB51:BB52"/>
    <mergeCell ref="BC51:BC52"/>
    <mergeCell ref="BD51:BD52"/>
    <mergeCell ref="BE51:BE52"/>
    <mergeCell ref="BF51:BF52"/>
    <mergeCell ref="AU51:AU52"/>
    <mergeCell ref="AV51:AV52"/>
    <mergeCell ref="AW51:AW52"/>
    <mergeCell ref="AX51:AX52"/>
    <mergeCell ref="AY51:AY52"/>
    <mergeCell ref="AZ51:AZ52"/>
    <mergeCell ref="AO51:AO52"/>
    <mergeCell ref="AP51:AP52"/>
    <mergeCell ref="AQ51:AQ52"/>
    <mergeCell ref="AR51:AR52"/>
    <mergeCell ref="AS51:AS52"/>
    <mergeCell ref="AT51:AT52"/>
    <mergeCell ref="AI51:AI52"/>
    <mergeCell ref="AJ51:AJ52"/>
    <mergeCell ref="AK51:AK52"/>
    <mergeCell ref="AL51:AL52"/>
    <mergeCell ref="AM51:AM52"/>
    <mergeCell ref="AN51:AN52"/>
    <mergeCell ref="AC51:AC52"/>
    <mergeCell ref="AD51:AD52"/>
    <mergeCell ref="AE51:AE52"/>
    <mergeCell ref="AF51:AF52"/>
    <mergeCell ref="AG51:AG52"/>
    <mergeCell ref="AH51:AH52"/>
    <mergeCell ref="W51:W52"/>
    <mergeCell ref="X51:X52"/>
    <mergeCell ref="Y51:Y52"/>
    <mergeCell ref="Z51:Z52"/>
    <mergeCell ref="AA51:AA52"/>
    <mergeCell ref="AB51:AB52"/>
    <mergeCell ref="Q51:Q52"/>
    <mergeCell ref="R51:R52"/>
    <mergeCell ref="S51:S52"/>
    <mergeCell ref="T51:T52"/>
    <mergeCell ref="U51:U52"/>
    <mergeCell ref="V51:V52"/>
    <mergeCell ref="F51:F52"/>
    <mergeCell ref="G51:G52"/>
    <mergeCell ref="H51:H52"/>
    <mergeCell ref="I51:I52"/>
    <mergeCell ref="J51:J52"/>
    <mergeCell ref="N51:N52"/>
    <mergeCell ref="BC49:BC50"/>
    <mergeCell ref="BD49:BD50"/>
    <mergeCell ref="BE49:BE50"/>
    <mergeCell ref="BF49:BF50"/>
    <mergeCell ref="BG49:BG50"/>
    <mergeCell ref="AB49:AB50"/>
    <mergeCell ref="AC49:AC50"/>
    <mergeCell ref="AD49:AD50"/>
    <mergeCell ref="S49:S50"/>
    <mergeCell ref="T49:T50"/>
    <mergeCell ref="U49:U50"/>
    <mergeCell ref="V49:V50"/>
    <mergeCell ref="W49:W50"/>
    <mergeCell ref="X49:X50"/>
    <mergeCell ref="H49:H50"/>
    <mergeCell ref="I49:I50"/>
    <mergeCell ref="J49:J50"/>
    <mergeCell ref="N49:N50"/>
    <mergeCell ref="Q49:Q50"/>
    <mergeCell ref="R49:R50"/>
    <mergeCell ref="A51:A52"/>
    <mergeCell ref="B51:B52"/>
    <mergeCell ref="C51:C52"/>
    <mergeCell ref="D51:D52"/>
    <mergeCell ref="E51:E52"/>
    <mergeCell ref="AW49:AW50"/>
    <mergeCell ref="AX49:AX50"/>
    <mergeCell ref="AY49:AY50"/>
    <mergeCell ref="AZ49:AZ50"/>
    <mergeCell ref="BA49:BA50"/>
    <mergeCell ref="BB49:BB50"/>
    <mergeCell ref="AQ49:AQ50"/>
    <mergeCell ref="AR49:AR50"/>
    <mergeCell ref="AS49:AS50"/>
    <mergeCell ref="AT49:AT50"/>
    <mergeCell ref="AU49:AU50"/>
    <mergeCell ref="AV49:AV50"/>
    <mergeCell ref="AK49:AK50"/>
    <mergeCell ref="AL49:AL50"/>
    <mergeCell ref="AM49:AM50"/>
    <mergeCell ref="AN49:AN50"/>
    <mergeCell ref="AO49:AO50"/>
    <mergeCell ref="AP49:AP50"/>
    <mergeCell ref="AE49:AE50"/>
    <mergeCell ref="AF49:AF50"/>
    <mergeCell ref="AG49:AG50"/>
    <mergeCell ref="AH49:AH50"/>
    <mergeCell ref="AI49:AI50"/>
    <mergeCell ref="AJ49:AJ50"/>
    <mergeCell ref="Y49:Y50"/>
    <mergeCell ref="Z49:Z50"/>
    <mergeCell ref="AA49:AA50"/>
    <mergeCell ref="BE47:BE48"/>
    <mergeCell ref="BF47:BF48"/>
    <mergeCell ref="BG47:BG48"/>
    <mergeCell ref="A49:A50"/>
    <mergeCell ref="B49:B50"/>
    <mergeCell ref="C49:C50"/>
    <mergeCell ref="D49:D50"/>
    <mergeCell ref="E49:E50"/>
    <mergeCell ref="F49:F50"/>
    <mergeCell ref="G49:G50"/>
    <mergeCell ref="AY47:AY48"/>
    <mergeCell ref="AZ47:AZ48"/>
    <mergeCell ref="BA47:BA48"/>
    <mergeCell ref="BB47:BB48"/>
    <mergeCell ref="BC47:BC48"/>
    <mergeCell ref="BD47:BD48"/>
    <mergeCell ref="AS47:AS48"/>
    <mergeCell ref="AT47:AT48"/>
    <mergeCell ref="AU47:AU48"/>
    <mergeCell ref="AV47:AV48"/>
    <mergeCell ref="AW47:AW48"/>
    <mergeCell ref="AX47:AX48"/>
    <mergeCell ref="AM47:AM48"/>
    <mergeCell ref="AN47:AN48"/>
    <mergeCell ref="AO47:AO48"/>
    <mergeCell ref="AP47:AP48"/>
    <mergeCell ref="AQ47:AQ48"/>
    <mergeCell ref="AR47:AR48"/>
    <mergeCell ref="AG47:AG48"/>
    <mergeCell ref="AH47:AH48"/>
    <mergeCell ref="AI47:AI48"/>
    <mergeCell ref="AJ47:AJ48"/>
    <mergeCell ref="AK47:AK48"/>
    <mergeCell ref="AL47:AL48"/>
    <mergeCell ref="AA47:AA48"/>
    <mergeCell ref="AB47:AB48"/>
    <mergeCell ref="AC47:AC48"/>
    <mergeCell ref="AD47:AD48"/>
    <mergeCell ref="AE47:AE48"/>
    <mergeCell ref="AF47:AF48"/>
    <mergeCell ref="U47:U48"/>
    <mergeCell ref="V47:V48"/>
    <mergeCell ref="W47:W48"/>
    <mergeCell ref="X47:X48"/>
    <mergeCell ref="Y47:Y48"/>
    <mergeCell ref="Z47:Z48"/>
    <mergeCell ref="J47:J48"/>
    <mergeCell ref="N47:N48"/>
    <mergeCell ref="Q47:Q48"/>
    <mergeCell ref="R47:R48"/>
    <mergeCell ref="S47:S48"/>
    <mergeCell ref="T47:T48"/>
    <mergeCell ref="A46:I46"/>
    <mergeCell ref="A47:A48"/>
    <mergeCell ref="B47:B48"/>
    <mergeCell ref="C47:C48"/>
    <mergeCell ref="D47:D48"/>
    <mergeCell ref="E47:E48"/>
    <mergeCell ref="F47:F48"/>
    <mergeCell ref="G47:G48"/>
    <mergeCell ref="H47:H48"/>
    <mergeCell ref="I47:I48"/>
    <mergeCell ref="BB44:BB45"/>
    <mergeCell ref="BC44:BC45"/>
    <mergeCell ref="BD44:BD45"/>
    <mergeCell ref="BE44:BE45"/>
    <mergeCell ref="BF44:BF45"/>
    <mergeCell ref="BG44:BG45"/>
    <mergeCell ref="AV44:AV45"/>
    <mergeCell ref="AW44:AW45"/>
    <mergeCell ref="AX44:AX45"/>
    <mergeCell ref="AY44:AY45"/>
    <mergeCell ref="AZ44:AZ45"/>
    <mergeCell ref="BA44:BA45"/>
    <mergeCell ref="AP44:AP45"/>
    <mergeCell ref="AQ44:AQ45"/>
    <mergeCell ref="AR44:AR45"/>
    <mergeCell ref="AS44:AS45"/>
    <mergeCell ref="AT44:AT45"/>
    <mergeCell ref="AU44:AU45"/>
    <mergeCell ref="AJ44:AJ45"/>
    <mergeCell ref="AK44:AK45"/>
    <mergeCell ref="AL44:AL45"/>
    <mergeCell ref="AM44:AM45"/>
    <mergeCell ref="AN44:AN45"/>
    <mergeCell ref="AO44:AO45"/>
    <mergeCell ref="AD44:AD45"/>
    <mergeCell ref="AE44:AE45"/>
    <mergeCell ref="AF44:AF45"/>
    <mergeCell ref="AG44:AG45"/>
    <mergeCell ref="AH44:AH45"/>
    <mergeCell ref="AI44:AI45"/>
    <mergeCell ref="X44:X45"/>
    <mergeCell ref="Y44:Y45"/>
    <mergeCell ref="Z44:Z45"/>
    <mergeCell ref="AA44:AA45"/>
    <mergeCell ref="AB44:AB45"/>
    <mergeCell ref="AC44:AC45"/>
    <mergeCell ref="R44:R45"/>
    <mergeCell ref="S44:S45"/>
    <mergeCell ref="T44:T45"/>
    <mergeCell ref="U44:U45"/>
    <mergeCell ref="V44:V45"/>
    <mergeCell ref="W44:W45"/>
    <mergeCell ref="G44:G45"/>
    <mergeCell ref="H44:H45"/>
    <mergeCell ref="I44:I45"/>
    <mergeCell ref="J44:J45"/>
    <mergeCell ref="N44:N45"/>
    <mergeCell ref="Q44:Q45"/>
    <mergeCell ref="A44:A45"/>
    <mergeCell ref="B44:B45"/>
    <mergeCell ref="C44:C45"/>
    <mergeCell ref="D44:D45"/>
    <mergeCell ref="E44:E45"/>
    <mergeCell ref="F44:F45"/>
    <mergeCell ref="BB42:BB43"/>
    <mergeCell ref="BC42:BC43"/>
    <mergeCell ref="BD42:BD43"/>
    <mergeCell ref="BE42:BE43"/>
    <mergeCell ref="BF42:BF43"/>
    <mergeCell ref="AD42:AD43"/>
    <mergeCell ref="AE42:AE43"/>
    <mergeCell ref="AF42:AF43"/>
    <mergeCell ref="AG42:AG43"/>
    <mergeCell ref="AH42:AH43"/>
    <mergeCell ref="AI42:AI43"/>
    <mergeCell ref="X42:X43"/>
    <mergeCell ref="Y42:Y43"/>
    <mergeCell ref="Z42:Z43"/>
    <mergeCell ref="AA42:AA43"/>
    <mergeCell ref="AB42:AB43"/>
    <mergeCell ref="AC42:AC43"/>
    <mergeCell ref="R42:R43"/>
    <mergeCell ref="S42:S43"/>
    <mergeCell ref="T42:T43"/>
    <mergeCell ref="BG42:BG43"/>
    <mergeCell ref="AV42:AV43"/>
    <mergeCell ref="AW42:AW43"/>
    <mergeCell ref="AX42:AX43"/>
    <mergeCell ref="AY42:AY43"/>
    <mergeCell ref="AZ42:AZ43"/>
    <mergeCell ref="BA42:BA43"/>
    <mergeCell ref="AP42:AP43"/>
    <mergeCell ref="AQ42:AQ43"/>
    <mergeCell ref="AR42:AR43"/>
    <mergeCell ref="AS42:AS43"/>
    <mergeCell ref="AT42:AT43"/>
    <mergeCell ref="AU42:AU43"/>
    <mergeCell ref="AJ42:AJ43"/>
    <mergeCell ref="AK42:AK43"/>
    <mergeCell ref="AL42:AL43"/>
    <mergeCell ref="AM42:AM43"/>
    <mergeCell ref="AN42:AN43"/>
    <mergeCell ref="AO42:AO43"/>
    <mergeCell ref="U42:U43"/>
    <mergeCell ref="V42:V43"/>
    <mergeCell ref="W42:W43"/>
    <mergeCell ref="G42:G43"/>
    <mergeCell ref="H42:H43"/>
    <mergeCell ref="I42:I43"/>
    <mergeCell ref="J42:J43"/>
    <mergeCell ref="N42:N43"/>
    <mergeCell ref="Q42:Q43"/>
    <mergeCell ref="BD40:BD41"/>
    <mergeCell ref="BE40:BE41"/>
    <mergeCell ref="BF40:BF41"/>
    <mergeCell ref="BG40:BG41"/>
    <mergeCell ref="A42:A43"/>
    <mergeCell ref="B42:B43"/>
    <mergeCell ref="C42:C43"/>
    <mergeCell ref="D42:D43"/>
    <mergeCell ref="E42:E43"/>
    <mergeCell ref="F42:F43"/>
    <mergeCell ref="AX40:AX41"/>
    <mergeCell ref="AY40:AY41"/>
    <mergeCell ref="AZ40:AZ41"/>
    <mergeCell ref="BA40:BA41"/>
    <mergeCell ref="BB40:BB41"/>
    <mergeCell ref="BC40:BC41"/>
    <mergeCell ref="AR40:AR41"/>
    <mergeCell ref="AS40:AS41"/>
    <mergeCell ref="AT40:AT41"/>
    <mergeCell ref="AU40:AU41"/>
    <mergeCell ref="AV40:AV41"/>
    <mergeCell ref="AW40:AW41"/>
    <mergeCell ref="AL40:AL41"/>
    <mergeCell ref="AM40:AM41"/>
    <mergeCell ref="AN40:AN41"/>
    <mergeCell ref="AO40:AO41"/>
    <mergeCell ref="AP40:AP41"/>
    <mergeCell ref="AQ40:AQ41"/>
    <mergeCell ref="AF40:AF41"/>
    <mergeCell ref="AG40:AG41"/>
    <mergeCell ref="AH40:AH41"/>
    <mergeCell ref="AI40:AI41"/>
    <mergeCell ref="AJ40:AJ41"/>
    <mergeCell ref="AK40:AK41"/>
    <mergeCell ref="Z40:Z41"/>
    <mergeCell ref="AA40:AA41"/>
    <mergeCell ref="AB40:AB41"/>
    <mergeCell ref="AC40:AC41"/>
    <mergeCell ref="AD40:AD41"/>
    <mergeCell ref="AE40:AE41"/>
    <mergeCell ref="T40:T41"/>
    <mergeCell ref="U40:U41"/>
    <mergeCell ref="V40:V41"/>
    <mergeCell ref="W40:W41"/>
    <mergeCell ref="X40:X41"/>
    <mergeCell ref="Y40:Y41"/>
    <mergeCell ref="I40:I41"/>
    <mergeCell ref="J40:J41"/>
    <mergeCell ref="N40:N41"/>
    <mergeCell ref="Q40:Q41"/>
    <mergeCell ref="R40:R41"/>
    <mergeCell ref="S40:S41"/>
    <mergeCell ref="BG37:BG38"/>
    <mergeCell ref="A39:I39"/>
    <mergeCell ref="A40:A41"/>
    <mergeCell ref="B40:B41"/>
    <mergeCell ref="C40:C41"/>
    <mergeCell ref="D40:D41"/>
    <mergeCell ref="E40:E41"/>
    <mergeCell ref="F40:F41"/>
    <mergeCell ref="G40:G41"/>
    <mergeCell ref="H40:H41"/>
    <mergeCell ref="BA37:BA38"/>
    <mergeCell ref="BB37:BB38"/>
    <mergeCell ref="BC37:BC38"/>
    <mergeCell ref="BD37:BD38"/>
    <mergeCell ref="BE37:BE38"/>
    <mergeCell ref="BF37:BF38"/>
    <mergeCell ref="AU37:AU38"/>
    <mergeCell ref="AV37:AV38"/>
    <mergeCell ref="AW37:AW38"/>
    <mergeCell ref="AX37:AX38"/>
    <mergeCell ref="AY37:AY38"/>
    <mergeCell ref="AZ37:AZ38"/>
    <mergeCell ref="AO37:AO38"/>
    <mergeCell ref="AP37:AP38"/>
    <mergeCell ref="AQ37:AQ38"/>
    <mergeCell ref="AR37:AR38"/>
    <mergeCell ref="AS37:AS38"/>
    <mergeCell ref="AT37:AT38"/>
    <mergeCell ref="AI37:AI38"/>
    <mergeCell ref="AJ37:AJ38"/>
    <mergeCell ref="AK37:AK38"/>
    <mergeCell ref="AL37:AL38"/>
    <mergeCell ref="AM37:AM38"/>
    <mergeCell ref="AN37:AN38"/>
    <mergeCell ref="AC37:AC38"/>
    <mergeCell ref="AD37:AD38"/>
    <mergeCell ref="AE37:AE38"/>
    <mergeCell ref="AF37:AF38"/>
    <mergeCell ref="AG37:AG38"/>
    <mergeCell ref="AH37:AH38"/>
    <mergeCell ref="W37:W38"/>
    <mergeCell ref="X37:X38"/>
    <mergeCell ref="Y37:Y38"/>
    <mergeCell ref="Z37:Z38"/>
    <mergeCell ref="AA37:AA38"/>
    <mergeCell ref="AB37:AB38"/>
    <mergeCell ref="Q37:Q38"/>
    <mergeCell ref="R37:R38"/>
    <mergeCell ref="S37:S38"/>
    <mergeCell ref="T37:T38"/>
    <mergeCell ref="U37:U38"/>
    <mergeCell ref="V37:V38"/>
    <mergeCell ref="F37:F38"/>
    <mergeCell ref="G37:G38"/>
    <mergeCell ref="H37:H38"/>
    <mergeCell ref="I37:I38"/>
    <mergeCell ref="J37:J38"/>
    <mergeCell ref="N37:N38"/>
    <mergeCell ref="BC35:BC36"/>
    <mergeCell ref="BD35:BD36"/>
    <mergeCell ref="BE35:BE36"/>
    <mergeCell ref="BF35:BF36"/>
    <mergeCell ref="BG35:BG36"/>
    <mergeCell ref="A37:A38"/>
    <mergeCell ref="B37:B38"/>
    <mergeCell ref="C37:C38"/>
    <mergeCell ref="D37:D38"/>
    <mergeCell ref="E37:E38"/>
    <mergeCell ref="AW35:AW36"/>
    <mergeCell ref="AX35:AX36"/>
    <mergeCell ref="AY35:AY36"/>
    <mergeCell ref="AZ35:AZ36"/>
    <mergeCell ref="BA35:BA36"/>
    <mergeCell ref="BB35:BB36"/>
    <mergeCell ref="AQ35:AQ36"/>
    <mergeCell ref="AR35:AR36"/>
    <mergeCell ref="AS35:AS36"/>
    <mergeCell ref="AT35:AT36"/>
    <mergeCell ref="AU35:AU36"/>
    <mergeCell ref="AV35:AV36"/>
    <mergeCell ref="AK35:AK36"/>
    <mergeCell ref="AL35:AL36"/>
    <mergeCell ref="AM35:AM36"/>
    <mergeCell ref="AN35:AN36"/>
    <mergeCell ref="AO35:AO36"/>
    <mergeCell ref="AP35:AP36"/>
    <mergeCell ref="AE35:AE36"/>
    <mergeCell ref="AF35:AF36"/>
    <mergeCell ref="AG35:AG36"/>
    <mergeCell ref="AH35:AH36"/>
    <mergeCell ref="AI35:AI36"/>
    <mergeCell ref="AJ35:AJ36"/>
    <mergeCell ref="Y35:Y36"/>
    <mergeCell ref="Z35:Z36"/>
    <mergeCell ref="AA35:AA36"/>
    <mergeCell ref="AB35:AB36"/>
    <mergeCell ref="AC35:AC36"/>
    <mergeCell ref="AD35:AD36"/>
    <mergeCell ref="S35:S36"/>
    <mergeCell ref="T35:T36"/>
    <mergeCell ref="U35:U36"/>
    <mergeCell ref="V35:V36"/>
    <mergeCell ref="W35:W36"/>
    <mergeCell ref="X35:X36"/>
    <mergeCell ref="H35:H36"/>
    <mergeCell ref="I35:I36"/>
    <mergeCell ref="J35:J36"/>
    <mergeCell ref="N35:N36"/>
    <mergeCell ref="Q35:Q36"/>
    <mergeCell ref="R35:R36"/>
    <mergeCell ref="BE33:BE34"/>
    <mergeCell ref="BF33:BF34"/>
    <mergeCell ref="BG33:BG34"/>
    <mergeCell ref="A35:A36"/>
    <mergeCell ref="B35:B36"/>
    <mergeCell ref="C35:C36"/>
    <mergeCell ref="D35:D36"/>
    <mergeCell ref="E35:E36"/>
    <mergeCell ref="F35:F36"/>
    <mergeCell ref="G35:G36"/>
    <mergeCell ref="AY33:AY34"/>
    <mergeCell ref="AZ33:AZ34"/>
    <mergeCell ref="BA33:BA34"/>
    <mergeCell ref="BB33:BB34"/>
    <mergeCell ref="BC33:BC34"/>
    <mergeCell ref="BD33:BD34"/>
    <mergeCell ref="AS33:AS34"/>
    <mergeCell ref="AT33:AT34"/>
    <mergeCell ref="AU33:AU34"/>
    <mergeCell ref="AV33:AV34"/>
    <mergeCell ref="AW33:AW34"/>
    <mergeCell ref="AX33:AX34"/>
    <mergeCell ref="AM33:AM34"/>
    <mergeCell ref="AN33:AN34"/>
    <mergeCell ref="AO33:AO34"/>
    <mergeCell ref="AP33:AP34"/>
    <mergeCell ref="AQ33:AQ34"/>
    <mergeCell ref="AR33:AR34"/>
    <mergeCell ref="AG33:AG34"/>
    <mergeCell ref="AH33:AH34"/>
    <mergeCell ref="AI33:AI34"/>
    <mergeCell ref="AJ33:AJ34"/>
    <mergeCell ref="AK33:AK34"/>
    <mergeCell ref="AL33:AL34"/>
    <mergeCell ref="AA33:AA34"/>
    <mergeCell ref="AB33:AB34"/>
    <mergeCell ref="AC33:AC34"/>
    <mergeCell ref="AD33:AD34"/>
    <mergeCell ref="AE33:AE34"/>
    <mergeCell ref="AF33:AF34"/>
    <mergeCell ref="U33:U34"/>
    <mergeCell ref="V33:V34"/>
    <mergeCell ref="W33:W34"/>
    <mergeCell ref="X33:X34"/>
    <mergeCell ref="Y33:Y34"/>
    <mergeCell ref="Z33:Z34"/>
    <mergeCell ref="J33:J34"/>
    <mergeCell ref="N33:N34"/>
    <mergeCell ref="Q33:Q34"/>
    <mergeCell ref="R33:R34"/>
    <mergeCell ref="S33:S34"/>
    <mergeCell ref="T33:T34"/>
    <mergeCell ref="BG31:BG32"/>
    <mergeCell ref="A33:A34"/>
    <mergeCell ref="B33:B34"/>
    <mergeCell ref="C33:C34"/>
    <mergeCell ref="D33:D34"/>
    <mergeCell ref="E33:E34"/>
    <mergeCell ref="F33:F34"/>
    <mergeCell ref="G33:G34"/>
    <mergeCell ref="H33:H34"/>
    <mergeCell ref="I33:I34"/>
    <mergeCell ref="BA31:BA32"/>
    <mergeCell ref="BB31:BB32"/>
    <mergeCell ref="BC31:BC32"/>
    <mergeCell ref="BD31:BD32"/>
    <mergeCell ref="BE31:BE32"/>
    <mergeCell ref="BF31:BF32"/>
    <mergeCell ref="AU31:AU32"/>
    <mergeCell ref="AV31:AV32"/>
    <mergeCell ref="AW31:AW32"/>
    <mergeCell ref="AX31:AX32"/>
    <mergeCell ref="AY31:AY32"/>
    <mergeCell ref="AZ31:AZ32"/>
    <mergeCell ref="AO31:AO32"/>
    <mergeCell ref="AP31:AP32"/>
    <mergeCell ref="AQ31:AQ32"/>
    <mergeCell ref="AR31:AR32"/>
    <mergeCell ref="AS31:AS32"/>
    <mergeCell ref="AT31:AT32"/>
    <mergeCell ref="AI31:AI32"/>
    <mergeCell ref="AJ31:AJ32"/>
    <mergeCell ref="AK31:AK32"/>
    <mergeCell ref="AL31:AL32"/>
    <mergeCell ref="AM31:AM32"/>
    <mergeCell ref="AN31:AN32"/>
    <mergeCell ref="AC31:AC32"/>
    <mergeCell ref="AD31:AD32"/>
    <mergeCell ref="AE31:AE32"/>
    <mergeCell ref="AF31:AF32"/>
    <mergeCell ref="AG31:AG32"/>
    <mergeCell ref="AH31:AH32"/>
    <mergeCell ref="W31:W32"/>
    <mergeCell ref="X31:X32"/>
    <mergeCell ref="Y31:Y32"/>
    <mergeCell ref="Z31:Z32"/>
    <mergeCell ref="AA31:AA32"/>
    <mergeCell ref="AB31:AB32"/>
    <mergeCell ref="Q31:Q32"/>
    <mergeCell ref="R31:R32"/>
    <mergeCell ref="S31:S32"/>
    <mergeCell ref="T31:T32"/>
    <mergeCell ref="U31:U32"/>
    <mergeCell ref="V31:V32"/>
    <mergeCell ref="F31:F32"/>
    <mergeCell ref="G31:G32"/>
    <mergeCell ref="H31:H32"/>
    <mergeCell ref="I31:I32"/>
    <mergeCell ref="J31:J32"/>
    <mergeCell ref="N31:N32"/>
    <mergeCell ref="BC29:BC30"/>
    <mergeCell ref="BD29:BD30"/>
    <mergeCell ref="BE29:BE30"/>
    <mergeCell ref="BF29:BF30"/>
    <mergeCell ref="BG29:BG30"/>
    <mergeCell ref="A31:A32"/>
    <mergeCell ref="B31:B32"/>
    <mergeCell ref="C31:C32"/>
    <mergeCell ref="D31:D32"/>
    <mergeCell ref="E31:E32"/>
    <mergeCell ref="AW29:AW30"/>
    <mergeCell ref="AX29:AX30"/>
    <mergeCell ref="AY29:AY30"/>
    <mergeCell ref="AZ29:AZ30"/>
    <mergeCell ref="BA29:BA30"/>
    <mergeCell ref="BB29:BB30"/>
    <mergeCell ref="AQ29:AQ30"/>
    <mergeCell ref="AR29:AR30"/>
    <mergeCell ref="AS29:AS30"/>
    <mergeCell ref="AT29:AT30"/>
    <mergeCell ref="AU29:AU30"/>
    <mergeCell ref="AV29:AV30"/>
    <mergeCell ref="AK29:AK30"/>
    <mergeCell ref="AL29:AL30"/>
    <mergeCell ref="AM29:AM30"/>
    <mergeCell ref="AN29:AN30"/>
    <mergeCell ref="AO29:AO30"/>
    <mergeCell ref="AP29:AP30"/>
    <mergeCell ref="AE29:AE30"/>
    <mergeCell ref="AF29:AF30"/>
    <mergeCell ref="AG29:AG30"/>
    <mergeCell ref="AH29:AH30"/>
    <mergeCell ref="AI29:AI30"/>
    <mergeCell ref="AJ29:AJ30"/>
    <mergeCell ref="Y29:Y30"/>
    <mergeCell ref="Z29:Z30"/>
    <mergeCell ref="AA29:AA30"/>
    <mergeCell ref="AB29:AB30"/>
    <mergeCell ref="AC29:AC30"/>
    <mergeCell ref="AD29:AD30"/>
    <mergeCell ref="S29:S30"/>
    <mergeCell ref="T29:T30"/>
    <mergeCell ref="U29:U30"/>
    <mergeCell ref="V29:V30"/>
    <mergeCell ref="W29:W30"/>
    <mergeCell ref="X29:X30"/>
    <mergeCell ref="H29:H30"/>
    <mergeCell ref="I29:I30"/>
    <mergeCell ref="J29:J30"/>
    <mergeCell ref="N29:N30"/>
    <mergeCell ref="Q29:Q30"/>
    <mergeCell ref="R29:R30"/>
    <mergeCell ref="BE25:BE26"/>
    <mergeCell ref="BF25:BF26"/>
    <mergeCell ref="BG25:BG26"/>
    <mergeCell ref="A29:A30"/>
    <mergeCell ref="B29:B30"/>
    <mergeCell ref="C29:C30"/>
    <mergeCell ref="D29:D30"/>
    <mergeCell ref="E29:E30"/>
    <mergeCell ref="F29:F30"/>
    <mergeCell ref="G29:G30"/>
    <mergeCell ref="AY25:AY26"/>
    <mergeCell ref="AZ25:AZ26"/>
    <mergeCell ref="BA25:BA26"/>
    <mergeCell ref="BB25:BB26"/>
    <mergeCell ref="BC25:BC26"/>
    <mergeCell ref="BD25:BD26"/>
    <mergeCell ref="AS25:AS26"/>
    <mergeCell ref="AT25:AT26"/>
    <mergeCell ref="AU25:AU26"/>
    <mergeCell ref="AV25:AV26"/>
    <mergeCell ref="AW25:AW26"/>
    <mergeCell ref="AX25:AX26"/>
    <mergeCell ref="AM25:AM26"/>
    <mergeCell ref="AN25:AN26"/>
    <mergeCell ref="AO25:AO26"/>
    <mergeCell ref="AP25:AP26"/>
    <mergeCell ref="AQ25:AQ26"/>
    <mergeCell ref="AR25:AR26"/>
    <mergeCell ref="AG25:AG26"/>
    <mergeCell ref="AH25:AH26"/>
    <mergeCell ref="AI25:AI26"/>
    <mergeCell ref="AJ25:AJ26"/>
    <mergeCell ref="AK25:AK26"/>
    <mergeCell ref="AL25:AL26"/>
    <mergeCell ref="AA25:AA26"/>
    <mergeCell ref="AB25:AB26"/>
    <mergeCell ref="AC25:AC26"/>
    <mergeCell ref="AD25:AD26"/>
    <mergeCell ref="AE25:AE26"/>
    <mergeCell ref="AF25:AF26"/>
    <mergeCell ref="U25:U26"/>
    <mergeCell ref="V25:V26"/>
    <mergeCell ref="W25:W26"/>
    <mergeCell ref="X25:X26"/>
    <mergeCell ref="Y25:Y26"/>
    <mergeCell ref="Z25:Z26"/>
    <mergeCell ref="J25:J26"/>
    <mergeCell ref="N25:N26"/>
    <mergeCell ref="Q25:Q26"/>
    <mergeCell ref="R25:R26"/>
    <mergeCell ref="S25:S26"/>
    <mergeCell ref="T25:T26"/>
    <mergeCell ref="BG23:BG24"/>
    <mergeCell ref="A25:A26"/>
    <mergeCell ref="B25:B26"/>
    <mergeCell ref="C25:C26"/>
    <mergeCell ref="D25:D26"/>
    <mergeCell ref="E25:E26"/>
    <mergeCell ref="F25:F26"/>
    <mergeCell ref="G25:G26"/>
    <mergeCell ref="H25:H26"/>
    <mergeCell ref="I25:I26"/>
    <mergeCell ref="BA23:BA24"/>
    <mergeCell ref="BB23:BB24"/>
    <mergeCell ref="BC23:BC24"/>
    <mergeCell ref="BD23:BD24"/>
    <mergeCell ref="BE23:BE24"/>
    <mergeCell ref="BF23:BF24"/>
    <mergeCell ref="AU23:AU24"/>
    <mergeCell ref="AV23:AV24"/>
    <mergeCell ref="AW23:AW24"/>
    <mergeCell ref="AX23:AX24"/>
    <mergeCell ref="AY23:AY24"/>
    <mergeCell ref="AZ23:AZ24"/>
    <mergeCell ref="AO23:AO24"/>
    <mergeCell ref="AP23:AP24"/>
    <mergeCell ref="AQ23:AQ24"/>
    <mergeCell ref="AR23:AR24"/>
    <mergeCell ref="AS23:AS24"/>
    <mergeCell ref="AT23:AT24"/>
    <mergeCell ref="AI23:AI24"/>
    <mergeCell ref="AJ23:AJ24"/>
    <mergeCell ref="AK23:AK24"/>
    <mergeCell ref="AL23:AL24"/>
    <mergeCell ref="AM23:AM24"/>
    <mergeCell ref="AN23:AN24"/>
    <mergeCell ref="AC23:AC24"/>
    <mergeCell ref="AD23:AD24"/>
    <mergeCell ref="AE23:AE24"/>
    <mergeCell ref="AF23:AF24"/>
    <mergeCell ref="AG23:AG24"/>
    <mergeCell ref="AH23:AH24"/>
    <mergeCell ref="W23:W24"/>
    <mergeCell ref="X23:X24"/>
    <mergeCell ref="Y23:Y24"/>
    <mergeCell ref="Z23:Z24"/>
    <mergeCell ref="AA23:AA24"/>
    <mergeCell ref="AB23:AB24"/>
    <mergeCell ref="Q23:Q24"/>
    <mergeCell ref="R23:R24"/>
    <mergeCell ref="S23:S24"/>
    <mergeCell ref="T23:T24"/>
    <mergeCell ref="U23:U24"/>
    <mergeCell ref="V23:V24"/>
    <mergeCell ref="F23:F24"/>
    <mergeCell ref="G23:G24"/>
    <mergeCell ref="H23:H24"/>
    <mergeCell ref="I23:I24"/>
    <mergeCell ref="J23:J24"/>
    <mergeCell ref="N23:N24"/>
    <mergeCell ref="BC21:BC22"/>
    <mergeCell ref="BD21:BD22"/>
    <mergeCell ref="BE21:BE22"/>
    <mergeCell ref="BF21:BF22"/>
    <mergeCell ref="BG21:BG22"/>
    <mergeCell ref="AB21:AB22"/>
    <mergeCell ref="AC21:AC22"/>
    <mergeCell ref="AD21:AD22"/>
    <mergeCell ref="S21:S22"/>
    <mergeCell ref="T21:T22"/>
    <mergeCell ref="U21:U22"/>
    <mergeCell ref="V21:V22"/>
    <mergeCell ref="W21:W22"/>
    <mergeCell ref="X21:X22"/>
    <mergeCell ref="H21:H22"/>
    <mergeCell ref="I21:I22"/>
    <mergeCell ref="J21:J22"/>
    <mergeCell ref="N21:N22"/>
    <mergeCell ref="Q21:Q22"/>
    <mergeCell ref="R21:R22"/>
    <mergeCell ref="A23:A24"/>
    <mergeCell ref="B23:B24"/>
    <mergeCell ref="C23:C24"/>
    <mergeCell ref="D23:D24"/>
    <mergeCell ref="E23:E24"/>
    <mergeCell ref="AW21:AW22"/>
    <mergeCell ref="AX21:AX22"/>
    <mergeCell ref="AY21:AY22"/>
    <mergeCell ref="AZ21:AZ22"/>
    <mergeCell ref="BA21:BA22"/>
    <mergeCell ref="BB21:BB22"/>
    <mergeCell ref="AQ21:AQ22"/>
    <mergeCell ref="AR21:AR22"/>
    <mergeCell ref="AS21:AS22"/>
    <mergeCell ref="AT21:AT22"/>
    <mergeCell ref="AU21:AU22"/>
    <mergeCell ref="AV21:AV22"/>
    <mergeCell ref="AK21:AK22"/>
    <mergeCell ref="AL21:AL22"/>
    <mergeCell ref="AM21:AM22"/>
    <mergeCell ref="AN21:AN22"/>
    <mergeCell ref="AO21:AO22"/>
    <mergeCell ref="AP21:AP22"/>
    <mergeCell ref="AE21:AE22"/>
    <mergeCell ref="AF21:AF22"/>
    <mergeCell ref="AG21:AG22"/>
    <mergeCell ref="AH21:AH22"/>
    <mergeCell ref="AI21:AI22"/>
    <mergeCell ref="AJ21:AJ22"/>
    <mergeCell ref="Y21:Y22"/>
    <mergeCell ref="Z21:Z22"/>
    <mergeCell ref="AA21:AA22"/>
    <mergeCell ref="BE17:BE18"/>
    <mergeCell ref="BF17:BF18"/>
    <mergeCell ref="BG17:BG18"/>
    <mergeCell ref="A21:A22"/>
    <mergeCell ref="B21:B22"/>
    <mergeCell ref="C21:C22"/>
    <mergeCell ref="D21:D22"/>
    <mergeCell ref="E21:E22"/>
    <mergeCell ref="F21:F22"/>
    <mergeCell ref="G21:G22"/>
    <mergeCell ref="AY17:AY18"/>
    <mergeCell ref="AZ17:AZ18"/>
    <mergeCell ref="BA17:BA18"/>
    <mergeCell ref="BB17:BB18"/>
    <mergeCell ref="BC17:BC18"/>
    <mergeCell ref="BD17:BD18"/>
    <mergeCell ref="AS17:AS18"/>
    <mergeCell ref="AT17:AT18"/>
    <mergeCell ref="AU17:AU18"/>
    <mergeCell ref="AV17:AV18"/>
    <mergeCell ref="AW17:AW18"/>
    <mergeCell ref="AX17:AX18"/>
    <mergeCell ref="AM17:AM18"/>
    <mergeCell ref="AN17:AN18"/>
    <mergeCell ref="AO17:AO18"/>
    <mergeCell ref="AP17:AP18"/>
    <mergeCell ref="AQ17:AQ18"/>
    <mergeCell ref="AR17:AR18"/>
    <mergeCell ref="AG17:AG18"/>
    <mergeCell ref="AH17:AH18"/>
    <mergeCell ref="AI17:AI18"/>
    <mergeCell ref="AJ17:AJ18"/>
    <mergeCell ref="AK17:AK18"/>
    <mergeCell ref="AL17:AL18"/>
    <mergeCell ref="AA17:AA18"/>
    <mergeCell ref="AB17:AB18"/>
    <mergeCell ref="AC17:AC18"/>
    <mergeCell ref="AD17:AD18"/>
    <mergeCell ref="AE17:AE18"/>
    <mergeCell ref="AF17:AF18"/>
    <mergeCell ref="U17:U18"/>
    <mergeCell ref="V17:V18"/>
    <mergeCell ref="W17:W18"/>
    <mergeCell ref="X17:X18"/>
    <mergeCell ref="Y17:Y18"/>
    <mergeCell ref="Z17:Z18"/>
    <mergeCell ref="J17:J18"/>
    <mergeCell ref="N17:N18"/>
    <mergeCell ref="Q17:Q18"/>
    <mergeCell ref="R17:R18"/>
    <mergeCell ref="S17:S18"/>
    <mergeCell ref="T17:T18"/>
    <mergeCell ref="BG15:BG16"/>
    <mergeCell ref="A17:A18"/>
    <mergeCell ref="B17:B18"/>
    <mergeCell ref="C17:C18"/>
    <mergeCell ref="D17:D18"/>
    <mergeCell ref="E17:E18"/>
    <mergeCell ref="F17:F18"/>
    <mergeCell ref="G17:G18"/>
    <mergeCell ref="H17:H18"/>
    <mergeCell ref="I17:I18"/>
    <mergeCell ref="BA15:BA16"/>
    <mergeCell ref="BB15:BB16"/>
    <mergeCell ref="BC15:BC16"/>
    <mergeCell ref="BD15:BD16"/>
    <mergeCell ref="BE15:BE16"/>
    <mergeCell ref="BF15:BF16"/>
    <mergeCell ref="AU15:AU16"/>
    <mergeCell ref="AV15:AV16"/>
    <mergeCell ref="AW15:AW16"/>
    <mergeCell ref="AX15:AX16"/>
    <mergeCell ref="AY15:AY16"/>
    <mergeCell ref="AZ15:AZ16"/>
    <mergeCell ref="AO15:AO16"/>
    <mergeCell ref="AP15:AP16"/>
    <mergeCell ref="AQ15:AQ16"/>
    <mergeCell ref="AR15:AR16"/>
    <mergeCell ref="AS15:AS16"/>
    <mergeCell ref="AT15:AT16"/>
    <mergeCell ref="AI15:AI16"/>
    <mergeCell ref="AJ15:AJ16"/>
    <mergeCell ref="AK15:AK16"/>
    <mergeCell ref="AL15:AL16"/>
    <mergeCell ref="AM15:AM16"/>
    <mergeCell ref="AN15:AN16"/>
    <mergeCell ref="AC15:AC16"/>
    <mergeCell ref="AD15:AD16"/>
    <mergeCell ref="AE15:AE16"/>
    <mergeCell ref="AF15:AF16"/>
    <mergeCell ref="AG15:AG16"/>
    <mergeCell ref="AH15:AH16"/>
    <mergeCell ref="W15:W16"/>
    <mergeCell ref="X15:X16"/>
    <mergeCell ref="Y15:Y16"/>
    <mergeCell ref="Z15:Z16"/>
    <mergeCell ref="AA15:AA16"/>
    <mergeCell ref="AB15:AB16"/>
    <mergeCell ref="Q15:Q16"/>
    <mergeCell ref="R15:R16"/>
    <mergeCell ref="S15:S16"/>
    <mergeCell ref="T15:T16"/>
    <mergeCell ref="U15:U16"/>
    <mergeCell ref="V15:V16"/>
    <mergeCell ref="F15:F16"/>
    <mergeCell ref="G15:G16"/>
    <mergeCell ref="H15:H16"/>
    <mergeCell ref="I15:I16"/>
    <mergeCell ref="J15:J16"/>
    <mergeCell ref="N15:N16"/>
    <mergeCell ref="BC13:BC14"/>
    <mergeCell ref="BD13:BD14"/>
    <mergeCell ref="BE13:BE14"/>
    <mergeCell ref="BF13:BF14"/>
    <mergeCell ref="BG13:BG14"/>
    <mergeCell ref="A15:A16"/>
    <mergeCell ref="B15:B16"/>
    <mergeCell ref="C15:C16"/>
    <mergeCell ref="D15:D16"/>
    <mergeCell ref="E15:E16"/>
    <mergeCell ref="AW13:AW14"/>
    <mergeCell ref="AX13:AX14"/>
    <mergeCell ref="AY13:AY14"/>
    <mergeCell ref="AZ13:AZ14"/>
    <mergeCell ref="BA13:BA14"/>
    <mergeCell ref="BB13:BB14"/>
    <mergeCell ref="AQ13:AQ14"/>
    <mergeCell ref="AR13:AR14"/>
    <mergeCell ref="AS13:AS14"/>
    <mergeCell ref="AT13:AT14"/>
    <mergeCell ref="AU13:AU14"/>
    <mergeCell ref="AV13:AV14"/>
    <mergeCell ref="AK13:AK14"/>
    <mergeCell ref="AL13:AL14"/>
    <mergeCell ref="AM13:AM14"/>
    <mergeCell ref="AN13:AN14"/>
    <mergeCell ref="AO13:AO14"/>
    <mergeCell ref="AP13:AP14"/>
    <mergeCell ref="AE13:AE14"/>
    <mergeCell ref="AF13:AF14"/>
    <mergeCell ref="AG13:AG14"/>
    <mergeCell ref="AH13:AH14"/>
    <mergeCell ref="AI13:AI14"/>
    <mergeCell ref="AJ13:AJ14"/>
    <mergeCell ref="Y13:Y14"/>
    <mergeCell ref="Z13:Z14"/>
    <mergeCell ref="AA13:AA14"/>
    <mergeCell ref="AB13:AB14"/>
    <mergeCell ref="AC13:AC14"/>
    <mergeCell ref="AD13:AD14"/>
    <mergeCell ref="S13:S14"/>
    <mergeCell ref="T13:T14"/>
    <mergeCell ref="U13:U14"/>
    <mergeCell ref="V13:V14"/>
    <mergeCell ref="W13:W14"/>
    <mergeCell ref="X13:X14"/>
    <mergeCell ref="H13:H14"/>
    <mergeCell ref="I13:I14"/>
    <mergeCell ref="J13:J14"/>
    <mergeCell ref="N13:N14"/>
    <mergeCell ref="Q13:Q14"/>
    <mergeCell ref="R13:R14"/>
    <mergeCell ref="BE11:BE12"/>
    <mergeCell ref="BF11:BF12"/>
    <mergeCell ref="BG11:BG12"/>
    <mergeCell ref="A13:A14"/>
    <mergeCell ref="B13:B14"/>
    <mergeCell ref="C13:C14"/>
    <mergeCell ref="D13:D14"/>
    <mergeCell ref="E13:E14"/>
    <mergeCell ref="F13:F14"/>
    <mergeCell ref="G13:G14"/>
    <mergeCell ref="AY11:AY12"/>
    <mergeCell ref="AZ11:AZ12"/>
    <mergeCell ref="BA11:BA12"/>
    <mergeCell ref="BB11:BB12"/>
    <mergeCell ref="BC11:BC12"/>
    <mergeCell ref="BD11:BD12"/>
    <mergeCell ref="AS11:AS12"/>
    <mergeCell ref="AT11:AT12"/>
    <mergeCell ref="AU11:AU12"/>
    <mergeCell ref="AV11:AV12"/>
    <mergeCell ref="AW11:AW12"/>
    <mergeCell ref="AX11:AX12"/>
    <mergeCell ref="AM11:AM12"/>
    <mergeCell ref="AN11:AN12"/>
    <mergeCell ref="AO11:AO12"/>
    <mergeCell ref="AP11:AP12"/>
    <mergeCell ref="AQ11:AQ12"/>
    <mergeCell ref="AR11:AR12"/>
    <mergeCell ref="AG11:AG12"/>
    <mergeCell ref="AH11:AH12"/>
    <mergeCell ref="AI11:AI12"/>
    <mergeCell ref="AJ11:AJ12"/>
    <mergeCell ref="AK11:AK12"/>
    <mergeCell ref="AL11:AL12"/>
    <mergeCell ref="AA11:AA12"/>
    <mergeCell ref="AB11:AB12"/>
    <mergeCell ref="AC11:AC12"/>
    <mergeCell ref="AD11:AD12"/>
    <mergeCell ref="AE11:AE12"/>
    <mergeCell ref="AF11:AF12"/>
    <mergeCell ref="U11:U12"/>
    <mergeCell ref="V11:V12"/>
    <mergeCell ref="W11:W12"/>
    <mergeCell ref="X11:X12"/>
    <mergeCell ref="Y11:Y12"/>
    <mergeCell ref="Z11:Z12"/>
    <mergeCell ref="J11:J12"/>
    <mergeCell ref="N11:N12"/>
    <mergeCell ref="Q11:Q12"/>
    <mergeCell ref="R11:R12"/>
    <mergeCell ref="S11:S12"/>
    <mergeCell ref="T11:T12"/>
    <mergeCell ref="BG9:BG10"/>
    <mergeCell ref="A11:A12"/>
    <mergeCell ref="B11:B12"/>
    <mergeCell ref="C11:C12"/>
    <mergeCell ref="D11:D12"/>
    <mergeCell ref="E11:E12"/>
    <mergeCell ref="F11:F12"/>
    <mergeCell ref="G11:G12"/>
    <mergeCell ref="H11:H12"/>
    <mergeCell ref="I11:I12"/>
    <mergeCell ref="BA9:BA10"/>
    <mergeCell ref="BB9:BB10"/>
    <mergeCell ref="BC9:BC10"/>
    <mergeCell ref="BD9:BD10"/>
    <mergeCell ref="BE9:BE10"/>
    <mergeCell ref="BF9:BF10"/>
    <mergeCell ref="AU9:AU10"/>
    <mergeCell ref="AV9:AV10"/>
    <mergeCell ref="AW9:AW10"/>
    <mergeCell ref="AX9:AX10"/>
    <mergeCell ref="AY9:AY10"/>
    <mergeCell ref="AZ9:AZ10"/>
    <mergeCell ref="AO9:AO10"/>
    <mergeCell ref="AP9:AP10"/>
    <mergeCell ref="AQ9:AQ10"/>
    <mergeCell ref="AR9:AR10"/>
    <mergeCell ref="AS9:AS10"/>
    <mergeCell ref="AT9:AT10"/>
    <mergeCell ref="AI9:AI10"/>
    <mergeCell ref="AJ9:AJ10"/>
    <mergeCell ref="AK9:AK10"/>
    <mergeCell ref="AL9:AL10"/>
    <mergeCell ref="AM9:AM10"/>
    <mergeCell ref="AN9:AN10"/>
    <mergeCell ref="AC9:AC10"/>
    <mergeCell ref="AD9:AD10"/>
    <mergeCell ref="AE9:AE10"/>
    <mergeCell ref="AF9:AF10"/>
    <mergeCell ref="AG9:AG10"/>
    <mergeCell ref="AH9:AH10"/>
    <mergeCell ref="W9:W10"/>
    <mergeCell ref="X9:X10"/>
    <mergeCell ref="Y9:Y10"/>
    <mergeCell ref="Z9:Z10"/>
    <mergeCell ref="AA9:AA10"/>
    <mergeCell ref="AB9:AB10"/>
    <mergeCell ref="A9:A10"/>
    <mergeCell ref="B9:B10"/>
    <mergeCell ref="C9:C10"/>
    <mergeCell ref="D9:D10"/>
    <mergeCell ref="E9:E10"/>
    <mergeCell ref="Q9:Q10"/>
    <mergeCell ref="R9:R10"/>
    <mergeCell ref="S9:S10"/>
    <mergeCell ref="T9:T10"/>
    <mergeCell ref="U9:U10"/>
    <mergeCell ref="V9:V10"/>
    <mergeCell ref="F9:F10"/>
    <mergeCell ref="G9:G10"/>
    <mergeCell ref="H9:H10"/>
    <mergeCell ref="I9:I10"/>
    <mergeCell ref="J9:J10"/>
    <mergeCell ref="N9:N10"/>
    <mergeCell ref="BE5:BE6"/>
    <mergeCell ref="BF5:BF6"/>
    <mergeCell ref="BG5:BG6"/>
    <mergeCell ref="AY5:AY6"/>
    <mergeCell ref="AZ5:AZ6"/>
    <mergeCell ref="BA5:BA6"/>
    <mergeCell ref="BB5:BB6"/>
    <mergeCell ref="BC5:BC6"/>
    <mergeCell ref="BD5:BD6"/>
    <mergeCell ref="AS5:AS6"/>
    <mergeCell ref="AT5:AT6"/>
    <mergeCell ref="AU5:AU6"/>
    <mergeCell ref="AV5:AV6"/>
    <mergeCell ref="AW5:AW6"/>
    <mergeCell ref="AX5:AX6"/>
    <mergeCell ref="AM5:AM6"/>
    <mergeCell ref="AN5:AN6"/>
    <mergeCell ref="AO5:AO6"/>
    <mergeCell ref="AP5:AP6"/>
    <mergeCell ref="AQ5:AQ6"/>
    <mergeCell ref="AR5:AR6"/>
    <mergeCell ref="AK5:AK6"/>
    <mergeCell ref="AL5:AL6"/>
    <mergeCell ref="AA5:AA6"/>
    <mergeCell ref="AB5:AB6"/>
    <mergeCell ref="AC5:AC6"/>
    <mergeCell ref="AD5:AD6"/>
    <mergeCell ref="AE5:AE6"/>
    <mergeCell ref="AF5:AF6"/>
    <mergeCell ref="U5:U6"/>
    <mergeCell ref="V5:V6"/>
    <mergeCell ref="W5:W6"/>
    <mergeCell ref="X5:X6"/>
    <mergeCell ref="Y5:Y6"/>
    <mergeCell ref="Z5:Z6"/>
    <mergeCell ref="J5:J6"/>
    <mergeCell ref="N5:N6"/>
    <mergeCell ref="Q5:Q6"/>
    <mergeCell ref="R5:R6"/>
    <mergeCell ref="S5:S6"/>
    <mergeCell ref="T5:T6"/>
    <mergeCell ref="AG5:AG6"/>
    <mergeCell ref="AH5:AH6"/>
    <mergeCell ref="AI5:AI6"/>
    <mergeCell ref="AJ5:AJ6"/>
    <mergeCell ref="BG3:BG4"/>
    <mergeCell ref="A5:A6"/>
    <mergeCell ref="B5:B6"/>
    <mergeCell ref="C5:C6"/>
    <mergeCell ref="D5:D6"/>
    <mergeCell ref="E5:E6"/>
    <mergeCell ref="F5:F6"/>
    <mergeCell ref="G5:G6"/>
    <mergeCell ref="H5:H6"/>
    <mergeCell ref="I5:I6"/>
    <mergeCell ref="BA3:BA4"/>
    <mergeCell ref="BB3:BB4"/>
    <mergeCell ref="BC3:BC4"/>
    <mergeCell ref="BD3:BD4"/>
    <mergeCell ref="BE3:BE4"/>
    <mergeCell ref="BF3:BF4"/>
    <mergeCell ref="AU3:AU4"/>
    <mergeCell ref="AV3:AV4"/>
    <mergeCell ref="AW3:AW4"/>
    <mergeCell ref="AX3:AX4"/>
    <mergeCell ref="AY3:AY4"/>
    <mergeCell ref="AZ3:AZ4"/>
    <mergeCell ref="AO3:AO4"/>
    <mergeCell ref="AP3:AP4"/>
    <mergeCell ref="AQ3:AQ4"/>
    <mergeCell ref="AR3:AR4"/>
    <mergeCell ref="AS3:AS4"/>
    <mergeCell ref="AT3:AT4"/>
    <mergeCell ref="AI3:AI4"/>
    <mergeCell ref="AJ3:AJ4"/>
    <mergeCell ref="AK3:AK4"/>
    <mergeCell ref="AL3:AL4"/>
    <mergeCell ref="AM3:AM4"/>
    <mergeCell ref="AN3:AN4"/>
    <mergeCell ref="AC3:AC4"/>
    <mergeCell ref="AD3:AD4"/>
    <mergeCell ref="AE3:AE4"/>
    <mergeCell ref="AF3:AF4"/>
    <mergeCell ref="AG3:AG4"/>
    <mergeCell ref="AH3:AH4"/>
    <mergeCell ref="W3:W4"/>
    <mergeCell ref="X3:X4"/>
    <mergeCell ref="Y3:Y4"/>
    <mergeCell ref="Z3:Z4"/>
    <mergeCell ref="AA3:AA4"/>
    <mergeCell ref="AB3:AB4"/>
    <mergeCell ref="A1:O1"/>
    <mergeCell ref="A2:O2"/>
    <mergeCell ref="S3:S4"/>
    <mergeCell ref="T3:T4"/>
    <mergeCell ref="U3:U4"/>
    <mergeCell ref="V3:V4"/>
  </mergeCells>
  <phoneticPr fontId="61" type="noConversion"/>
  <pageMargins left="0" right="0" top="0" bottom="0" header="0" footer="0"/>
  <pageSetup paperSize="9" scale="6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1"/>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62" sqref="A62:I62"/>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24"/>
      <c r="Q1" s="24"/>
      <c r="R1" s="24"/>
    </row>
    <row r="2" spans="1:59" ht="31.8">
      <c r="A2" s="82" t="s">
        <v>13</v>
      </c>
      <c r="B2" s="82"/>
      <c r="C2" s="82"/>
      <c r="D2" s="82"/>
      <c r="E2" s="82"/>
      <c r="F2" s="82"/>
      <c r="G2" s="82"/>
      <c r="H2" s="82"/>
      <c r="I2" s="82"/>
      <c r="J2" s="82"/>
      <c r="K2" s="82"/>
      <c r="L2" s="82"/>
      <c r="M2" s="82"/>
      <c r="N2" s="82"/>
      <c r="O2" s="82"/>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85">
        <v>45262</v>
      </c>
      <c r="B5" s="87" t="s">
        <v>37</v>
      </c>
      <c r="C5" s="89">
        <v>1</v>
      </c>
      <c r="D5" s="91" t="s">
        <v>38</v>
      </c>
      <c r="E5" s="89">
        <v>84217</v>
      </c>
      <c r="F5" s="89" t="s">
        <v>49</v>
      </c>
      <c r="G5" s="93" t="s">
        <v>55</v>
      </c>
      <c r="H5" s="90" t="s">
        <v>50</v>
      </c>
      <c r="I5" s="90">
        <v>1739</v>
      </c>
      <c r="J5" s="90">
        <v>1739</v>
      </c>
      <c r="K5" s="20">
        <v>0</v>
      </c>
      <c r="L5" s="20">
        <v>0</v>
      </c>
      <c r="M5" s="20">
        <v>0</v>
      </c>
      <c r="N5" s="97">
        <f>O6/L6</f>
        <v>0.56871765382403683</v>
      </c>
      <c r="O5" s="21">
        <f t="shared" ref="O5:O40" si="0">L5-M5</f>
        <v>0</v>
      </c>
      <c r="P5" s="27">
        <v>0</v>
      </c>
      <c r="Q5" s="99">
        <f>+L6-P6</f>
        <v>0</v>
      </c>
      <c r="R5" s="85"/>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6"/>
      <c r="B6" s="88"/>
      <c r="C6" s="90"/>
      <c r="D6" s="92"/>
      <c r="E6" s="90"/>
      <c r="F6" s="90"/>
      <c r="G6" s="94"/>
      <c r="H6" s="95"/>
      <c r="I6" s="95"/>
      <c r="J6" s="95"/>
      <c r="K6" s="22">
        <f>1263+116+73+47+64+174+2</f>
        <v>1739</v>
      </c>
      <c r="L6" s="18">
        <f>1263+116+73+10+10+96+169+2</f>
        <v>1739</v>
      </c>
      <c r="M6" s="18">
        <f>507+54+29+10+51+97+2</f>
        <v>750</v>
      </c>
      <c r="N6" s="98"/>
      <c r="O6" s="19">
        <f t="shared" si="0"/>
        <v>989</v>
      </c>
      <c r="P6" s="22">
        <f>1155+144+108+10+45+61+144+72</f>
        <v>1739</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85">
        <v>45262</v>
      </c>
      <c r="B7" s="87" t="s">
        <v>37</v>
      </c>
      <c r="C7" s="89">
        <v>1</v>
      </c>
      <c r="D7" s="91" t="s">
        <v>38</v>
      </c>
      <c r="E7" s="89">
        <v>84217</v>
      </c>
      <c r="F7" s="89" t="s">
        <v>49</v>
      </c>
      <c r="G7" s="93" t="s">
        <v>55</v>
      </c>
      <c r="H7" s="90" t="s">
        <v>39</v>
      </c>
      <c r="I7" s="90">
        <v>4918</v>
      </c>
      <c r="J7" s="90">
        <v>2258</v>
      </c>
      <c r="K7" s="20">
        <v>0</v>
      </c>
      <c r="L7" s="20">
        <v>0</v>
      </c>
      <c r="M7" s="20">
        <v>0</v>
      </c>
      <c r="N7" s="97">
        <f>O8/L8</f>
        <v>0.65560538116591927</v>
      </c>
      <c r="O7" s="21">
        <f t="shared" si="0"/>
        <v>0</v>
      </c>
      <c r="P7" s="27">
        <v>0</v>
      </c>
      <c r="Q7" s="99">
        <f>+L8-P8</f>
        <v>36</v>
      </c>
      <c r="R7" s="85" t="s">
        <v>64</v>
      </c>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6"/>
      <c r="B8" s="88"/>
      <c r="C8" s="90"/>
      <c r="D8" s="92"/>
      <c r="E8" s="90"/>
      <c r="F8" s="90"/>
      <c r="G8" s="94"/>
      <c r="H8" s="95"/>
      <c r="I8" s="95"/>
      <c r="J8" s="95"/>
      <c r="K8" s="22">
        <f>2230</f>
        <v>2230</v>
      </c>
      <c r="L8" s="18">
        <f>2230</f>
        <v>2230</v>
      </c>
      <c r="M8" s="18">
        <f>768</f>
        <v>768</v>
      </c>
      <c r="N8" s="98"/>
      <c r="O8" s="19">
        <f t="shared" si="0"/>
        <v>1462</v>
      </c>
      <c r="P8" s="22">
        <f>2194</f>
        <v>2194</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5.75" customHeight="1">
      <c r="A9" s="85">
        <v>45262</v>
      </c>
      <c r="B9" s="87" t="s">
        <v>37</v>
      </c>
      <c r="C9" s="89">
        <v>1</v>
      </c>
      <c r="D9" s="91" t="s">
        <v>38</v>
      </c>
      <c r="E9" s="89">
        <v>84217</v>
      </c>
      <c r="F9" s="89" t="s">
        <v>49</v>
      </c>
      <c r="G9" s="93" t="s">
        <v>61</v>
      </c>
      <c r="H9" s="90" t="s">
        <v>41</v>
      </c>
      <c r="I9" s="90">
        <v>1883</v>
      </c>
      <c r="J9" s="90">
        <v>1883</v>
      </c>
      <c r="K9" s="20">
        <v>63</v>
      </c>
      <c r="L9" s="20">
        <v>255</v>
      </c>
      <c r="M9" s="20">
        <v>65</v>
      </c>
      <c r="N9" s="97">
        <f>O10/L10</f>
        <v>0.76653944020356235</v>
      </c>
      <c r="O9" s="21">
        <f t="shared" si="0"/>
        <v>190</v>
      </c>
      <c r="P9" s="27">
        <v>181</v>
      </c>
      <c r="Q9" s="99">
        <f>+L10-P10</f>
        <v>251</v>
      </c>
      <c r="R9" s="85"/>
      <c r="S9" s="96">
        <v>32</v>
      </c>
      <c r="T9" s="96">
        <v>20</v>
      </c>
      <c r="U9" s="96">
        <v>9</v>
      </c>
      <c r="V9" s="96"/>
      <c r="W9" s="96"/>
      <c r="X9" s="96">
        <v>3</v>
      </c>
      <c r="Y9" s="96">
        <v>5</v>
      </c>
      <c r="Z9" s="96"/>
      <c r="AA9" s="96"/>
      <c r="AB9" s="96"/>
      <c r="AC9" s="96">
        <v>40</v>
      </c>
      <c r="AD9" s="96">
        <v>6</v>
      </c>
      <c r="AE9" s="96">
        <v>20</v>
      </c>
      <c r="AF9" s="96">
        <v>20</v>
      </c>
      <c r="AG9" s="96"/>
      <c r="AH9" s="96">
        <v>15</v>
      </c>
      <c r="AI9" s="96"/>
      <c r="AJ9" s="96"/>
      <c r="AK9" s="96"/>
      <c r="AL9" s="96">
        <v>20</v>
      </c>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6"/>
      <c r="B10" s="88"/>
      <c r="C10" s="90"/>
      <c r="D10" s="92"/>
      <c r="E10" s="90"/>
      <c r="F10" s="90"/>
      <c r="G10" s="94"/>
      <c r="H10" s="95"/>
      <c r="I10" s="95"/>
      <c r="J10" s="95"/>
      <c r="K10" s="22">
        <f>197+105+183+94+214+167+177+130+264+162+127+63</f>
        <v>1883</v>
      </c>
      <c r="L10" s="18">
        <f>197+105+183+30+30+262+272+188+20+20+10+255</f>
        <v>1572</v>
      </c>
      <c r="M10" s="18">
        <f>20+34+27+8+72+93+39+5+4+65</f>
        <v>367</v>
      </c>
      <c r="N10" s="98"/>
      <c r="O10" s="19">
        <f t="shared" si="0"/>
        <v>1205</v>
      </c>
      <c r="P10" s="22">
        <f>20+138+161+8+180+320+119+34+33+127+181</f>
        <v>1321</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5.75" customHeight="1">
      <c r="A11" s="85">
        <v>45262</v>
      </c>
      <c r="B11" s="87" t="s">
        <v>37</v>
      </c>
      <c r="C11" s="89">
        <v>1</v>
      </c>
      <c r="D11" s="91" t="s">
        <v>38</v>
      </c>
      <c r="E11" s="89">
        <v>84217</v>
      </c>
      <c r="F11" s="89" t="s">
        <v>49</v>
      </c>
      <c r="G11" s="93" t="s">
        <v>63</v>
      </c>
      <c r="H11" s="90" t="s">
        <v>47</v>
      </c>
      <c r="I11" s="90">
        <v>2103</v>
      </c>
      <c r="J11" s="90">
        <v>2103</v>
      </c>
      <c r="K11" s="20">
        <v>15</v>
      </c>
      <c r="L11" s="20">
        <v>460</v>
      </c>
      <c r="M11" s="20">
        <v>223</v>
      </c>
      <c r="N11" s="97">
        <f>O12/L12</f>
        <v>0.55323590814196244</v>
      </c>
      <c r="O11" s="21">
        <f t="shared" si="0"/>
        <v>237</v>
      </c>
      <c r="P11" s="27">
        <v>228</v>
      </c>
      <c r="Q11" s="99">
        <f>+L12-P12</f>
        <v>534</v>
      </c>
      <c r="R11" s="85"/>
      <c r="S11" s="96">
        <v>112</v>
      </c>
      <c r="T11" s="96">
        <v>5</v>
      </c>
      <c r="U11" s="96"/>
      <c r="V11" s="96"/>
      <c r="W11" s="96"/>
      <c r="X11" s="96">
        <v>4</v>
      </c>
      <c r="Y11" s="96"/>
      <c r="Z11" s="96"/>
      <c r="AA11" s="96"/>
      <c r="AB11" s="96"/>
      <c r="AC11" s="96">
        <v>20</v>
      </c>
      <c r="AD11" s="96"/>
      <c r="AE11" s="96">
        <v>6</v>
      </c>
      <c r="AF11" s="96">
        <v>13</v>
      </c>
      <c r="AG11" s="96">
        <v>11</v>
      </c>
      <c r="AH11" s="96">
        <v>21</v>
      </c>
      <c r="AI11" s="96"/>
      <c r="AJ11" s="96"/>
      <c r="AK11" s="96"/>
      <c r="AL11" s="96">
        <v>45</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6"/>
      <c r="B12" s="88"/>
      <c r="C12" s="90"/>
      <c r="D12" s="92"/>
      <c r="E12" s="90"/>
      <c r="F12" s="90"/>
      <c r="G12" s="94"/>
      <c r="H12" s="95"/>
      <c r="I12" s="95"/>
      <c r="J12" s="95"/>
      <c r="K12" s="22">
        <f>646+325+235+397+185+288+15</f>
        <v>2091</v>
      </c>
      <c r="L12" s="18">
        <f>180+224+270+114+100+89+460</f>
        <v>1437</v>
      </c>
      <c r="M12" s="18">
        <f>49+99+127+52+44+48+223</f>
        <v>642</v>
      </c>
      <c r="N12" s="98"/>
      <c r="O12" s="19">
        <f t="shared" si="0"/>
        <v>795</v>
      </c>
      <c r="P12" s="22">
        <f>49+102+165+80+231+48+228</f>
        <v>903</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5.75" customHeight="1">
      <c r="A13" s="85">
        <v>45262</v>
      </c>
      <c r="B13" s="87" t="s">
        <v>37</v>
      </c>
      <c r="C13" s="89">
        <v>1</v>
      </c>
      <c r="D13" s="91" t="s">
        <v>38</v>
      </c>
      <c r="E13" s="89">
        <v>84217</v>
      </c>
      <c r="F13" s="89" t="s">
        <v>49</v>
      </c>
      <c r="G13" s="93" t="s">
        <v>63</v>
      </c>
      <c r="H13" s="90" t="s">
        <v>39</v>
      </c>
      <c r="I13" s="90">
        <v>4965</v>
      </c>
      <c r="J13" s="90">
        <v>965</v>
      </c>
      <c r="K13" s="20">
        <v>57</v>
      </c>
      <c r="L13" s="20">
        <v>50</v>
      </c>
      <c r="M13" s="20">
        <v>10</v>
      </c>
      <c r="N13" s="97">
        <f>O14/L14</f>
        <v>0.87341772151898733</v>
      </c>
      <c r="O13" s="21">
        <f t="shared" si="0"/>
        <v>40</v>
      </c>
      <c r="P13" s="27">
        <v>10</v>
      </c>
      <c r="Q13" s="99">
        <f>+L14-P14</f>
        <v>78</v>
      </c>
      <c r="R13" s="85"/>
      <c r="S13" s="96"/>
      <c r="T13" s="96"/>
      <c r="U13" s="96">
        <v>7</v>
      </c>
      <c r="V13" s="96"/>
      <c r="W13" s="96"/>
      <c r="X13" s="96">
        <v>3</v>
      </c>
      <c r="Y13" s="96"/>
      <c r="Z13" s="96"/>
      <c r="AA13" s="96"/>
      <c r="AB13" s="96"/>
      <c r="AC13" s="96">
        <v>5</v>
      </c>
      <c r="AD13" s="96"/>
      <c r="AE13" s="96"/>
      <c r="AF13" s="96"/>
      <c r="AG13" s="96"/>
      <c r="AH13" s="96">
        <v>14</v>
      </c>
      <c r="AI13" s="96"/>
      <c r="AJ13" s="96"/>
      <c r="AK13" s="96"/>
      <c r="AL13" s="96">
        <v>11</v>
      </c>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6"/>
      <c r="B14" s="88"/>
      <c r="C14" s="90"/>
      <c r="D14" s="92"/>
      <c r="E14" s="90"/>
      <c r="F14" s="90"/>
      <c r="G14" s="94"/>
      <c r="H14" s="95"/>
      <c r="I14" s="95"/>
      <c r="J14" s="95"/>
      <c r="K14" s="22">
        <f>5+13+70+100+67+52+57</f>
        <v>364</v>
      </c>
      <c r="L14" s="18">
        <f>5+13+60+10+10+10+50</f>
        <v>158</v>
      </c>
      <c r="M14" s="18">
        <f>10+10</f>
        <v>20</v>
      </c>
      <c r="N14" s="98"/>
      <c r="O14" s="19">
        <f t="shared" si="0"/>
        <v>138</v>
      </c>
      <c r="P14" s="22">
        <f>10+30+30+10</f>
        <v>80</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85">
        <v>45262</v>
      </c>
      <c r="B15" s="87" t="s">
        <v>37</v>
      </c>
      <c r="C15" s="89">
        <v>1</v>
      </c>
      <c r="D15" s="91" t="s">
        <v>38</v>
      </c>
      <c r="E15" s="89">
        <v>84217</v>
      </c>
      <c r="F15" s="89" t="s">
        <v>49</v>
      </c>
      <c r="G15" s="93" t="s">
        <v>63</v>
      </c>
      <c r="H15" s="90" t="s">
        <v>41</v>
      </c>
      <c r="I15" s="90">
        <v>1219</v>
      </c>
      <c r="J15" s="90">
        <v>1219</v>
      </c>
      <c r="K15" s="20">
        <v>57</v>
      </c>
      <c r="L15" s="20">
        <v>10</v>
      </c>
      <c r="M15" s="20">
        <v>0</v>
      </c>
      <c r="N15" s="97">
        <f>O16/L16</f>
        <v>0.62105263157894741</v>
      </c>
      <c r="O15" s="21">
        <f t="shared" si="0"/>
        <v>10</v>
      </c>
      <c r="P15" s="27">
        <v>10</v>
      </c>
      <c r="Q15" s="99">
        <f>+L16-P16</f>
        <v>39</v>
      </c>
      <c r="R15" s="85"/>
      <c r="S15" s="96"/>
      <c r="T15" s="96"/>
      <c r="U15" s="96"/>
      <c r="V15" s="96"/>
      <c r="W15" s="96"/>
      <c r="X15" s="96"/>
      <c r="Y15" s="96"/>
      <c r="Z15" s="96"/>
      <c r="AA15" s="96"/>
      <c r="AB15" s="96"/>
      <c r="AC15" s="96">
        <v>5</v>
      </c>
      <c r="AD15" s="96"/>
      <c r="AE15" s="96"/>
      <c r="AF15" s="96"/>
      <c r="AG15" s="96">
        <v>2</v>
      </c>
      <c r="AH15" s="96">
        <v>3</v>
      </c>
      <c r="AI15" s="96"/>
      <c r="AJ15" s="96"/>
      <c r="AK15" s="96"/>
      <c r="AL15" s="96"/>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6"/>
      <c r="B16" s="88"/>
      <c r="C16" s="90"/>
      <c r="D16" s="92"/>
      <c r="E16" s="90"/>
      <c r="F16" s="90"/>
      <c r="G16" s="94"/>
      <c r="H16" s="95"/>
      <c r="I16" s="95"/>
      <c r="J16" s="95"/>
      <c r="K16" s="22">
        <f>103+85+198+61+57</f>
        <v>504</v>
      </c>
      <c r="L16" s="18">
        <f>9+46+10+10+10+10</f>
        <v>95</v>
      </c>
      <c r="M16" s="18">
        <f>9+17+10</f>
        <v>36</v>
      </c>
      <c r="N16" s="98"/>
      <c r="O16" s="19">
        <f t="shared" si="0"/>
        <v>59</v>
      </c>
      <c r="P16" s="22">
        <f>9+17+10+10+10</f>
        <v>56</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85">
        <v>45262</v>
      </c>
      <c r="B17" s="87" t="s">
        <v>37</v>
      </c>
      <c r="C17" s="89">
        <v>1</v>
      </c>
      <c r="D17" s="91" t="s">
        <v>38</v>
      </c>
      <c r="E17" s="89">
        <v>84212</v>
      </c>
      <c r="F17" s="89" t="s">
        <v>49</v>
      </c>
      <c r="G17" s="93" t="s">
        <v>55</v>
      </c>
      <c r="H17" s="90" t="s">
        <v>62</v>
      </c>
      <c r="I17" s="90">
        <v>2248</v>
      </c>
      <c r="J17" s="90">
        <v>608</v>
      </c>
      <c r="K17" s="20">
        <v>0</v>
      </c>
      <c r="L17" s="20">
        <v>99</v>
      </c>
      <c r="M17" s="20">
        <v>39</v>
      </c>
      <c r="N17" s="97">
        <f>O18/L18</f>
        <v>0.76470588235294112</v>
      </c>
      <c r="O17" s="21">
        <f t="shared" si="0"/>
        <v>60</v>
      </c>
      <c r="P17" s="27">
        <v>46</v>
      </c>
      <c r="Q17" s="99">
        <f>+L18-P18</f>
        <v>145</v>
      </c>
      <c r="R17" s="85"/>
      <c r="S17" s="96"/>
      <c r="T17" s="96"/>
      <c r="U17" s="96">
        <v>8</v>
      </c>
      <c r="V17" s="96"/>
      <c r="W17" s="96"/>
      <c r="X17" s="96">
        <v>2</v>
      </c>
      <c r="Y17" s="96"/>
      <c r="Z17" s="96"/>
      <c r="AA17" s="96"/>
      <c r="AB17" s="96"/>
      <c r="AC17" s="96">
        <v>11</v>
      </c>
      <c r="AD17" s="96">
        <v>8</v>
      </c>
      <c r="AE17" s="96">
        <v>2</v>
      </c>
      <c r="AF17" s="96"/>
      <c r="AG17" s="96">
        <v>10</v>
      </c>
      <c r="AH17" s="96">
        <v>10</v>
      </c>
      <c r="AI17" s="96"/>
      <c r="AJ17" s="96"/>
      <c r="AK17" s="96"/>
      <c r="AL17" s="96">
        <v>9</v>
      </c>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6"/>
      <c r="B18" s="88"/>
      <c r="C18" s="90"/>
      <c r="D18" s="92"/>
      <c r="E18" s="90"/>
      <c r="F18" s="90"/>
      <c r="G18" s="94"/>
      <c r="H18" s="95"/>
      <c r="I18" s="95"/>
      <c r="J18" s="95"/>
      <c r="K18" s="22">
        <f>63+36+60+117+70+60+110+60+19</f>
        <v>595</v>
      </c>
      <c r="L18" s="18">
        <f>63+36+20+10+141+94+102+10+10+10+99</f>
        <v>595</v>
      </c>
      <c r="M18" s="18">
        <f>13+7+34+21+22+4+39</f>
        <v>140</v>
      </c>
      <c r="N18" s="98"/>
      <c r="O18" s="19">
        <f t="shared" si="0"/>
        <v>455</v>
      </c>
      <c r="P18" s="22">
        <f>13+52+71+138+116+10+4+46</f>
        <v>450</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85">
        <v>45262</v>
      </c>
      <c r="B19" s="87" t="s">
        <v>37</v>
      </c>
      <c r="C19" s="89">
        <v>1</v>
      </c>
      <c r="D19" s="91" t="s">
        <v>38</v>
      </c>
      <c r="E19" s="89">
        <v>84212</v>
      </c>
      <c r="F19" s="89" t="s">
        <v>49</v>
      </c>
      <c r="G19" s="93" t="s">
        <v>55</v>
      </c>
      <c r="H19" s="90" t="s">
        <v>59</v>
      </c>
      <c r="I19" s="90">
        <v>708</v>
      </c>
      <c r="J19" s="90">
        <v>708</v>
      </c>
      <c r="K19" s="20">
        <v>122</v>
      </c>
      <c r="L19" s="20">
        <v>80</v>
      </c>
      <c r="M19" s="20">
        <v>20</v>
      </c>
      <c r="N19" s="97">
        <f>O20/L20</f>
        <v>0.75</v>
      </c>
      <c r="O19" s="21">
        <f t="shared" si="0"/>
        <v>60</v>
      </c>
      <c r="P19" s="27">
        <v>35</v>
      </c>
      <c r="Q19" s="99">
        <f>+L20-P20</f>
        <v>150</v>
      </c>
      <c r="R19" s="85"/>
      <c r="S19" s="96"/>
      <c r="T19" s="96">
        <v>31</v>
      </c>
      <c r="U19" s="96">
        <v>4</v>
      </c>
      <c r="V19" s="96"/>
      <c r="W19" s="96"/>
      <c r="X19" s="96">
        <v>1</v>
      </c>
      <c r="Y19" s="96">
        <v>1</v>
      </c>
      <c r="Z19" s="96"/>
      <c r="AA19" s="96"/>
      <c r="AB19" s="96"/>
      <c r="AC19" s="96">
        <v>2</v>
      </c>
      <c r="AD19" s="96"/>
      <c r="AE19" s="96">
        <v>1</v>
      </c>
      <c r="AF19" s="96"/>
      <c r="AG19" s="96">
        <v>9</v>
      </c>
      <c r="AH19" s="96">
        <v>7</v>
      </c>
      <c r="AI19" s="96"/>
      <c r="AJ19" s="96"/>
      <c r="AK19" s="96"/>
      <c r="AL19" s="96">
        <v>4</v>
      </c>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6"/>
      <c r="B20" s="88"/>
      <c r="C20" s="90"/>
      <c r="D20" s="92"/>
      <c r="E20" s="90"/>
      <c r="F20" s="90"/>
      <c r="G20" s="94"/>
      <c r="H20" s="95"/>
      <c r="I20" s="95"/>
      <c r="J20" s="95"/>
      <c r="K20" s="22">
        <f>105+109+70+77+65+110+122</f>
        <v>658</v>
      </c>
      <c r="L20" s="18">
        <f>25+50+65+80</f>
        <v>220</v>
      </c>
      <c r="M20" s="18">
        <f>15+20+20</f>
        <v>55</v>
      </c>
      <c r="N20" s="98"/>
      <c r="O20" s="19">
        <f t="shared" si="0"/>
        <v>165</v>
      </c>
      <c r="P20" s="22">
        <f>15+20+35</f>
        <v>70</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85">
        <v>45262</v>
      </c>
      <c r="B21" s="87" t="s">
        <v>37</v>
      </c>
      <c r="C21" s="89">
        <v>1</v>
      </c>
      <c r="D21" s="91" t="s">
        <v>38</v>
      </c>
      <c r="E21" s="89">
        <v>84212</v>
      </c>
      <c r="F21" s="89" t="s">
        <v>49</v>
      </c>
      <c r="G21" s="93" t="s">
        <v>55</v>
      </c>
      <c r="H21" s="90" t="s">
        <v>67</v>
      </c>
      <c r="I21" s="90">
        <v>1813</v>
      </c>
      <c r="J21" s="90">
        <v>1813</v>
      </c>
      <c r="K21" s="20">
        <v>138</v>
      </c>
      <c r="L21" s="20">
        <v>30</v>
      </c>
      <c r="M21" s="20">
        <v>5</v>
      </c>
      <c r="N21" s="97">
        <f>O22/L22</f>
        <v>0.83333333333333337</v>
      </c>
      <c r="O21" s="21">
        <f t="shared" si="0"/>
        <v>25</v>
      </c>
      <c r="P21" s="27">
        <v>5</v>
      </c>
      <c r="Q21" s="99">
        <f>+L22-P22</f>
        <v>25</v>
      </c>
      <c r="R21" s="85"/>
      <c r="S21" s="96"/>
      <c r="T21" s="96">
        <v>5</v>
      </c>
      <c r="U21" s="96"/>
      <c r="V21" s="96"/>
      <c r="W21" s="96"/>
      <c r="X21" s="96"/>
      <c r="Y21" s="96"/>
      <c r="Z21" s="96"/>
      <c r="AA21" s="96"/>
      <c r="AB21" s="96"/>
      <c r="AC21" s="96">
        <v>7</v>
      </c>
      <c r="AD21" s="96"/>
      <c r="AE21" s="96"/>
      <c r="AF21" s="96"/>
      <c r="AG21" s="96">
        <v>6</v>
      </c>
      <c r="AH21" s="96">
        <v>7</v>
      </c>
      <c r="AI21" s="96"/>
      <c r="AJ21" s="96"/>
      <c r="AK21" s="96"/>
      <c r="AL21" s="96"/>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6"/>
      <c r="B22" s="88"/>
      <c r="C22" s="90"/>
      <c r="D22" s="92"/>
      <c r="E22" s="90"/>
      <c r="F22" s="90"/>
      <c r="G22" s="94"/>
      <c r="H22" s="95"/>
      <c r="I22" s="95"/>
      <c r="J22" s="95"/>
      <c r="K22" s="22">
        <f>272</f>
        <v>272</v>
      </c>
      <c r="L22" s="18">
        <f>30</f>
        <v>30</v>
      </c>
      <c r="M22" s="18">
        <f>5</f>
        <v>5</v>
      </c>
      <c r="N22" s="98"/>
      <c r="O22" s="19">
        <f t="shared" si="0"/>
        <v>25</v>
      </c>
      <c r="P22" s="22">
        <f>5</f>
        <v>5</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85">
        <v>45262</v>
      </c>
      <c r="B23" s="87" t="s">
        <v>37</v>
      </c>
      <c r="C23" s="89">
        <v>1</v>
      </c>
      <c r="D23" s="91" t="s">
        <v>38</v>
      </c>
      <c r="E23" s="89">
        <v>84212</v>
      </c>
      <c r="F23" s="89" t="s">
        <v>49</v>
      </c>
      <c r="G23" s="93" t="s">
        <v>55</v>
      </c>
      <c r="H23" s="90" t="s">
        <v>62</v>
      </c>
      <c r="I23" s="90">
        <v>2218</v>
      </c>
      <c r="J23" s="90">
        <v>1640</v>
      </c>
      <c r="K23" s="20">
        <v>22</v>
      </c>
      <c r="L23" s="20">
        <v>40</v>
      </c>
      <c r="M23" s="20">
        <v>6</v>
      </c>
      <c r="N23" s="97">
        <f>O24/L24</f>
        <v>0.85</v>
      </c>
      <c r="O23" s="21">
        <f t="shared" si="0"/>
        <v>34</v>
      </c>
      <c r="P23" s="27">
        <v>6</v>
      </c>
      <c r="Q23" s="99">
        <f>+L24-P24</f>
        <v>34</v>
      </c>
      <c r="R23" s="85"/>
      <c r="S23" s="96"/>
      <c r="T23" s="96">
        <v>12</v>
      </c>
      <c r="U23" s="96"/>
      <c r="V23" s="96"/>
      <c r="W23" s="96"/>
      <c r="X23" s="96"/>
      <c r="Y23" s="96"/>
      <c r="Z23" s="96"/>
      <c r="AA23" s="96"/>
      <c r="AB23" s="96"/>
      <c r="AC23" s="96">
        <v>3</v>
      </c>
      <c r="AD23" s="96"/>
      <c r="AE23" s="96">
        <v>2</v>
      </c>
      <c r="AF23" s="96"/>
      <c r="AG23" s="96">
        <v>6</v>
      </c>
      <c r="AH23" s="96">
        <v>11</v>
      </c>
      <c r="AI23" s="96"/>
      <c r="AJ23" s="96"/>
      <c r="AK23" s="96"/>
      <c r="AL23" s="96"/>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6"/>
      <c r="B24" s="88"/>
      <c r="C24" s="90"/>
      <c r="D24" s="92"/>
      <c r="E24" s="90"/>
      <c r="F24" s="90"/>
      <c r="G24" s="94"/>
      <c r="H24" s="95"/>
      <c r="I24" s="95"/>
      <c r="J24" s="95"/>
      <c r="K24" s="22">
        <f>166</f>
        <v>166</v>
      </c>
      <c r="L24" s="18">
        <f>40</f>
        <v>40</v>
      </c>
      <c r="M24" s="18">
        <f>6</f>
        <v>6</v>
      </c>
      <c r="N24" s="98"/>
      <c r="O24" s="19">
        <f t="shared" si="0"/>
        <v>34</v>
      </c>
      <c r="P24" s="22">
        <f>6</f>
        <v>6</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45262</v>
      </c>
      <c r="B25" s="87" t="s">
        <v>37</v>
      </c>
      <c r="C25" s="89">
        <v>1</v>
      </c>
      <c r="D25" s="91" t="s">
        <v>38</v>
      </c>
      <c r="E25" s="89">
        <v>84212</v>
      </c>
      <c r="F25" s="89" t="s">
        <v>49</v>
      </c>
      <c r="G25" s="93" t="s">
        <v>61</v>
      </c>
      <c r="H25" s="89" t="s">
        <v>65</v>
      </c>
      <c r="I25" s="89">
        <v>533</v>
      </c>
      <c r="J25" s="89">
        <v>533</v>
      </c>
      <c r="K25" s="20">
        <v>92</v>
      </c>
      <c r="L25" s="20">
        <v>10</v>
      </c>
      <c r="M25" s="20">
        <v>0</v>
      </c>
      <c r="N25" s="146">
        <f>O26/L26</f>
        <v>1</v>
      </c>
      <c r="O25" s="21">
        <f t="shared" si="0"/>
        <v>10</v>
      </c>
      <c r="P25" s="27">
        <v>0</v>
      </c>
      <c r="Q25" s="99">
        <f>+L26-P26</f>
        <v>20</v>
      </c>
      <c r="R25" s="108"/>
      <c r="S25" s="149"/>
      <c r="T25" s="149">
        <v>3</v>
      </c>
      <c r="U25" s="149"/>
      <c r="V25" s="149"/>
      <c r="W25" s="149"/>
      <c r="X25" s="149"/>
      <c r="Y25" s="149"/>
      <c r="Z25" s="149"/>
      <c r="AA25" s="149"/>
      <c r="AB25" s="149"/>
      <c r="AC25" s="149">
        <v>3</v>
      </c>
      <c r="AD25" s="149"/>
      <c r="AE25" s="149">
        <v>1</v>
      </c>
      <c r="AF25" s="149"/>
      <c r="AG25" s="149"/>
      <c r="AH25" s="149"/>
      <c r="AI25" s="149"/>
      <c r="AJ25" s="149"/>
      <c r="AK25" s="149"/>
      <c r="AL25" s="149">
        <v>3</v>
      </c>
      <c r="AM25" s="163"/>
      <c r="AN25" s="163"/>
      <c r="AO25" s="163"/>
      <c r="AP25" s="163"/>
      <c r="AQ25" s="163"/>
      <c r="AR25" s="163"/>
      <c r="AS25" s="163"/>
      <c r="AT25" s="163"/>
      <c r="AU25" s="163"/>
      <c r="AV25" s="163"/>
      <c r="AW25" s="163"/>
      <c r="AX25" s="163"/>
      <c r="AY25" s="167"/>
      <c r="AZ25" s="167"/>
      <c r="BA25" s="167"/>
      <c r="BB25" s="167"/>
      <c r="BC25" s="167"/>
      <c r="BD25" s="167"/>
      <c r="BE25" s="163"/>
      <c r="BF25" s="165"/>
      <c r="BG25" s="165"/>
    </row>
    <row r="26" spans="1:59" s="17" customFormat="1" ht="15.75" customHeight="1">
      <c r="A26" s="85"/>
      <c r="B26" s="88"/>
      <c r="C26" s="90"/>
      <c r="D26" s="92"/>
      <c r="E26" s="90"/>
      <c r="F26" s="90"/>
      <c r="G26" s="94"/>
      <c r="H26" s="90"/>
      <c r="I26" s="90"/>
      <c r="J26" s="90"/>
      <c r="K26" s="22">
        <f>81+92</f>
        <v>173</v>
      </c>
      <c r="L26" s="18">
        <f>10+10</f>
        <v>20</v>
      </c>
      <c r="M26" s="18">
        <v>0</v>
      </c>
      <c r="N26" s="147"/>
      <c r="O26" s="19">
        <f t="shared" si="0"/>
        <v>20</v>
      </c>
      <c r="P26" s="22">
        <v>0</v>
      </c>
      <c r="Q26" s="100"/>
      <c r="R26" s="85"/>
      <c r="S26" s="150"/>
      <c r="T26" s="150"/>
      <c r="U26" s="150"/>
      <c r="V26" s="150"/>
      <c r="W26" s="150"/>
      <c r="X26" s="150"/>
      <c r="Y26" s="150"/>
      <c r="Z26" s="150"/>
      <c r="AA26" s="150"/>
      <c r="AB26" s="150"/>
      <c r="AC26" s="150"/>
      <c r="AD26" s="150"/>
      <c r="AE26" s="150"/>
      <c r="AF26" s="150"/>
      <c r="AG26" s="150"/>
      <c r="AH26" s="150"/>
      <c r="AI26" s="150"/>
      <c r="AJ26" s="150"/>
      <c r="AK26" s="150"/>
      <c r="AL26" s="150"/>
      <c r="AM26" s="164"/>
      <c r="AN26" s="164"/>
      <c r="AO26" s="164"/>
      <c r="AP26" s="164"/>
      <c r="AQ26" s="164"/>
      <c r="AR26" s="164"/>
      <c r="AS26" s="164"/>
      <c r="AT26" s="164"/>
      <c r="AU26" s="164"/>
      <c r="AV26" s="164"/>
      <c r="AW26" s="164"/>
      <c r="AX26" s="164"/>
      <c r="AY26" s="168"/>
      <c r="AZ26" s="168"/>
      <c r="BA26" s="168"/>
      <c r="BB26" s="168"/>
      <c r="BC26" s="168"/>
      <c r="BD26" s="168"/>
      <c r="BE26" s="164"/>
      <c r="BF26" s="166"/>
      <c r="BG26" s="166"/>
    </row>
    <row r="27" spans="1:59" s="17" customFormat="1" ht="15.75" customHeight="1">
      <c r="A27" s="85">
        <v>45262</v>
      </c>
      <c r="B27" s="87" t="s">
        <v>37</v>
      </c>
      <c r="C27" s="89">
        <v>1</v>
      </c>
      <c r="D27" s="91" t="s">
        <v>38</v>
      </c>
      <c r="E27" s="89">
        <v>84426</v>
      </c>
      <c r="F27" s="89" t="s">
        <v>49</v>
      </c>
      <c r="G27" s="93" t="s">
        <v>55</v>
      </c>
      <c r="H27" s="90" t="s">
        <v>58</v>
      </c>
      <c r="I27" s="90">
        <v>549</v>
      </c>
      <c r="J27" s="90">
        <v>549</v>
      </c>
      <c r="K27" s="20">
        <v>0</v>
      </c>
      <c r="L27" s="20">
        <v>0</v>
      </c>
      <c r="M27" s="20">
        <v>0</v>
      </c>
      <c r="N27" s="97">
        <f>O28/L28</f>
        <v>0.81238615664845171</v>
      </c>
      <c r="O27" s="21">
        <f t="shared" si="0"/>
        <v>0</v>
      </c>
      <c r="P27" s="27">
        <v>0</v>
      </c>
      <c r="Q27" s="99">
        <f>+L28-P28</f>
        <v>3</v>
      </c>
      <c r="R27" s="108"/>
      <c r="S27" s="96"/>
      <c r="T27" s="96"/>
      <c r="U27" s="96"/>
      <c r="V27" s="96"/>
      <c r="W27" s="96"/>
      <c r="X27" s="96"/>
      <c r="Y27" s="96"/>
      <c r="Z27" s="96"/>
      <c r="AA27" s="96"/>
      <c r="AB27" s="96"/>
      <c r="AC27" s="96"/>
      <c r="AD27" s="96"/>
      <c r="AE27" s="96"/>
      <c r="AF27" s="96"/>
      <c r="AG27" s="96"/>
      <c r="AH27" s="96"/>
      <c r="AI27" s="96"/>
      <c r="AJ27" s="96"/>
      <c r="AK27" s="96"/>
      <c r="AL27" s="96"/>
      <c r="AM27" s="103"/>
      <c r="AN27" s="103"/>
      <c r="AO27" s="103"/>
      <c r="AP27" s="103"/>
      <c r="AQ27" s="103"/>
      <c r="AR27" s="103"/>
      <c r="AS27" s="103"/>
      <c r="AT27" s="103"/>
      <c r="AU27" s="103"/>
      <c r="AV27" s="103"/>
      <c r="AW27" s="103"/>
      <c r="AX27" s="103"/>
      <c r="AY27" s="106"/>
      <c r="AZ27" s="106"/>
      <c r="BA27" s="106"/>
      <c r="BB27" s="106"/>
      <c r="BC27" s="106"/>
      <c r="BD27" s="106"/>
      <c r="BE27" s="103"/>
      <c r="BF27" s="104"/>
      <c r="BG27" s="104"/>
    </row>
    <row r="28" spans="1:59" s="17" customFormat="1" ht="15.75" customHeight="1">
      <c r="A28" s="86"/>
      <c r="B28" s="88"/>
      <c r="C28" s="90"/>
      <c r="D28" s="92"/>
      <c r="E28" s="90"/>
      <c r="F28" s="90"/>
      <c r="G28" s="94"/>
      <c r="H28" s="95"/>
      <c r="I28" s="95"/>
      <c r="J28" s="95"/>
      <c r="K28" s="22">
        <f>483+66</f>
        <v>549</v>
      </c>
      <c r="L28" s="18">
        <f>483+66</f>
        <v>549</v>
      </c>
      <c r="M28" s="18">
        <f>86+17</f>
        <v>103</v>
      </c>
      <c r="N28" s="98"/>
      <c r="O28" s="19">
        <f t="shared" si="0"/>
        <v>446</v>
      </c>
      <c r="P28" s="22">
        <f>453+80+11+2</f>
        <v>546</v>
      </c>
      <c r="Q28" s="100"/>
      <c r="R28" s="85"/>
      <c r="S28" s="96"/>
      <c r="T28" s="96"/>
      <c r="U28" s="96"/>
      <c r="V28" s="96"/>
      <c r="W28" s="96"/>
      <c r="X28" s="96"/>
      <c r="Y28" s="96"/>
      <c r="Z28" s="96"/>
      <c r="AA28" s="96"/>
      <c r="AB28" s="96"/>
      <c r="AC28" s="96"/>
      <c r="AD28" s="96"/>
      <c r="AE28" s="96"/>
      <c r="AF28" s="96"/>
      <c r="AG28" s="96"/>
      <c r="AH28" s="96"/>
      <c r="AI28" s="96"/>
      <c r="AJ28" s="96"/>
      <c r="AK28" s="96"/>
      <c r="AL28" s="96"/>
      <c r="AM28" s="103"/>
      <c r="AN28" s="103"/>
      <c r="AO28" s="103"/>
      <c r="AP28" s="103"/>
      <c r="AQ28" s="103"/>
      <c r="AR28" s="103"/>
      <c r="AS28" s="103"/>
      <c r="AT28" s="103"/>
      <c r="AU28" s="103"/>
      <c r="AV28" s="103"/>
      <c r="AW28" s="103"/>
      <c r="AX28" s="103"/>
      <c r="AY28" s="107"/>
      <c r="AZ28" s="107"/>
      <c r="BA28" s="107"/>
      <c r="BB28" s="107"/>
      <c r="BC28" s="107"/>
      <c r="BD28" s="107"/>
      <c r="BE28" s="103"/>
      <c r="BF28" s="105"/>
      <c r="BG28" s="105"/>
    </row>
    <row r="29" spans="1:59" s="17" customFormat="1" ht="15.75" customHeight="1">
      <c r="A29" s="85">
        <v>45262</v>
      </c>
      <c r="B29" s="87" t="s">
        <v>37</v>
      </c>
      <c r="C29" s="89">
        <v>1</v>
      </c>
      <c r="D29" s="91" t="s">
        <v>38</v>
      </c>
      <c r="E29" s="89">
        <v>84352</v>
      </c>
      <c r="F29" s="89" t="s">
        <v>49</v>
      </c>
      <c r="G29" s="93" t="s">
        <v>55</v>
      </c>
      <c r="H29" s="109" t="s">
        <v>39</v>
      </c>
      <c r="I29" s="90">
        <v>1050</v>
      </c>
      <c r="J29" s="90">
        <v>473</v>
      </c>
      <c r="K29" s="20">
        <v>0</v>
      </c>
      <c r="L29" s="20">
        <v>10</v>
      </c>
      <c r="M29" s="20">
        <v>0</v>
      </c>
      <c r="N29" s="97">
        <f>O30/L30</f>
        <v>1</v>
      </c>
      <c r="O29" s="21">
        <f t="shared" si="0"/>
        <v>10</v>
      </c>
      <c r="P29" s="27">
        <v>0</v>
      </c>
      <c r="Q29" s="99">
        <f>+L30-P30</f>
        <v>30</v>
      </c>
      <c r="R29" s="85"/>
      <c r="S29" s="96">
        <v>2</v>
      </c>
      <c r="T29" s="96"/>
      <c r="U29" s="96"/>
      <c r="V29" s="96"/>
      <c r="W29" s="96"/>
      <c r="X29" s="96"/>
      <c r="Y29" s="96"/>
      <c r="Z29" s="96"/>
      <c r="AA29" s="96"/>
      <c r="AB29" s="96"/>
      <c r="AC29" s="96"/>
      <c r="AD29" s="96"/>
      <c r="AE29" s="96"/>
      <c r="AF29" s="96">
        <v>4</v>
      </c>
      <c r="AG29" s="96"/>
      <c r="AH29" s="96">
        <v>1</v>
      </c>
      <c r="AI29" s="96"/>
      <c r="AJ29" s="96"/>
      <c r="AK29" s="96"/>
      <c r="AL29" s="96">
        <v>3</v>
      </c>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6"/>
      <c r="B30" s="88"/>
      <c r="C30" s="90"/>
      <c r="D30" s="92"/>
      <c r="E30" s="90"/>
      <c r="F30" s="90"/>
      <c r="G30" s="94"/>
      <c r="H30" s="95"/>
      <c r="I30" s="95"/>
      <c r="J30" s="95"/>
      <c r="K30" s="22">
        <f>84+24</f>
        <v>108</v>
      </c>
      <c r="L30" s="18">
        <f>10+10+10</f>
        <v>30</v>
      </c>
      <c r="M30" s="18">
        <v>0</v>
      </c>
      <c r="N30" s="98"/>
      <c r="O30" s="19">
        <f t="shared" si="0"/>
        <v>30</v>
      </c>
      <c r="P30" s="22">
        <v>0</v>
      </c>
      <c r="Q30" s="100"/>
      <c r="R30" s="86"/>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85">
        <v>45262</v>
      </c>
      <c r="B31" s="87" t="s">
        <v>37</v>
      </c>
      <c r="C31" s="89">
        <v>1</v>
      </c>
      <c r="D31" s="91" t="s">
        <v>38</v>
      </c>
      <c r="E31" s="89">
        <v>84031</v>
      </c>
      <c r="F31" s="89" t="s">
        <v>49</v>
      </c>
      <c r="G31" s="93" t="s">
        <v>53</v>
      </c>
      <c r="H31" s="90" t="s">
        <v>52</v>
      </c>
      <c r="I31" s="90">
        <v>564</v>
      </c>
      <c r="J31" s="90">
        <v>564</v>
      </c>
      <c r="K31" s="20">
        <v>0</v>
      </c>
      <c r="L31" s="20">
        <v>0</v>
      </c>
      <c r="M31" s="20">
        <v>0</v>
      </c>
      <c r="N31" s="97">
        <f>O32/L32</f>
        <v>0.82801418439716312</v>
      </c>
      <c r="O31" s="21">
        <f t="shared" si="0"/>
        <v>0</v>
      </c>
      <c r="P31" s="27">
        <v>0</v>
      </c>
      <c r="Q31" s="99">
        <f>+L32-P32</f>
        <v>0</v>
      </c>
      <c r="R31" s="85" t="s">
        <v>68</v>
      </c>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6"/>
      <c r="B32" s="88"/>
      <c r="C32" s="90"/>
      <c r="D32" s="92"/>
      <c r="E32" s="90"/>
      <c r="F32" s="90"/>
      <c r="G32" s="94"/>
      <c r="H32" s="95"/>
      <c r="I32" s="95"/>
      <c r="J32" s="95"/>
      <c r="K32" s="22">
        <f>531+3+28+2</f>
        <v>564</v>
      </c>
      <c r="L32" s="18">
        <f>531+3+28+2</f>
        <v>564</v>
      </c>
      <c r="M32" s="18">
        <f>92+3+2</f>
        <v>97</v>
      </c>
      <c r="N32" s="98"/>
      <c r="O32" s="19">
        <f t="shared" si="0"/>
        <v>467</v>
      </c>
      <c r="P32" s="22">
        <f>521+13+28+2</f>
        <v>564</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85">
        <v>45262</v>
      </c>
      <c r="B33" s="87" t="s">
        <v>37</v>
      </c>
      <c r="C33" s="89">
        <v>1</v>
      </c>
      <c r="D33" s="91" t="s">
        <v>38</v>
      </c>
      <c r="E33" s="89">
        <v>84031</v>
      </c>
      <c r="F33" s="89" t="s">
        <v>49</v>
      </c>
      <c r="G33" s="93" t="s">
        <v>53</v>
      </c>
      <c r="H33" s="90" t="s">
        <v>57</v>
      </c>
      <c r="I33" s="90">
        <v>563</v>
      </c>
      <c r="J33" s="90">
        <v>563</v>
      </c>
      <c r="K33" s="20">
        <v>0</v>
      </c>
      <c r="L33" s="20">
        <v>0</v>
      </c>
      <c r="M33" s="20">
        <v>0</v>
      </c>
      <c r="N33" s="97">
        <f>O34/L34</f>
        <v>0.85343228200371057</v>
      </c>
      <c r="O33" s="21">
        <f t="shared" si="0"/>
        <v>0</v>
      </c>
      <c r="P33" s="27">
        <v>0</v>
      </c>
      <c r="Q33" s="99">
        <f>+L34-P34</f>
        <v>0</v>
      </c>
      <c r="R33" s="85" t="s">
        <v>68</v>
      </c>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6"/>
      <c r="B34" s="88"/>
      <c r="C34" s="90"/>
      <c r="D34" s="92"/>
      <c r="E34" s="90"/>
      <c r="F34" s="90"/>
      <c r="G34" s="94"/>
      <c r="H34" s="95"/>
      <c r="I34" s="95"/>
      <c r="J34" s="95"/>
      <c r="K34" s="22">
        <f>516+20+3</f>
        <v>539</v>
      </c>
      <c r="L34" s="18">
        <f>516+20+3</f>
        <v>539</v>
      </c>
      <c r="M34" s="18">
        <f>74+2+3</f>
        <v>79</v>
      </c>
      <c r="N34" s="98"/>
      <c r="O34" s="19">
        <f t="shared" si="0"/>
        <v>460</v>
      </c>
      <c r="P34" s="22">
        <f>516+20+3</f>
        <v>539</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85">
        <v>45262</v>
      </c>
      <c r="B35" s="87" t="s">
        <v>37</v>
      </c>
      <c r="C35" s="89">
        <v>1</v>
      </c>
      <c r="D35" s="91" t="s">
        <v>38</v>
      </c>
      <c r="E35" s="89">
        <v>84031</v>
      </c>
      <c r="F35" s="89" t="s">
        <v>49</v>
      </c>
      <c r="G35" s="93" t="s">
        <v>53</v>
      </c>
      <c r="H35" s="90" t="s">
        <v>39</v>
      </c>
      <c r="I35" s="90">
        <v>623</v>
      </c>
      <c r="J35" s="90">
        <v>623</v>
      </c>
      <c r="K35" s="20">
        <v>0</v>
      </c>
      <c r="L35" s="20">
        <v>0</v>
      </c>
      <c r="M35" s="20">
        <v>0</v>
      </c>
      <c r="N35" s="97">
        <f>O36/L36</f>
        <v>0.79710144927536231</v>
      </c>
      <c r="O35" s="21">
        <f t="shared" si="0"/>
        <v>0</v>
      </c>
      <c r="P35" s="27">
        <v>0</v>
      </c>
      <c r="Q35" s="99">
        <f>+L36-P36</f>
        <v>0</v>
      </c>
      <c r="R35" s="85" t="s">
        <v>68</v>
      </c>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6"/>
      <c r="B36" s="88"/>
      <c r="C36" s="90"/>
      <c r="D36" s="92"/>
      <c r="E36" s="90"/>
      <c r="F36" s="90"/>
      <c r="G36" s="94"/>
      <c r="H36" s="95"/>
      <c r="I36" s="95"/>
      <c r="J36" s="95"/>
      <c r="K36" s="22">
        <f>574+9+30+5+3</f>
        <v>621</v>
      </c>
      <c r="L36" s="18">
        <f>574+9+30+5+3</f>
        <v>621</v>
      </c>
      <c r="M36" s="18">
        <f>109+9+5+3</f>
        <v>126</v>
      </c>
      <c r="N36" s="98"/>
      <c r="O36" s="19">
        <f t="shared" si="0"/>
        <v>495</v>
      </c>
      <c r="P36" s="22">
        <f>574+9+30+5+3</f>
        <v>621</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85">
        <v>45262</v>
      </c>
      <c r="B37" s="87" t="s">
        <v>37</v>
      </c>
      <c r="C37" s="89">
        <v>1</v>
      </c>
      <c r="D37" s="91" t="s">
        <v>38</v>
      </c>
      <c r="E37" s="89">
        <v>61363</v>
      </c>
      <c r="F37" s="89" t="s">
        <v>49</v>
      </c>
      <c r="G37" s="93" t="s">
        <v>55</v>
      </c>
      <c r="H37" s="90" t="s">
        <v>60</v>
      </c>
      <c r="I37" s="90">
        <v>590</v>
      </c>
      <c r="J37" s="90">
        <v>590</v>
      </c>
      <c r="K37" s="20">
        <v>0</v>
      </c>
      <c r="L37" s="20">
        <v>134</v>
      </c>
      <c r="M37" s="20">
        <v>44</v>
      </c>
      <c r="N37" s="97">
        <f>O38/L38</f>
        <v>0.6767676767676768</v>
      </c>
      <c r="O37" s="21">
        <f t="shared" si="0"/>
        <v>90</v>
      </c>
      <c r="P37" s="27">
        <v>148</v>
      </c>
      <c r="Q37" s="99">
        <f>+L38-P38</f>
        <v>56</v>
      </c>
      <c r="R37" s="85"/>
      <c r="S37" s="96"/>
      <c r="T37" s="96">
        <v>45</v>
      </c>
      <c r="U37" s="96">
        <v>10</v>
      </c>
      <c r="V37" s="96"/>
      <c r="W37" s="96"/>
      <c r="X37" s="96"/>
      <c r="Y37" s="96"/>
      <c r="Z37" s="96"/>
      <c r="AA37" s="96"/>
      <c r="AB37" s="96"/>
      <c r="AC37" s="96">
        <v>9</v>
      </c>
      <c r="AD37" s="96"/>
      <c r="AE37" s="96"/>
      <c r="AF37" s="96"/>
      <c r="AG37" s="96"/>
      <c r="AH37" s="96">
        <v>6</v>
      </c>
      <c r="AI37" s="96"/>
      <c r="AJ37" s="96"/>
      <c r="AK37" s="96"/>
      <c r="AL37" s="96">
        <v>20</v>
      </c>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6"/>
      <c r="B38" s="88"/>
      <c r="C38" s="90"/>
      <c r="D38" s="92"/>
      <c r="E38" s="90"/>
      <c r="F38" s="90"/>
      <c r="G38" s="94"/>
      <c r="H38" s="95"/>
      <c r="I38" s="95"/>
      <c r="J38" s="95"/>
      <c r="K38" s="22">
        <f>131+82+189+117+75</f>
        <v>594</v>
      </c>
      <c r="L38" s="18">
        <f>131+82+149+98+134</f>
        <v>594</v>
      </c>
      <c r="M38" s="18">
        <f>41+20+59+28+44</f>
        <v>192</v>
      </c>
      <c r="N38" s="98"/>
      <c r="O38" s="19">
        <f t="shared" si="0"/>
        <v>402</v>
      </c>
      <c r="P38" s="22">
        <f>41+110+192+19+28+148</f>
        <v>538</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85">
        <v>45262</v>
      </c>
      <c r="B39" s="87" t="s">
        <v>37</v>
      </c>
      <c r="C39" s="89">
        <v>1</v>
      </c>
      <c r="D39" s="91" t="s">
        <v>38</v>
      </c>
      <c r="E39" s="89">
        <v>61363</v>
      </c>
      <c r="F39" s="89" t="s">
        <v>49</v>
      </c>
      <c r="G39" s="93" t="s">
        <v>55</v>
      </c>
      <c r="H39" s="90" t="s">
        <v>66</v>
      </c>
      <c r="I39" s="90">
        <v>590</v>
      </c>
      <c r="J39" s="90">
        <v>590</v>
      </c>
      <c r="K39" s="20">
        <v>141</v>
      </c>
      <c r="L39" s="20">
        <v>210</v>
      </c>
      <c r="M39" s="20">
        <v>70</v>
      </c>
      <c r="N39" s="97">
        <f>O40/L40</f>
        <v>0.66666666666666663</v>
      </c>
      <c r="O39" s="21">
        <f t="shared" si="0"/>
        <v>140</v>
      </c>
      <c r="P39" s="27">
        <v>130</v>
      </c>
      <c r="Q39" s="99">
        <f>+L40-P40</f>
        <v>80</v>
      </c>
      <c r="R39" s="85"/>
      <c r="S39" s="96"/>
      <c r="T39" s="96">
        <v>80</v>
      </c>
      <c r="U39" s="96"/>
      <c r="V39" s="96"/>
      <c r="W39" s="96"/>
      <c r="X39" s="96"/>
      <c r="Y39" s="96"/>
      <c r="Z39" s="96"/>
      <c r="AA39" s="96"/>
      <c r="AB39" s="96"/>
      <c r="AC39" s="96">
        <v>40</v>
      </c>
      <c r="AD39" s="96"/>
      <c r="AE39" s="96"/>
      <c r="AF39" s="96">
        <v>10</v>
      </c>
      <c r="AG39" s="96"/>
      <c r="AH39" s="96">
        <v>10</v>
      </c>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6"/>
      <c r="B40" s="88"/>
      <c r="C40" s="90"/>
      <c r="D40" s="92"/>
      <c r="E40" s="90"/>
      <c r="F40" s="90"/>
      <c r="G40" s="94"/>
      <c r="H40" s="95"/>
      <c r="I40" s="95"/>
      <c r="J40" s="95"/>
      <c r="K40" s="22">
        <f>563</f>
        <v>563</v>
      </c>
      <c r="L40" s="18">
        <v>210</v>
      </c>
      <c r="M40" s="18">
        <v>70</v>
      </c>
      <c r="N40" s="98"/>
      <c r="O40" s="19">
        <f t="shared" si="0"/>
        <v>140</v>
      </c>
      <c r="P40" s="22">
        <f>130</f>
        <v>130</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ht="24.75" customHeight="1">
      <c r="A41" s="111" t="s">
        <v>15</v>
      </c>
      <c r="B41" s="112"/>
      <c r="C41" s="112"/>
      <c r="D41" s="112"/>
      <c r="E41" s="112"/>
      <c r="F41" s="112"/>
      <c r="G41" s="112"/>
      <c r="H41" s="112"/>
      <c r="I41" s="113"/>
      <c r="J41" s="5">
        <f>SUM(J5:J40)</f>
        <v>19421</v>
      </c>
      <c r="K41" s="5">
        <f>+SUMPRODUCT(((MOD(ROW(K5:K40),2)=1)*(K5:K40)))</f>
        <v>707</v>
      </c>
      <c r="L41" s="5">
        <f>+SUMPRODUCT(((MOD(ROW(L5:L40),2)=1)*(L5:L40)))</f>
        <v>1388</v>
      </c>
      <c r="M41" s="5">
        <f>+SUMPRODUCT(((MOD(ROW(M5:M40),2)=1)*(M5:M40)))</f>
        <v>482</v>
      </c>
      <c r="N41" s="23">
        <f>O41/L41</f>
        <v>0.6527377521613833</v>
      </c>
      <c r="O41" s="5">
        <f>+SUMPRODUCT(((MOD(ROW(O5:O40),2)=1)*(O5:O40)))</f>
        <v>906</v>
      </c>
      <c r="P41" s="5">
        <f>+SUMPRODUCT(((MOD(ROW(P5:P40),2)=1)*(P5:P40)))</f>
        <v>799</v>
      </c>
      <c r="Q41" s="5">
        <f>+SUMPRODUCT(((MOD(ROW(Q5:Q40),2)=1)*(Q5:Q40)))</f>
        <v>1481</v>
      </c>
      <c r="R41" s="29"/>
      <c r="S41" s="5">
        <f t="shared" ref="S41:BG41" si="1">SUM(S5:S40)</f>
        <v>146</v>
      </c>
      <c r="T41" s="5">
        <f t="shared" si="1"/>
        <v>201</v>
      </c>
      <c r="U41" s="5">
        <f t="shared" si="1"/>
        <v>38</v>
      </c>
      <c r="V41" s="5">
        <f t="shared" si="1"/>
        <v>0</v>
      </c>
      <c r="W41" s="5">
        <f t="shared" si="1"/>
        <v>0</v>
      </c>
      <c r="X41" s="5">
        <f t="shared" si="1"/>
        <v>13</v>
      </c>
      <c r="Y41" s="5">
        <f t="shared" si="1"/>
        <v>6</v>
      </c>
      <c r="Z41" s="5">
        <f t="shared" si="1"/>
        <v>0</v>
      </c>
      <c r="AA41" s="5">
        <f t="shared" si="1"/>
        <v>0</v>
      </c>
      <c r="AB41" s="5">
        <f t="shared" si="1"/>
        <v>0</v>
      </c>
      <c r="AC41" s="5">
        <f t="shared" si="1"/>
        <v>145</v>
      </c>
      <c r="AD41" s="5">
        <f t="shared" si="1"/>
        <v>14</v>
      </c>
      <c r="AE41" s="5">
        <f t="shared" si="1"/>
        <v>32</v>
      </c>
      <c r="AF41" s="5">
        <f t="shared" si="1"/>
        <v>47</v>
      </c>
      <c r="AG41" s="5">
        <f t="shared" si="1"/>
        <v>44</v>
      </c>
      <c r="AH41" s="5">
        <f t="shared" si="1"/>
        <v>105</v>
      </c>
      <c r="AI41" s="5">
        <f t="shared" si="1"/>
        <v>0</v>
      </c>
      <c r="AJ41" s="5">
        <f t="shared" si="1"/>
        <v>0</v>
      </c>
      <c r="AK41" s="5">
        <f t="shared" si="1"/>
        <v>0</v>
      </c>
      <c r="AL41" s="5">
        <f t="shared" si="1"/>
        <v>115</v>
      </c>
      <c r="AM41" s="5">
        <f t="shared" si="1"/>
        <v>0</v>
      </c>
      <c r="AN41" s="5">
        <f t="shared" si="1"/>
        <v>0</v>
      </c>
      <c r="AO41" s="5">
        <f t="shared" si="1"/>
        <v>0</v>
      </c>
      <c r="AP41" s="5">
        <f t="shared" si="1"/>
        <v>0</v>
      </c>
      <c r="AQ41" s="5">
        <f t="shared" si="1"/>
        <v>0</v>
      </c>
      <c r="AR41" s="5">
        <f t="shared" si="1"/>
        <v>0</v>
      </c>
      <c r="AS41" s="5">
        <f t="shared" si="1"/>
        <v>0</v>
      </c>
      <c r="AT41" s="5">
        <f t="shared" si="1"/>
        <v>0</v>
      </c>
      <c r="AU41" s="5">
        <f t="shared" si="1"/>
        <v>0</v>
      </c>
      <c r="AV41" s="5">
        <f t="shared" si="1"/>
        <v>0</v>
      </c>
      <c r="AW41" s="5">
        <f t="shared" si="1"/>
        <v>0</v>
      </c>
      <c r="AX41" s="5">
        <f t="shared" si="1"/>
        <v>0</v>
      </c>
      <c r="AY41" s="5">
        <f t="shared" si="1"/>
        <v>0</v>
      </c>
      <c r="AZ41" s="5">
        <f t="shared" si="1"/>
        <v>0</v>
      </c>
      <c r="BA41" s="5">
        <f t="shared" si="1"/>
        <v>0</v>
      </c>
      <c r="BB41" s="5">
        <f t="shared" si="1"/>
        <v>0</v>
      </c>
      <c r="BC41" s="5">
        <f t="shared" si="1"/>
        <v>0</v>
      </c>
      <c r="BD41" s="5">
        <f t="shared" si="1"/>
        <v>0</v>
      </c>
      <c r="BE41" s="5">
        <f t="shared" si="1"/>
        <v>0</v>
      </c>
      <c r="BF41" s="5">
        <f t="shared" si="1"/>
        <v>0</v>
      </c>
      <c r="BG41" s="5">
        <f t="shared" si="1"/>
        <v>0</v>
      </c>
    </row>
    <row r="42" spans="1:59" s="17" customFormat="1" ht="15.75" hidden="1" customHeight="1">
      <c r="A42" s="101"/>
      <c r="B42" s="114"/>
      <c r="C42" s="116"/>
      <c r="D42" s="118"/>
      <c r="E42" s="116"/>
      <c r="F42" s="116"/>
      <c r="G42" s="120"/>
      <c r="H42" s="90"/>
      <c r="I42" s="90"/>
      <c r="J42" s="90"/>
      <c r="K42" s="20"/>
      <c r="L42" s="20"/>
      <c r="M42" s="20"/>
      <c r="N42" s="97" t="e">
        <f>O43/L43</f>
        <v>#DIV/0!</v>
      </c>
      <c r="O42" s="21">
        <f>+L42-M42</f>
        <v>0</v>
      </c>
      <c r="P42" s="27"/>
      <c r="Q42" s="99">
        <f>+L43-P43</f>
        <v>0</v>
      </c>
      <c r="R42" s="110"/>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6"/>
      <c r="AZ42" s="106"/>
      <c r="BA42" s="106"/>
      <c r="BB42" s="106"/>
      <c r="BC42" s="106"/>
      <c r="BD42" s="106"/>
      <c r="BE42" s="103"/>
      <c r="BF42" s="104"/>
      <c r="BG42" s="104"/>
    </row>
    <row r="43" spans="1:59" s="17" customFormat="1" ht="15.75" hidden="1" customHeight="1">
      <c r="A43" s="102"/>
      <c r="B43" s="115"/>
      <c r="C43" s="117"/>
      <c r="D43" s="119"/>
      <c r="E43" s="117"/>
      <c r="F43" s="117"/>
      <c r="G43" s="121"/>
      <c r="H43" s="95"/>
      <c r="I43" s="95"/>
      <c r="J43" s="95"/>
      <c r="K43" s="22"/>
      <c r="L43" s="18"/>
      <c r="M43" s="18"/>
      <c r="N43" s="98"/>
      <c r="O43" s="19">
        <f>+L43-M43</f>
        <v>0</v>
      </c>
      <c r="P43" s="22"/>
      <c r="Q43" s="100"/>
      <c r="R43" s="102"/>
      <c r="S43" s="96"/>
      <c r="T43" s="96"/>
      <c r="U43" s="96"/>
      <c r="V43" s="96"/>
      <c r="W43" s="96"/>
      <c r="X43" s="96"/>
      <c r="Y43" s="96"/>
      <c r="Z43" s="96"/>
      <c r="AA43" s="96"/>
      <c r="AB43" s="96"/>
      <c r="AC43" s="96"/>
      <c r="AD43" s="96"/>
      <c r="AE43" s="96"/>
      <c r="AF43" s="96"/>
      <c r="AG43" s="96"/>
      <c r="AH43" s="96"/>
      <c r="AI43" s="96"/>
      <c r="AJ43" s="96"/>
      <c r="AK43" s="96"/>
      <c r="AL43" s="96"/>
      <c r="AM43" s="103"/>
      <c r="AN43" s="103"/>
      <c r="AO43" s="103"/>
      <c r="AP43" s="103"/>
      <c r="AQ43" s="103"/>
      <c r="AR43" s="103"/>
      <c r="AS43" s="103"/>
      <c r="AT43" s="103"/>
      <c r="AU43" s="103"/>
      <c r="AV43" s="103"/>
      <c r="AW43" s="103"/>
      <c r="AX43" s="103"/>
      <c r="AY43" s="107"/>
      <c r="AZ43" s="107"/>
      <c r="BA43" s="107"/>
      <c r="BB43" s="107"/>
      <c r="BC43" s="107"/>
      <c r="BD43" s="107"/>
      <c r="BE43" s="103"/>
      <c r="BF43" s="105"/>
      <c r="BG43" s="105"/>
    </row>
    <row r="44" spans="1:59" s="17" customFormat="1" ht="15.75" hidden="1" customHeight="1">
      <c r="A44" s="101"/>
      <c r="B44" s="114"/>
      <c r="C44" s="116"/>
      <c r="D44" s="118"/>
      <c r="E44" s="116"/>
      <c r="F44" s="116"/>
      <c r="G44" s="120"/>
      <c r="H44" s="90"/>
      <c r="I44" s="90"/>
      <c r="J44" s="90"/>
      <c r="K44" s="20"/>
      <c r="L44" s="20"/>
      <c r="M44" s="20"/>
      <c r="N44" s="97"/>
      <c r="O44" s="21"/>
      <c r="P44" s="27"/>
      <c r="Q44" s="99"/>
      <c r="R44" s="110"/>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6"/>
      <c r="AZ44" s="106"/>
      <c r="BA44" s="106"/>
      <c r="BB44" s="106"/>
      <c r="BC44" s="106"/>
      <c r="BD44" s="106"/>
      <c r="BE44" s="103"/>
      <c r="BF44" s="104"/>
      <c r="BG44" s="104"/>
    </row>
    <row r="45" spans="1:59" s="17" customFormat="1" ht="15.75" hidden="1" customHeight="1">
      <c r="A45" s="102"/>
      <c r="B45" s="115"/>
      <c r="C45" s="117"/>
      <c r="D45" s="119"/>
      <c r="E45" s="117"/>
      <c r="F45" s="117"/>
      <c r="G45" s="121"/>
      <c r="H45" s="95"/>
      <c r="I45" s="95"/>
      <c r="J45" s="95"/>
      <c r="K45" s="22"/>
      <c r="L45" s="18"/>
      <c r="M45" s="18"/>
      <c r="N45" s="98"/>
      <c r="O45" s="19"/>
      <c r="P45" s="22"/>
      <c r="Q45" s="100"/>
      <c r="R45" s="102"/>
      <c r="S45" s="96"/>
      <c r="T45" s="96"/>
      <c r="U45" s="96"/>
      <c r="V45" s="96"/>
      <c r="W45" s="96"/>
      <c r="X45" s="96"/>
      <c r="Y45" s="96"/>
      <c r="Z45" s="96"/>
      <c r="AA45" s="96"/>
      <c r="AB45" s="96"/>
      <c r="AC45" s="96"/>
      <c r="AD45" s="96"/>
      <c r="AE45" s="96"/>
      <c r="AF45" s="96"/>
      <c r="AG45" s="96"/>
      <c r="AH45" s="96"/>
      <c r="AI45" s="96"/>
      <c r="AJ45" s="96"/>
      <c r="AK45" s="96"/>
      <c r="AL45" s="96"/>
      <c r="AM45" s="103"/>
      <c r="AN45" s="103"/>
      <c r="AO45" s="103"/>
      <c r="AP45" s="103"/>
      <c r="AQ45" s="103"/>
      <c r="AR45" s="103"/>
      <c r="AS45" s="103"/>
      <c r="AT45" s="103"/>
      <c r="AU45" s="103"/>
      <c r="AV45" s="103"/>
      <c r="AW45" s="103"/>
      <c r="AX45" s="103"/>
      <c r="AY45" s="107"/>
      <c r="AZ45" s="107"/>
      <c r="BA45" s="107"/>
      <c r="BB45" s="107"/>
      <c r="BC45" s="107"/>
      <c r="BD45" s="107"/>
      <c r="BE45" s="103"/>
      <c r="BF45" s="105"/>
      <c r="BG45" s="105"/>
    </row>
    <row r="46" spans="1:59" s="17" customFormat="1" ht="15.75" hidden="1" customHeight="1">
      <c r="A46" s="101"/>
      <c r="B46" s="114"/>
      <c r="C46" s="116"/>
      <c r="D46" s="118"/>
      <c r="E46" s="116"/>
      <c r="F46" s="116"/>
      <c r="G46" s="120"/>
      <c r="H46" s="90"/>
      <c r="I46" s="90"/>
      <c r="J46" s="90"/>
      <c r="K46" s="20"/>
      <c r="L46" s="20"/>
      <c r="M46" s="20"/>
      <c r="N46" s="97"/>
      <c r="O46" s="21"/>
      <c r="P46" s="27"/>
      <c r="Q46" s="99"/>
      <c r="R46" s="110"/>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6"/>
      <c r="AZ46" s="106"/>
      <c r="BA46" s="106"/>
      <c r="BB46" s="106"/>
      <c r="BC46" s="106"/>
      <c r="BD46" s="106"/>
      <c r="BE46" s="103"/>
      <c r="BF46" s="104"/>
      <c r="BG46" s="104"/>
    </row>
    <row r="47" spans="1:59" s="17" customFormat="1" ht="15.75" hidden="1" customHeight="1">
      <c r="A47" s="102"/>
      <c r="B47" s="115"/>
      <c r="C47" s="117"/>
      <c r="D47" s="119"/>
      <c r="E47" s="117"/>
      <c r="F47" s="117"/>
      <c r="G47" s="121"/>
      <c r="H47" s="95"/>
      <c r="I47" s="95"/>
      <c r="J47" s="95"/>
      <c r="K47" s="22"/>
      <c r="L47" s="18"/>
      <c r="M47" s="18"/>
      <c r="N47" s="98"/>
      <c r="O47" s="19"/>
      <c r="P47" s="22"/>
      <c r="Q47" s="100"/>
      <c r="R47" s="102"/>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7"/>
      <c r="AZ47" s="107"/>
      <c r="BA47" s="107"/>
      <c r="BB47" s="107"/>
      <c r="BC47" s="107"/>
      <c r="BD47" s="107"/>
      <c r="BE47" s="103"/>
      <c r="BF47" s="105"/>
      <c r="BG47" s="105"/>
    </row>
    <row r="48" spans="1:59" ht="24.75" hidden="1" customHeight="1">
      <c r="A48" s="111" t="s">
        <v>48</v>
      </c>
      <c r="B48" s="112"/>
      <c r="C48" s="112"/>
      <c r="D48" s="112"/>
      <c r="E48" s="112"/>
      <c r="F48" s="112"/>
      <c r="G48" s="112"/>
      <c r="H48" s="112"/>
      <c r="I48" s="113"/>
      <c r="J48" s="5">
        <f>SUM(J42:J47)</f>
        <v>0</v>
      </c>
      <c r="K48" s="5">
        <f>+SUMPRODUCT(((MOD(ROW(K42:K47),2)=0)*(K42:K47)))</f>
        <v>0</v>
      </c>
      <c r="L48" s="5">
        <f>+SUMPRODUCT(((MOD(ROW(L42:L47),2)=0)*(L42:L47)))</f>
        <v>0</v>
      </c>
      <c r="M48" s="5">
        <f>+SUMPRODUCT(((MOD(ROW(M42:M47),2)=0)*(M42:M47)))</f>
        <v>0</v>
      </c>
      <c r="N48" s="23" t="e">
        <f>O48/L48</f>
        <v>#DIV/0!</v>
      </c>
      <c r="O48" s="5">
        <f>+SUMPRODUCT(((MOD(ROW(O42:O47),2)=0)*(O42:O47)))</f>
        <v>0</v>
      </c>
      <c r="P48" s="5">
        <f>+SUMPRODUCT(((MOD(ROW(P42:P47),2)=0)*(P42:P47)))</f>
        <v>0</v>
      </c>
      <c r="Q48" s="29">
        <f>SUM(Q42:Q47)</f>
        <v>0</v>
      </c>
      <c r="R48" s="29"/>
      <c r="S48" s="5">
        <f t="shared" ref="S48:BG48" si="2">SUM(S42:S47)</f>
        <v>0</v>
      </c>
      <c r="T48" s="5">
        <f t="shared" si="2"/>
        <v>0</v>
      </c>
      <c r="U48" s="5">
        <f t="shared" si="2"/>
        <v>0</v>
      </c>
      <c r="V48" s="5">
        <f t="shared" si="2"/>
        <v>0</v>
      </c>
      <c r="W48" s="5">
        <f t="shared" si="2"/>
        <v>0</v>
      </c>
      <c r="X48" s="5">
        <f t="shared" si="2"/>
        <v>0</v>
      </c>
      <c r="Y48" s="5">
        <f t="shared" si="2"/>
        <v>0</v>
      </c>
      <c r="Z48" s="5">
        <f t="shared" si="2"/>
        <v>0</v>
      </c>
      <c r="AA48" s="5">
        <f t="shared" si="2"/>
        <v>0</v>
      </c>
      <c r="AB48" s="5">
        <f t="shared" si="2"/>
        <v>0</v>
      </c>
      <c r="AC48" s="5">
        <f t="shared" si="2"/>
        <v>0</v>
      </c>
      <c r="AD48" s="5">
        <f t="shared" si="2"/>
        <v>0</v>
      </c>
      <c r="AE48" s="5">
        <f t="shared" si="2"/>
        <v>0</v>
      </c>
      <c r="AF48" s="5">
        <f t="shared" si="2"/>
        <v>0</v>
      </c>
      <c r="AG48" s="5">
        <f t="shared" si="2"/>
        <v>0</v>
      </c>
      <c r="AH48" s="5">
        <f t="shared" si="2"/>
        <v>0</v>
      </c>
      <c r="AI48" s="5">
        <f t="shared" si="2"/>
        <v>0</v>
      </c>
      <c r="AJ48" s="5">
        <f t="shared" si="2"/>
        <v>0</v>
      </c>
      <c r="AK48" s="5">
        <f t="shared" si="2"/>
        <v>0</v>
      </c>
      <c r="AL48" s="5">
        <f t="shared" si="2"/>
        <v>0</v>
      </c>
      <c r="AM48" s="5">
        <f t="shared" si="2"/>
        <v>0</v>
      </c>
      <c r="AN48" s="5">
        <f t="shared" si="2"/>
        <v>0</v>
      </c>
      <c r="AO48" s="5">
        <f t="shared" si="2"/>
        <v>0</v>
      </c>
      <c r="AP48" s="5">
        <f t="shared" si="2"/>
        <v>0</v>
      </c>
      <c r="AQ48" s="5">
        <f t="shared" si="2"/>
        <v>0</v>
      </c>
      <c r="AR48" s="5">
        <f t="shared" si="2"/>
        <v>0</v>
      </c>
      <c r="AS48" s="5">
        <f t="shared" si="2"/>
        <v>0</v>
      </c>
      <c r="AT48" s="5">
        <f t="shared" si="2"/>
        <v>0</v>
      </c>
      <c r="AU48" s="5">
        <f t="shared" si="2"/>
        <v>0</v>
      </c>
      <c r="AV48" s="5">
        <f t="shared" si="2"/>
        <v>0</v>
      </c>
      <c r="AW48" s="5">
        <f t="shared" si="2"/>
        <v>0</v>
      </c>
      <c r="AX48" s="5">
        <f t="shared" si="2"/>
        <v>0</v>
      </c>
      <c r="AY48" s="5">
        <f t="shared" si="2"/>
        <v>0</v>
      </c>
      <c r="AZ48" s="5">
        <f t="shared" si="2"/>
        <v>0</v>
      </c>
      <c r="BA48" s="5">
        <f t="shared" si="2"/>
        <v>0</v>
      </c>
      <c r="BB48" s="5">
        <f t="shared" si="2"/>
        <v>0</v>
      </c>
      <c r="BC48" s="5">
        <f t="shared" si="2"/>
        <v>0</v>
      </c>
      <c r="BD48" s="5">
        <f t="shared" si="2"/>
        <v>0</v>
      </c>
      <c r="BE48" s="5">
        <f t="shared" si="2"/>
        <v>0</v>
      </c>
      <c r="BF48" s="5">
        <f t="shared" si="2"/>
        <v>0</v>
      </c>
      <c r="BG48" s="5">
        <f t="shared" si="2"/>
        <v>0</v>
      </c>
    </row>
    <row r="49" spans="1:59" s="17" customFormat="1" ht="15.75" hidden="1" customHeight="1">
      <c r="A49" s="101"/>
      <c r="B49" s="114"/>
      <c r="C49" s="116"/>
      <c r="D49" s="118"/>
      <c r="E49" s="118"/>
      <c r="F49" s="116"/>
      <c r="G49" s="120"/>
      <c r="H49" s="90"/>
      <c r="I49" s="90"/>
      <c r="J49" s="90"/>
      <c r="K49" s="20"/>
      <c r="L49" s="20"/>
      <c r="M49" s="20"/>
      <c r="N49" s="97" t="e">
        <f>O50/L50</f>
        <v>#DIV/0!</v>
      </c>
      <c r="O49" s="21">
        <f t="shared" ref="O49:O58" si="3">L49-M49</f>
        <v>0</v>
      </c>
      <c r="P49" s="27"/>
      <c r="Q49" s="99"/>
      <c r="R49" s="110"/>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6"/>
      <c r="AZ49" s="106"/>
      <c r="BA49" s="106"/>
      <c r="BB49" s="106"/>
      <c r="BC49" s="106"/>
      <c r="BD49" s="106"/>
      <c r="BE49" s="103"/>
      <c r="BF49" s="104"/>
      <c r="BG49" s="104"/>
    </row>
    <row r="50" spans="1:59" s="17" customFormat="1" ht="15.75" hidden="1" customHeight="1">
      <c r="A50" s="102"/>
      <c r="B50" s="115"/>
      <c r="C50" s="117"/>
      <c r="D50" s="119"/>
      <c r="E50" s="119"/>
      <c r="F50" s="117"/>
      <c r="G50" s="121"/>
      <c r="H50" s="95"/>
      <c r="I50" s="95"/>
      <c r="J50" s="95"/>
      <c r="K50" s="22"/>
      <c r="L50" s="18"/>
      <c r="M50" s="18"/>
      <c r="N50" s="98"/>
      <c r="O50" s="19">
        <f t="shared" si="3"/>
        <v>0</v>
      </c>
      <c r="P50" s="22"/>
      <c r="Q50" s="100"/>
      <c r="R50" s="102"/>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7"/>
      <c r="AZ50" s="107"/>
      <c r="BA50" s="107"/>
      <c r="BB50" s="107"/>
      <c r="BC50" s="107"/>
      <c r="BD50" s="107"/>
      <c r="BE50" s="103"/>
      <c r="BF50" s="105"/>
      <c r="BG50" s="105"/>
    </row>
    <row r="51" spans="1:59" s="17" customFormat="1" ht="15.75" hidden="1" customHeight="1">
      <c r="A51" s="101"/>
      <c r="B51" s="114"/>
      <c r="C51" s="116"/>
      <c r="D51" s="118"/>
      <c r="E51" s="118"/>
      <c r="F51" s="116"/>
      <c r="G51" s="120"/>
      <c r="H51" s="90"/>
      <c r="I51" s="90"/>
      <c r="J51" s="90"/>
      <c r="K51" s="20"/>
      <c r="L51" s="20"/>
      <c r="M51" s="20"/>
      <c r="N51" s="97" t="e">
        <f>O52/L52</f>
        <v>#DIV/0!</v>
      </c>
      <c r="O51" s="21">
        <f t="shared" si="3"/>
        <v>0</v>
      </c>
      <c r="P51" s="27"/>
      <c r="Q51" s="99">
        <f>+L52-P52</f>
        <v>0</v>
      </c>
      <c r="R51" s="110"/>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6"/>
      <c r="AZ51" s="106"/>
      <c r="BA51" s="106"/>
      <c r="BB51" s="106"/>
      <c r="BC51" s="106"/>
      <c r="BD51" s="106"/>
      <c r="BE51" s="103"/>
      <c r="BF51" s="104"/>
      <c r="BG51" s="104"/>
    </row>
    <row r="52" spans="1:59" s="17" customFormat="1" ht="15.75" hidden="1" customHeight="1">
      <c r="A52" s="102"/>
      <c r="B52" s="115"/>
      <c r="C52" s="117"/>
      <c r="D52" s="119"/>
      <c r="E52" s="119"/>
      <c r="F52" s="117"/>
      <c r="G52" s="121"/>
      <c r="H52" s="95"/>
      <c r="I52" s="95"/>
      <c r="J52" s="95"/>
      <c r="K52" s="22"/>
      <c r="L52" s="18"/>
      <c r="M52" s="18"/>
      <c r="N52" s="98"/>
      <c r="O52" s="19">
        <f t="shared" si="3"/>
        <v>0</v>
      </c>
      <c r="P52" s="22"/>
      <c r="Q52" s="100"/>
      <c r="R52" s="102"/>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7"/>
      <c r="AZ52" s="107"/>
      <c r="BA52" s="107"/>
      <c r="BB52" s="107"/>
      <c r="BC52" s="107"/>
      <c r="BD52" s="107"/>
      <c r="BE52" s="103"/>
      <c r="BF52" s="105"/>
      <c r="BG52" s="105"/>
    </row>
    <row r="53" spans="1:59" s="17" customFormat="1" ht="15.75" hidden="1" customHeight="1">
      <c r="A53" s="101"/>
      <c r="B53" s="114"/>
      <c r="C53" s="116"/>
      <c r="D53" s="118"/>
      <c r="E53" s="118"/>
      <c r="F53" s="116"/>
      <c r="G53" s="120"/>
      <c r="H53" s="90"/>
      <c r="I53" s="90"/>
      <c r="J53" s="90"/>
      <c r="K53" s="20"/>
      <c r="L53" s="20"/>
      <c r="M53" s="20"/>
      <c r="N53" s="97" t="e">
        <f>O54/L54</f>
        <v>#DIV/0!</v>
      </c>
      <c r="O53" s="21">
        <f t="shared" si="3"/>
        <v>0</v>
      </c>
      <c r="P53" s="27"/>
      <c r="Q53" s="99">
        <f>+L54-P54</f>
        <v>0</v>
      </c>
      <c r="R53" s="110"/>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5.75" hidden="1" customHeight="1">
      <c r="A54" s="102"/>
      <c r="B54" s="115"/>
      <c r="C54" s="117"/>
      <c r="D54" s="119"/>
      <c r="E54" s="119"/>
      <c r="F54" s="117"/>
      <c r="G54" s="121"/>
      <c r="H54" s="95"/>
      <c r="I54" s="95"/>
      <c r="J54" s="95"/>
      <c r="K54" s="22"/>
      <c r="L54" s="18"/>
      <c r="M54" s="18"/>
      <c r="N54" s="98"/>
      <c r="O54" s="19">
        <f t="shared" si="3"/>
        <v>0</v>
      </c>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5.75" hidden="1" customHeight="1">
      <c r="A55" s="101"/>
      <c r="B55" s="114"/>
      <c r="C55" s="116"/>
      <c r="D55" s="118"/>
      <c r="E55" s="118"/>
      <c r="F55" s="116"/>
      <c r="G55" s="120"/>
      <c r="H55" s="90"/>
      <c r="I55" s="90"/>
      <c r="J55" s="90"/>
      <c r="K55" s="20"/>
      <c r="L55" s="20"/>
      <c r="M55" s="20"/>
      <c r="N55" s="97" t="e">
        <f>O56/L56</f>
        <v>#DIV/0!</v>
      </c>
      <c r="O55" s="21">
        <f t="shared" si="3"/>
        <v>0</v>
      </c>
      <c r="P55" s="27"/>
      <c r="Q55" s="99">
        <f>+L56-P56</f>
        <v>0</v>
      </c>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102"/>
      <c r="B56" s="115"/>
      <c r="C56" s="117"/>
      <c r="D56" s="119"/>
      <c r="E56" s="119"/>
      <c r="F56" s="117"/>
      <c r="G56" s="121"/>
      <c r="H56" s="95"/>
      <c r="I56" s="95"/>
      <c r="J56" s="95"/>
      <c r="K56" s="22"/>
      <c r="L56" s="18"/>
      <c r="M56" s="18"/>
      <c r="N56" s="98"/>
      <c r="O56" s="19">
        <f t="shared" si="3"/>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109"/>
      <c r="I57" s="90"/>
      <c r="J57" s="90"/>
      <c r="K57" s="20"/>
      <c r="L57" s="20"/>
      <c r="M57" s="20"/>
      <c r="N57" s="97" t="e">
        <f>O58/L58</f>
        <v>#DIV/0!</v>
      </c>
      <c r="O57" s="21">
        <f t="shared" si="3"/>
        <v>0</v>
      </c>
      <c r="P57" s="27"/>
      <c r="Q57" s="99">
        <f>+L58-P58</f>
        <v>0</v>
      </c>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v>45223</v>
      </c>
      <c r="B59" s="114"/>
      <c r="C59" s="116"/>
      <c r="D59" s="118"/>
      <c r="E59" s="116"/>
      <c r="F59" s="116"/>
      <c r="G59" s="120"/>
      <c r="H59" s="90"/>
      <c r="I59" s="90"/>
      <c r="J59" s="90"/>
      <c r="K59" s="20"/>
      <c r="L59" s="20"/>
      <c r="M59" s="20"/>
      <c r="N59" s="97" t="e">
        <f>O60/L60</f>
        <v>#DIV/0!</v>
      </c>
      <c r="O59" s="21"/>
      <c r="P59" s="27"/>
      <c r="Q59" s="99"/>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7"/>
      <c r="F60" s="117"/>
      <c r="G60" s="121"/>
      <c r="H60" s="95"/>
      <c r="I60" s="95"/>
      <c r="J60" s="95"/>
      <c r="K60" s="22"/>
      <c r="L60" s="18"/>
      <c r="M60" s="18"/>
      <c r="N60" s="98"/>
      <c r="O60" s="19"/>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ht="24.75" hidden="1" customHeight="1">
      <c r="A61" s="111" t="s">
        <v>51</v>
      </c>
      <c r="B61" s="112"/>
      <c r="C61" s="112"/>
      <c r="D61" s="112"/>
      <c r="E61" s="112"/>
      <c r="F61" s="112"/>
      <c r="G61" s="112"/>
      <c r="H61" s="112"/>
      <c r="I61" s="113"/>
      <c r="J61" s="5">
        <f>SUM(J49:J60)</f>
        <v>0</v>
      </c>
      <c r="K61" s="5">
        <f>+SUMPRODUCT(((MOD(ROW(K49:K60),2)=1)*(K49:K60)))</f>
        <v>0</v>
      </c>
      <c r="L61" s="5">
        <f>+SUMPRODUCT(((MOD(ROW(L49:L60),2)=1)*(L49:L60)))</f>
        <v>0</v>
      </c>
      <c r="M61" s="5">
        <f>+SUMPRODUCT(((MOD(ROW(M49:M60),2)=1)*(M49:M60)))</f>
        <v>0</v>
      </c>
      <c r="N61" s="23" t="e">
        <f>O61/L61</f>
        <v>#DIV/0!</v>
      </c>
      <c r="O61" s="5">
        <f>+SUMPRODUCT(((MOD(ROW(O49:O60),2)=1)*(O49:O60)))</f>
        <v>0</v>
      </c>
      <c r="P61" s="5">
        <f>+SUMPRODUCT(((MOD(ROW(P49:P60),2)=1)*(P49:P60)))</f>
        <v>0</v>
      </c>
      <c r="Q61" s="29">
        <f>SUM(Q49:Q60)</f>
        <v>0</v>
      </c>
      <c r="R61" s="29"/>
      <c r="S61" s="5">
        <f t="shared" ref="S61:BG61" si="4">SUM(S49:S60)</f>
        <v>0</v>
      </c>
      <c r="T61" s="5">
        <f t="shared" si="4"/>
        <v>0</v>
      </c>
      <c r="U61" s="5">
        <f t="shared" si="4"/>
        <v>0</v>
      </c>
      <c r="V61" s="5">
        <f t="shared" si="4"/>
        <v>0</v>
      </c>
      <c r="W61" s="5">
        <f t="shared" si="4"/>
        <v>0</v>
      </c>
      <c r="X61" s="5">
        <f t="shared" si="4"/>
        <v>0</v>
      </c>
      <c r="Y61" s="5">
        <f t="shared" si="4"/>
        <v>0</v>
      </c>
      <c r="Z61" s="5">
        <f t="shared" si="4"/>
        <v>0</v>
      </c>
      <c r="AA61" s="5">
        <f t="shared" si="4"/>
        <v>0</v>
      </c>
      <c r="AB61" s="5">
        <f t="shared" si="4"/>
        <v>0</v>
      </c>
      <c r="AC61" s="5">
        <f t="shared" si="4"/>
        <v>0</v>
      </c>
      <c r="AD61" s="5">
        <f t="shared" si="4"/>
        <v>0</v>
      </c>
      <c r="AE61" s="5">
        <f t="shared" si="4"/>
        <v>0</v>
      </c>
      <c r="AF61" s="5">
        <f t="shared" si="4"/>
        <v>0</v>
      </c>
      <c r="AG61" s="5">
        <f t="shared" si="4"/>
        <v>0</v>
      </c>
      <c r="AH61" s="5">
        <f t="shared" si="4"/>
        <v>0</v>
      </c>
      <c r="AI61" s="5">
        <f t="shared" si="4"/>
        <v>0</v>
      </c>
      <c r="AJ61" s="5">
        <f t="shared" si="4"/>
        <v>0</v>
      </c>
      <c r="AK61" s="5">
        <f t="shared" si="4"/>
        <v>0</v>
      </c>
      <c r="AL61" s="5">
        <f t="shared" si="4"/>
        <v>0</v>
      </c>
      <c r="AM61" s="5">
        <f t="shared" si="4"/>
        <v>0</v>
      </c>
      <c r="AN61" s="5">
        <f t="shared" si="4"/>
        <v>0</v>
      </c>
      <c r="AO61" s="5">
        <f t="shared" si="4"/>
        <v>0</v>
      </c>
      <c r="AP61" s="5">
        <f t="shared" si="4"/>
        <v>0</v>
      </c>
      <c r="AQ61" s="5">
        <f t="shared" si="4"/>
        <v>0</v>
      </c>
      <c r="AR61" s="5">
        <f t="shared" si="4"/>
        <v>0</v>
      </c>
      <c r="AS61" s="5">
        <f t="shared" si="4"/>
        <v>0</v>
      </c>
      <c r="AT61" s="5">
        <f t="shared" si="4"/>
        <v>0</v>
      </c>
      <c r="AU61" s="5">
        <f t="shared" si="4"/>
        <v>0</v>
      </c>
      <c r="AV61" s="5">
        <f t="shared" si="4"/>
        <v>0</v>
      </c>
      <c r="AW61" s="5">
        <f t="shared" si="4"/>
        <v>0</v>
      </c>
      <c r="AX61" s="5">
        <f t="shared" si="4"/>
        <v>0</v>
      </c>
      <c r="AY61" s="5">
        <f t="shared" si="4"/>
        <v>0</v>
      </c>
      <c r="AZ61" s="5">
        <f t="shared" si="4"/>
        <v>0</v>
      </c>
      <c r="BA61" s="5">
        <f t="shared" si="4"/>
        <v>0</v>
      </c>
      <c r="BB61" s="5">
        <f t="shared" si="4"/>
        <v>0</v>
      </c>
      <c r="BC61" s="5">
        <f t="shared" si="4"/>
        <v>0</v>
      </c>
      <c r="BD61" s="5">
        <f t="shared" si="4"/>
        <v>0</v>
      </c>
      <c r="BE61" s="5">
        <f t="shared" si="4"/>
        <v>0</v>
      </c>
      <c r="BF61" s="5">
        <f t="shared" si="4"/>
        <v>0</v>
      </c>
      <c r="BG61" s="5">
        <f t="shared" si="4"/>
        <v>0</v>
      </c>
    </row>
    <row r="62" spans="1:59" ht="24.75" customHeight="1">
      <c r="A62" s="122" t="s">
        <v>5</v>
      </c>
      <c r="B62" s="122"/>
      <c r="C62" s="122"/>
      <c r="D62" s="122"/>
      <c r="E62" s="122"/>
      <c r="F62" s="122"/>
      <c r="G62" s="122"/>
      <c r="H62" s="122"/>
      <c r="I62" s="122"/>
      <c r="J62" s="30">
        <f>J41+J61+J48</f>
        <v>19421</v>
      </c>
      <c r="K62" s="38">
        <f>K41+K48+K61</f>
        <v>707</v>
      </c>
      <c r="L62" s="38">
        <f>L41+L48+L61</f>
        <v>1388</v>
      </c>
      <c r="M62" s="38">
        <f>M41+M48+M61</f>
        <v>482</v>
      </c>
      <c r="N62" s="32">
        <f>N41</f>
        <v>0.6527377521613833</v>
      </c>
      <c r="O62" s="38">
        <f>O41+O48+O61</f>
        <v>906</v>
      </c>
      <c r="P62" s="38">
        <f>P41+P48+P61</f>
        <v>799</v>
      </c>
      <c r="Q62" s="38">
        <f>Q41+Q48+Q61</f>
        <v>1481</v>
      </c>
      <c r="R62" s="38"/>
      <c r="S62" s="38">
        <f t="shared" ref="S62:BG62" si="5">S41+S48+S61</f>
        <v>146</v>
      </c>
      <c r="T62" s="38">
        <f t="shared" si="5"/>
        <v>201</v>
      </c>
      <c r="U62" s="38">
        <f t="shared" si="5"/>
        <v>38</v>
      </c>
      <c r="V62" s="38">
        <f t="shared" si="5"/>
        <v>0</v>
      </c>
      <c r="W62" s="38">
        <f t="shared" si="5"/>
        <v>0</v>
      </c>
      <c r="X62" s="38">
        <f t="shared" si="5"/>
        <v>13</v>
      </c>
      <c r="Y62" s="38">
        <f t="shared" si="5"/>
        <v>6</v>
      </c>
      <c r="Z62" s="38">
        <f t="shared" si="5"/>
        <v>0</v>
      </c>
      <c r="AA62" s="38">
        <f t="shared" si="5"/>
        <v>0</v>
      </c>
      <c r="AB62" s="38">
        <f t="shared" si="5"/>
        <v>0</v>
      </c>
      <c r="AC62" s="38">
        <f t="shared" si="5"/>
        <v>145</v>
      </c>
      <c r="AD62" s="38">
        <f t="shared" si="5"/>
        <v>14</v>
      </c>
      <c r="AE62" s="38">
        <f t="shared" si="5"/>
        <v>32</v>
      </c>
      <c r="AF62" s="38">
        <f t="shared" si="5"/>
        <v>47</v>
      </c>
      <c r="AG62" s="38">
        <f t="shared" si="5"/>
        <v>44</v>
      </c>
      <c r="AH62" s="38">
        <f t="shared" si="5"/>
        <v>105</v>
      </c>
      <c r="AI62" s="38">
        <f t="shared" si="5"/>
        <v>0</v>
      </c>
      <c r="AJ62" s="38">
        <f t="shared" si="5"/>
        <v>0</v>
      </c>
      <c r="AK62" s="38">
        <f t="shared" si="5"/>
        <v>0</v>
      </c>
      <c r="AL62" s="38">
        <f t="shared" si="5"/>
        <v>115</v>
      </c>
      <c r="AM62" s="38">
        <f t="shared" si="5"/>
        <v>0</v>
      </c>
      <c r="AN62" s="38">
        <f t="shared" si="5"/>
        <v>0</v>
      </c>
      <c r="AO62" s="38">
        <f t="shared" si="5"/>
        <v>0</v>
      </c>
      <c r="AP62" s="38">
        <f t="shared" si="5"/>
        <v>0</v>
      </c>
      <c r="AQ62" s="38">
        <f t="shared" si="5"/>
        <v>0</v>
      </c>
      <c r="AR62" s="38">
        <f t="shared" si="5"/>
        <v>0</v>
      </c>
      <c r="AS62" s="38">
        <f t="shared" si="5"/>
        <v>0</v>
      </c>
      <c r="AT62" s="38">
        <f t="shared" si="5"/>
        <v>0</v>
      </c>
      <c r="AU62" s="38">
        <f t="shared" si="5"/>
        <v>0</v>
      </c>
      <c r="AV62" s="38">
        <f t="shared" si="5"/>
        <v>0</v>
      </c>
      <c r="AW62" s="38">
        <f t="shared" si="5"/>
        <v>0</v>
      </c>
      <c r="AX62" s="38">
        <f t="shared" si="5"/>
        <v>0</v>
      </c>
      <c r="AY62" s="38">
        <f t="shared" si="5"/>
        <v>0</v>
      </c>
      <c r="AZ62" s="38">
        <f t="shared" si="5"/>
        <v>0</v>
      </c>
      <c r="BA62" s="38">
        <f t="shared" si="5"/>
        <v>0</v>
      </c>
      <c r="BB62" s="38">
        <f t="shared" si="5"/>
        <v>0</v>
      </c>
      <c r="BC62" s="38">
        <f t="shared" si="5"/>
        <v>0</v>
      </c>
      <c r="BD62" s="38">
        <f t="shared" si="5"/>
        <v>0</v>
      </c>
      <c r="BE62" s="38">
        <f t="shared" si="5"/>
        <v>0</v>
      </c>
      <c r="BF62" s="38">
        <f t="shared" si="5"/>
        <v>0</v>
      </c>
      <c r="BG62" s="38">
        <f t="shared" si="5"/>
        <v>0</v>
      </c>
    </row>
    <row r="63" spans="1:59" ht="31.8">
      <c r="A63" s="81" t="s">
        <v>36</v>
      </c>
      <c r="B63" s="81"/>
      <c r="C63" s="81"/>
      <c r="D63" s="81"/>
      <c r="E63" s="81"/>
      <c r="F63" s="81"/>
      <c r="G63" s="81"/>
      <c r="H63" s="81"/>
      <c r="I63" s="81"/>
      <c r="J63" s="81"/>
      <c r="K63" s="81"/>
      <c r="L63" s="81"/>
      <c r="M63" s="81"/>
      <c r="N63" s="81"/>
      <c r="O63" s="81"/>
      <c r="P63" s="24"/>
      <c r="Q63" s="24"/>
      <c r="R63" s="24"/>
      <c r="AM63" s="34"/>
      <c r="AN63" s="34"/>
      <c r="AO63" s="34"/>
      <c r="AP63" s="34"/>
      <c r="AQ63" s="34"/>
      <c r="AR63" s="34"/>
      <c r="AS63" s="34"/>
      <c r="AT63" s="34"/>
      <c r="AU63" s="34"/>
      <c r="AV63" s="34"/>
      <c r="AW63" s="34"/>
      <c r="AX63" s="34"/>
      <c r="AY63" s="34"/>
      <c r="AZ63" s="34"/>
      <c r="BA63" s="34"/>
      <c r="BB63" s="34"/>
      <c r="BC63" s="34"/>
      <c r="BD63" s="34"/>
      <c r="BE63" s="34"/>
      <c r="BF63" s="34"/>
      <c r="BG63" s="34"/>
    </row>
    <row r="64" spans="1:59" ht="33.75" customHeight="1">
      <c r="A64" s="82" t="s">
        <v>13</v>
      </c>
      <c r="B64" s="82"/>
      <c r="C64" s="82"/>
      <c r="D64" s="82"/>
      <c r="E64" s="82"/>
      <c r="F64" s="82"/>
      <c r="G64" s="82"/>
      <c r="H64" s="82"/>
      <c r="I64" s="82"/>
      <c r="J64" s="82"/>
      <c r="K64" s="82"/>
      <c r="L64" s="82"/>
      <c r="M64" s="82"/>
      <c r="N64" s="82"/>
      <c r="O64" s="82"/>
      <c r="AM64" s="34"/>
      <c r="AN64" s="34"/>
      <c r="AO64" s="34"/>
      <c r="AP64" s="34"/>
      <c r="AQ64" s="34"/>
      <c r="AR64" s="34"/>
      <c r="AS64" s="34"/>
      <c r="AT64" s="34"/>
      <c r="AU64" s="34"/>
      <c r="AV64" s="34"/>
      <c r="AW64" s="34"/>
      <c r="AX64" s="34"/>
      <c r="AY64" s="34"/>
      <c r="AZ64" s="34"/>
      <c r="BA64" s="34"/>
      <c r="BB64" s="34"/>
      <c r="BC64" s="34"/>
      <c r="BD64" s="34"/>
      <c r="BE64" s="34"/>
      <c r="BF64" s="34"/>
      <c r="BG64" s="34"/>
    </row>
    <row r="65" spans="1:59" ht="62.4">
      <c r="A65" s="9" t="s">
        <v>0</v>
      </c>
      <c r="B65" s="10" t="s">
        <v>34</v>
      </c>
      <c r="C65" s="11" t="s">
        <v>7</v>
      </c>
      <c r="D65" s="12" t="s">
        <v>1</v>
      </c>
      <c r="E65" s="13" t="s">
        <v>4</v>
      </c>
      <c r="F65" s="13" t="s">
        <v>2</v>
      </c>
      <c r="G65" s="13" t="s">
        <v>3</v>
      </c>
      <c r="H65" s="11" t="s">
        <v>6</v>
      </c>
      <c r="I65" s="14" t="s">
        <v>8</v>
      </c>
      <c r="J65" s="14" t="s">
        <v>17</v>
      </c>
      <c r="K65" s="12" t="s">
        <v>9</v>
      </c>
      <c r="L65" s="15" t="s">
        <v>10</v>
      </c>
      <c r="M65" s="15" t="s">
        <v>11</v>
      </c>
      <c r="N65" s="15" t="s">
        <v>12</v>
      </c>
      <c r="O65" s="15" t="s">
        <v>14</v>
      </c>
      <c r="P65" s="26" t="s">
        <v>16</v>
      </c>
      <c r="Q65" s="15" t="s">
        <v>42</v>
      </c>
      <c r="R65" s="15" t="s">
        <v>44</v>
      </c>
      <c r="S65" s="83">
        <v>101</v>
      </c>
      <c r="T65" s="83">
        <v>102</v>
      </c>
      <c r="U65" s="80">
        <v>106</v>
      </c>
      <c r="V65" s="80">
        <v>108</v>
      </c>
      <c r="W65" s="80">
        <v>109</v>
      </c>
      <c r="X65" s="80">
        <v>113</v>
      </c>
      <c r="Y65" s="80">
        <v>114</v>
      </c>
      <c r="Z65" s="80">
        <v>115</v>
      </c>
      <c r="AA65" s="80">
        <v>116</v>
      </c>
      <c r="AB65" s="80">
        <v>199</v>
      </c>
      <c r="AC65" s="80">
        <v>201</v>
      </c>
      <c r="AD65" s="80">
        <v>202</v>
      </c>
      <c r="AE65" s="80">
        <v>203</v>
      </c>
      <c r="AF65" s="80">
        <v>205</v>
      </c>
      <c r="AG65" s="80">
        <v>206</v>
      </c>
      <c r="AH65" s="79">
        <v>209</v>
      </c>
      <c r="AI65" s="79">
        <v>212</v>
      </c>
      <c r="AJ65" s="79">
        <v>216</v>
      </c>
      <c r="AK65" s="79">
        <v>217</v>
      </c>
      <c r="AL65" s="79">
        <v>299</v>
      </c>
      <c r="AM65" s="79">
        <v>301</v>
      </c>
      <c r="AN65" s="79">
        <v>302</v>
      </c>
      <c r="AO65" s="79">
        <v>399</v>
      </c>
      <c r="AP65" s="79">
        <v>401</v>
      </c>
      <c r="AQ65" s="79">
        <v>402</v>
      </c>
      <c r="AR65" s="79">
        <v>411</v>
      </c>
      <c r="AS65" s="79">
        <v>412</v>
      </c>
      <c r="AT65" s="79">
        <v>413</v>
      </c>
      <c r="AU65" s="79">
        <v>499</v>
      </c>
      <c r="AV65" s="79">
        <v>501</v>
      </c>
      <c r="AW65" s="79">
        <v>502</v>
      </c>
      <c r="AX65" s="79">
        <v>599</v>
      </c>
      <c r="AY65" s="79">
        <v>604</v>
      </c>
      <c r="AZ65" s="79">
        <v>605</v>
      </c>
      <c r="BA65" s="79">
        <v>699</v>
      </c>
      <c r="BB65" s="79">
        <v>701</v>
      </c>
      <c r="BC65" s="79">
        <v>702</v>
      </c>
      <c r="BD65" s="79">
        <v>703</v>
      </c>
      <c r="BE65" s="79">
        <v>704</v>
      </c>
      <c r="BF65" s="79">
        <v>799</v>
      </c>
      <c r="BG65" s="84">
        <v>999</v>
      </c>
    </row>
    <row r="66" spans="1:59" ht="62.25" customHeight="1">
      <c r="A66" s="10" t="s">
        <v>18</v>
      </c>
      <c r="B66" s="10" t="s">
        <v>19</v>
      </c>
      <c r="C66" s="13" t="s">
        <v>20</v>
      </c>
      <c r="D66" s="12" t="s">
        <v>21</v>
      </c>
      <c r="E66" s="13" t="s">
        <v>22</v>
      </c>
      <c r="F66" s="13" t="s">
        <v>23</v>
      </c>
      <c r="G66" s="13" t="s">
        <v>25</v>
      </c>
      <c r="H66" s="13" t="s">
        <v>24</v>
      </c>
      <c r="I66" s="14" t="s">
        <v>26</v>
      </c>
      <c r="J66" s="14" t="s">
        <v>27</v>
      </c>
      <c r="K66" s="15" t="s">
        <v>28</v>
      </c>
      <c r="L66" s="15" t="s">
        <v>29</v>
      </c>
      <c r="M66" s="15" t="s">
        <v>30</v>
      </c>
      <c r="N66" s="15" t="s">
        <v>32</v>
      </c>
      <c r="O66" s="15" t="s">
        <v>31</v>
      </c>
      <c r="P66" s="26" t="s">
        <v>33</v>
      </c>
      <c r="Q66" s="15" t="s">
        <v>43</v>
      </c>
      <c r="R66" s="15" t="s">
        <v>45</v>
      </c>
      <c r="S66" s="83"/>
      <c r="T66" s="83"/>
      <c r="U66" s="80"/>
      <c r="V66" s="80"/>
      <c r="W66" s="80"/>
      <c r="X66" s="80"/>
      <c r="Y66" s="80"/>
      <c r="Z66" s="80"/>
      <c r="AA66" s="80"/>
      <c r="AB66" s="80"/>
      <c r="AC66" s="80"/>
      <c r="AD66" s="80"/>
      <c r="AE66" s="80"/>
      <c r="AF66" s="80"/>
      <c r="AG66" s="80"/>
      <c r="AH66" s="79"/>
      <c r="AI66" s="79"/>
      <c r="AJ66" s="79"/>
      <c r="AK66" s="79"/>
      <c r="AL66" s="79"/>
      <c r="AM66" s="79"/>
      <c r="AN66" s="79"/>
      <c r="AO66" s="79"/>
      <c r="AP66" s="79"/>
      <c r="AQ66" s="79"/>
      <c r="AR66" s="79"/>
      <c r="AS66" s="79"/>
      <c r="AT66" s="79"/>
      <c r="AU66" s="79"/>
      <c r="AV66" s="79"/>
      <c r="AW66" s="79"/>
      <c r="AX66" s="79"/>
      <c r="AY66" s="79"/>
      <c r="AZ66" s="79"/>
      <c r="BA66" s="79"/>
      <c r="BB66" s="79"/>
      <c r="BC66" s="79"/>
      <c r="BD66" s="79"/>
      <c r="BE66" s="79"/>
      <c r="BF66" s="79"/>
      <c r="BG66" s="84"/>
    </row>
    <row r="67" spans="1:59" s="17" customFormat="1" ht="15.75" customHeight="1">
      <c r="A67" s="85">
        <v>45262</v>
      </c>
      <c r="B67" s="114" t="s">
        <v>37</v>
      </c>
      <c r="C67" s="116" t="s">
        <v>56</v>
      </c>
      <c r="D67" s="118" t="s">
        <v>38</v>
      </c>
      <c r="E67" s="116">
        <v>84217</v>
      </c>
      <c r="F67" s="116" t="s">
        <v>49</v>
      </c>
      <c r="G67" s="120" t="s">
        <v>53</v>
      </c>
      <c r="H67" s="90" t="s">
        <v>39</v>
      </c>
      <c r="I67" s="90">
        <v>3008</v>
      </c>
      <c r="J67" s="90">
        <v>3008</v>
      </c>
      <c r="K67" s="20">
        <v>0</v>
      </c>
      <c r="L67" s="20">
        <v>0</v>
      </c>
      <c r="M67" s="20">
        <v>0</v>
      </c>
      <c r="N67" s="97">
        <f>O68/L68</f>
        <v>0.78514323784143902</v>
      </c>
      <c r="O67" s="21">
        <f t="shared" ref="O67:O74" si="6">L67-M67</f>
        <v>0</v>
      </c>
      <c r="P67" s="27">
        <v>0</v>
      </c>
      <c r="Q67" s="99">
        <f>+L68-P68</f>
        <v>80</v>
      </c>
      <c r="R67" s="101"/>
      <c r="S67" s="96"/>
      <c r="T67" s="96"/>
      <c r="U67" s="96"/>
      <c r="V67" s="96"/>
      <c r="W67" s="96"/>
      <c r="X67" s="96"/>
      <c r="Y67" s="96"/>
      <c r="Z67" s="96"/>
      <c r="AA67" s="96"/>
      <c r="AB67" s="96"/>
      <c r="AC67" s="96"/>
      <c r="AD67" s="96"/>
      <c r="AE67" s="96"/>
      <c r="AF67" s="96"/>
      <c r="AG67" s="96"/>
      <c r="AH67" s="96"/>
      <c r="AI67" s="96"/>
      <c r="AJ67" s="96"/>
      <c r="AK67" s="96"/>
      <c r="AL67" s="96"/>
      <c r="AM67" s="103"/>
      <c r="AN67" s="103"/>
      <c r="AO67" s="103"/>
      <c r="AP67" s="103"/>
      <c r="AQ67" s="103"/>
      <c r="AR67" s="103"/>
      <c r="AS67" s="103"/>
      <c r="AT67" s="103"/>
      <c r="AU67" s="103"/>
      <c r="AV67" s="103"/>
      <c r="AW67" s="103"/>
      <c r="AX67" s="103"/>
      <c r="AY67" s="106"/>
      <c r="AZ67" s="106"/>
      <c r="BA67" s="106"/>
      <c r="BB67" s="106"/>
      <c r="BC67" s="106"/>
      <c r="BD67" s="123"/>
      <c r="BE67" s="103"/>
      <c r="BF67" s="104"/>
      <c r="BG67" s="104"/>
    </row>
    <row r="68" spans="1:59" s="17" customFormat="1" ht="15.75" customHeight="1">
      <c r="A68" s="86"/>
      <c r="B68" s="115"/>
      <c r="C68" s="117"/>
      <c r="D68" s="119"/>
      <c r="E68" s="117"/>
      <c r="F68" s="117"/>
      <c r="G68" s="121"/>
      <c r="H68" s="95"/>
      <c r="I68" s="95"/>
      <c r="J68" s="95"/>
      <c r="K68" s="22">
        <f>2718+210+44+20+10</f>
        <v>3002</v>
      </c>
      <c r="L68" s="18">
        <f>2528+60+50+180+44+140</f>
        <v>3002</v>
      </c>
      <c r="M68" s="18">
        <f>35+162+30+26+20+30+60+20+90+20+10+30+8+40+44+20</f>
        <v>645</v>
      </c>
      <c r="N68" s="98"/>
      <c r="O68" s="19">
        <f t="shared" si="6"/>
        <v>2357</v>
      </c>
      <c r="P68" s="22">
        <f>2870+52</f>
        <v>2922</v>
      </c>
      <c r="Q68" s="100"/>
      <c r="R68" s="102"/>
      <c r="S68" s="96"/>
      <c r="T68" s="96"/>
      <c r="U68" s="96"/>
      <c r="V68" s="96"/>
      <c r="W68" s="96"/>
      <c r="X68" s="96"/>
      <c r="Y68" s="96"/>
      <c r="Z68" s="96"/>
      <c r="AA68" s="96"/>
      <c r="AB68" s="96"/>
      <c r="AC68" s="96"/>
      <c r="AD68" s="96"/>
      <c r="AE68" s="96"/>
      <c r="AF68" s="96"/>
      <c r="AG68" s="96"/>
      <c r="AH68" s="96"/>
      <c r="AI68" s="96"/>
      <c r="AJ68" s="96"/>
      <c r="AK68" s="96"/>
      <c r="AL68" s="96"/>
      <c r="AM68" s="103"/>
      <c r="AN68" s="103"/>
      <c r="AO68" s="103"/>
      <c r="AP68" s="103"/>
      <c r="AQ68" s="103"/>
      <c r="AR68" s="103"/>
      <c r="AS68" s="103"/>
      <c r="AT68" s="103"/>
      <c r="AU68" s="103"/>
      <c r="AV68" s="103"/>
      <c r="AW68" s="103"/>
      <c r="AX68" s="103"/>
      <c r="AY68" s="107"/>
      <c r="AZ68" s="107"/>
      <c r="BA68" s="107"/>
      <c r="BB68" s="107"/>
      <c r="BC68" s="107"/>
      <c r="BD68" s="124"/>
      <c r="BE68" s="103"/>
      <c r="BF68" s="105"/>
      <c r="BG68" s="105"/>
    </row>
    <row r="69" spans="1:59" s="17" customFormat="1" ht="18" customHeight="1">
      <c r="A69" s="85">
        <v>45262</v>
      </c>
      <c r="B69" s="158" t="s">
        <v>37</v>
      </c>
      <c r="C69" s="89" t="s">
        <v>56</v>
      </c>
      <c r="D69" s="91" t="s">
        <v>38</v>
      </c>
      <c r="E69" s="89">
        <v>84217</v>
      </c>
      <c r="F69" s="89" t="s">
        <v>49</v>
      </c>
      <c r="G69" s="159" t="s">
        <v>55</v>
      </c>
      <c r="H69" s="89" t="s">
        <v>39</v>
      </c>
      <c r="I69" s="89">
        <v>4918</v>
      </c>
      <c r="J69" s="89">
        <v>4918</v>
      </c>
      <c r="K69" s="20">
        <v>0</v>
      </c>
      <c r="L69" s="20">
        <v>0</v>
      </c>
      <c r="M69" s="20">
        <v>0</v>
      </c>
      <c r="N69" s="146">
        <f>O70/L70</f>
        <v>0.62088581877285653</v>
      </c>
      <c r="O69" s="21">
        <f t="shared" si="6"/>
        <v>0</v>
      </c>
      <c r="P69" s="27">
        <v>18</v>
      </c>
      <c r="Q69" s="99">
        <f>+L70-P70</f>
        <v>5</v>
      </c>
      <c r="R69" s="85" t="s">
        <v>64</v>
      </c>
      <c r="S69" s="149"/>
      <c r="T69" s="149"/>
      <c r="U69" s="149"/>
      <c r="V69" s="149"/>
      <c r="W69" s="149"/>
      <c r="X69" s="149"/>
      <c r="Y69" s="149"/>
      <c r="Z69" s="149"/>
      <c r="AA69" s="149"/>
      <c r="AB69" s="149"/>
      <c r="AC69" s="149"/>
      <c r="AD69" s="149"/>
      <c r="AE69" s="149"/>
      <c r="AF69" s="149"/>
      <c r="AG69" s="149"/>
      <c r="AH69" s="149"/>
      <c r="AI69" s="149"/>
      <c r="AJ69" s="149"/>
      <c r="AK69" s="149"/>
      <c r="AL69" s="149"/>
      <c r="AM69" s="163"/>
      <c r="AN69" s="163"/>
      <c r="AO69" s="163"/>
      <c r="AP69" s="163"/>
      <c r="AQ69" s="163"/>
      <c r="AR69" s="163"/>
      <c r="AS69" s="163"/>
      <c r="AT69" s="163"/>
      <c r="AU69" s="163"/>
      <c r="AV69" s="163"/>
      <c r="AW69" s="163"/>
      <c r="AX69" s="163"/>
      <c r="AY69" s="161"/>
      <c r="AZ69" s="161"/>
      <c r="BA69" s="161"/>
      <c r="BB69" s="161"/>
      <c r="BC69" s="161"/>
      <c r="BD69" s="161"/>
      <c r="BE69" s="161"/>
      <c r="BF69" s="161"/>
      <c r="BG69" s="161"/>
    </row>
    <row r="70" spans="1:59" s="17" customFormat="1" ht="17.25" customHeight="1">
      <c r="A70" s="86"/>
      <c r="B70" s="138"/>
      <c r="C70" s="90"/>
      <c r="D70" s="92"/>
      <c r="E70" s="90"/>
      <c r="F70" s="90"/>
      <c r="G70" s="160"/>
      <c r="H70" s="90"/>
      <c r="I70" s="90"/>
      <c r="J70" s="90"/>
      <c r="K70" s="18">
        <f>4762+128+32</f>
        <v>4922</v>
      </c>
      <c r="L70" s="18">
        <f>4762+128+32</f>
        <v>4922</v>
      </c>
      <c r="M70" s="18">
        <f>1804+56+6</f>
        <v>1866</v>
      </c>
      <c r="N70" s="147"/>
      <c r="O70" s="19">
        <f t="shared" si="6"/>
        <v>3056</v>
      </c>
      <c r="P70" s="22">
        <f>4811+43+6+26+13+18</f>
        <v>4917</v>
      </c>
      <c r="Q70" s="100"/>
      <c r="R70" s="86"/>
      <c r="S70" s="150"/>
      <c r="T70" s="150"/>
      <c r="U70" s="150"/>
      <c r="V70" s="150"/>
      <c r="W70" s="150"/>
      <c r="X70" s="150"/>
      <c r="Y70" s="150"/>
      <c r="Z70" s="150"/>
      <c r="AA70" s="150"/>
      <c r="AB70" s="150"/>
      <c r="AC70" s="150"/>
      <c r="AD70" s="150"/>
      <c r="AE70" s="150"/>
      <c r="AF70" s="150"/>
      <c r="AG70" s="150"/>
      <c r="AH70" s="150"/>
      <c r="AI70" s="150"/>
      <c r="AJ70" s="150"/>
      <c r="AK70" s="150"/>
      <c r="AL70" s="150"/>
      <c r="AM70" s="164"/>
      <c r="AN70" s="164"/>
      <c r="AO70" s="164"/>
      <c r="AP70" s="164"/>
      <c r="AQ70" s="164"/>
      <c r="AR70" s="164"/>
      <c r="AS70" s="164"/>
      <c r="AT70" s="164"/>
      <c r="AU70" s="164"/>
      <c r="AV70" s="164"/>
      <c r="AW70" s="164"/>
      <c r="AX70" s="164"/>
      <c r="AY70" s="162"/>
      <c r="AZ70" s="162"/>
      <c r="BA70" s="162"/>
      <c r="BB70" s="162"/>
      <c r="BC70" s="162"/>
      <c r="BD70" s="162"/>
      <c r="BE70" s="162"/>
      <c r="BF70" s="162"/>
      <c r="BG70" s="162"/>
    </row>
    <row r="71" spans="1:59" s="17" customFormat="1" ht="18" customHeight="1">
      <c r="A71" s="85">
        <v>45262</v>
      </c>
      <c r="B71" s="138" t="s">
        <v>37</v>
      </c>
      <c r="C71" s="90" t="s">
        <v>56</v>
      </c>
      <c r="D71" s="91" t="s">
        <v>38</v>
      </c>
      <c r="E71" s="89">
        <v>84217</v>
      </c>
      <c r="F71" s="89" t="s">
        <v>49</v>
      </c>
      <c r="G71" s="137" t="s">
        <v>61</v>
      </c>
      <c r="H71" s="95" t="s">
        <v>39</v>
      </c>
      <c r="I71" s="90">
        <v>4497</v>
      </c>
      <c r="J71" s="90">
        <v>4097</v>
      </c>
      <c r="K71" s="20">
        <f>120+30</f>
        <v>150</v>
      </c>
      <c r="L71" s="20">
        <v>0</v>
      </c>
      <c r="M71" s="20">
        <v>0</v>
      </c>
      <c r="N71" s="97">
        <f>O72/L72</f>
        <v>0.61333333333333329</v>
      </c>
      <c r="O71" s="21">
        <f t="shared" si="6"/>
        <v>0</v>
      </c>
      <c r="P71" s="27">
        <v>0</v>
      </c>
      <c r="Q71" s="99">
        <f>+L72-P72</f>
        <v>100</v>
      </c>
      <c r="R71" s="85"/>
      <c r="S71" s="96"/>
      <c r="T71" s="96"/>
      <c r="U71" s="96"/>
      <c r="V71" s="96"/>
      <c r="W71" s="96"/>
      <c r="X71" s="96"/>
      <c r="Y71" s="96"/>
      <c r="Z71" s="96"/>
      <c r="AA71" s="96"/>
      <c r="AB71" s="96"/>
      <c r="AC71" s="96"/>
      <c r="AD71" s="96"/>
      <c r="AE71" s="96"/>
      <c r="AF71" s="96"/>
      <c r="AG71" s="96"/>
      <c r="AH71" s="96"/>
      <c r="AI71" s="96"/>
      <c r="AJ71" s="96"/>
      <c r="AK71" s="96"/>
      <c r="AL71" s="96"/>
      <c r="AM71" s="103"/>
      <c r="AN71" s="103"/>
      <c r="AO71" s="103"/>
      <c r="AP71" s="103"/>
      <c r="AQ71" s="103"/>
      <c r="AR71" s="103"/>
      <c r="AS71" s="103"/>
      <c r="AT71" s="103"/>
      <c r="AU71" s="103"/>
      <c r="AV71" s="103"/>
      <c r="AW71" s="103"/>
      <c r="AX71" s="103"/>
      <c r="AY71" s="106"/>
      <c r="AZ71" s="106"/>
      <c r="BA71" s="106"/>
      <c r="BB71" s="106"/>
      <c r="BC71" s="106"/>
      <c r="BD71" s="106"/>
      <c r="BE71" s="103"/>
      <c r="BF71" s="104"/>
      <c r="BG71" s="104"/>
    </row>
    <row r="72" spans="1:59" s="17" customFormat="1" ht="17.25" customHeight="1">
      <c r="A72" s="86"/>
      <c r="B72" s="139"/>
      <c r="C72" s="95"/>
      <c r="D72" s="92"/>
      <c r="E72" s="90"/>
      <c r="F72" s="90"/>
      <c r="G72" s="95"/>
      <c r="H72" s="95"/>
      <c r="I72" s="95"/>
      <c r="J72" s="95"/>
      <c r="K72" s="18">
        <f>260+160+50+100+100+240+349+166+150+60+120+30</f>
        <v>1785</v>
      </c>
      <c r="L72" s="18">
        <f>260+160+50+100+140+100+240+150</f>
        <v>1200</v>
      </c>
      <c r="M72" s="18">
        <f>120+55+27+40+30+60+87+45</f>
        <v>464</v>
      </c>
      <c r="N72" s="98"/>
      <c r="O72" s="19">
        <f t="shared" si="6"/>
        <v>736</v>
      </c>
      <c r="P72" s="22">
        <f>170+70+15+112+30+30+83+50+100+127+218+53+42</f>
        <v>1100</v>
      </c>
      <c r="Q72" s="100"/>
      <c r="R72" s="86"/>
      <c r="S72" s="96"/>
      <c r="T72" s="96"/>
      <c r="U72" s="96"/>
      <c r="V72" s="96"/>
      <c r="W72" s="96"/>
      <c r="X72" s="96"/>
      <c r="Y72" s="96"/>
      <c r="Z72" s="96"/>
      <c r="AA72" s="96"/>
      <c r="AB72" s="96"/>
      <c r="AC72" s="96"/>
      <c r="AD72" s="96"/>
      <c r="AE72" s="96"/>
      <c r="AF72" s="96"/>
      <c r="AG72" s="96"/>
      <c r="AH72" s="96"/>
      <c r="AI72" s="96"/>
      <c r="AJ72" s="96"/>
      <c r="AK72" s="96"/>
      <c r="AL72" s="96"/>
      <c r="AM72" s="103"/>
      <c r="AN72" s="103"/>
      <c r="AO72" s="103"/>
      <c r="AP72" s="103"/>
      <c r="AQ72" s="103"/>
      <c r="AR72" s="103"/>
      <c r="AS72" s="103"/>
      <c r="AT72" s="103"/>
      <c r="AU72" s="103"/>
      <c r="AV72" s="103"/>
      <c r="AW72" s="103"/>
      <c r="AX72" s="103"/>
      <c r="AY72" s="107"/>
      <c r="AZ72" s="107"/>
      <c r="BA72" s="107"/>
      <c r="BB72" s="107"/>
      <c r="BC72" s="107"/>
      <c r="BD72" s="107"/>
      <c r="BE72" s="103"/>
      <c r="BF72" s="105"/>
      <c r="BG72" s="105"/>
    </row>
    <row r="73" spans="1:59" s="17" customFormat="1" ht="18" hidden="1" customHeight="1">
      <c r="A73" s="101">
        <v>45217</v>
      </c>
      <c r="B73" s="132" t="s">
        <v>37</v>
      </c>
      <c r="C73" s="117"/>
      <c r="D73" s="118" t="s">
        <v>38</v>
      </c>
      <c r="E73" s="116">
        <v>84217</v>
      </c>
      <c r="F73" s="116" t="s">
        <v>49</v>
      </c>
      <c r="G73" s="141"/>
      <c r="H73" s="95"/>
      <c r="I73" s="90"/>
      <c r="J73" s="90"/>
      <c r="K73" s="20"/>
      <c r="L73" s="20"/>
      <c r="M73" s="20"/>
      <c r="N73" s="143" t="e">
        <f>O74/L74</f>
        <v>#DIV/0!</v>
      </c>
      <c r="O73" s="21">
        <f t="shared" si="6"/>
        <v>0</v>
      </c>
      <c r="P73" s="27"/>
      <c r="Q73" s="99">
        <f>+L74-P74</f>
        <v>0</v>
      </c>
      <c r="R73" s="101">
        <v>45023</v>
      </c>
      <c r="S73" s="96"/>
      <c r="T73" s="96"/>
      <c r="U73" s="96"/>
      <c r="V73" s="96"/>
      <c r="W73" s="96"/>
      <c r="X73" s="96"/>
      <c r="Y73" s="96"/>
      <c r="Z73" s="96"/>
      <c r="AA73" s="96"/>
      <c r="AB73" s="96"/>
      <c r="AC73" s="140"/>
      <c r="AD73" s="96"/>
      <c r="AE73" s="96"/>
      <c r="AF73" s="96"/>
      <c r="AG73" s="96"/>
      <c r="AH73" s="96"/>
      <c r="AI73" s="96"/>
      <c r="AJ73" s="96"/>
      <c r="AK73" s="96"/>
      <c r="AL73" s="96"/>
      <c r="AM73" s="96"/>
      <c r="AN73" s="96"/>
      <c r="AO73" s="96"/>
      <c r="AP73" s="96"/>
      <c r="AQ73" s="96"/>
      <c r="AR73" s="96"/>
      <c r="AS73" s="96"/>
      <c r="AT73" s="96"/>
      <c r="AU73" s="96"/>
      <c r="AV73" s="96"/>
      <c r="AW73" s="96"/>
      <c r="AX73" s="96"/>
      <c r="AY73" s="124"/>
      <c r="AZ73" s="123"/>
      <c r="BA73" s="123"/>
      <c r="BB73" s="123"/>
      <c r="BC73" s="123"/>
      <c r="BD73" s="123"/>
      <c r="BE73" s="123"/>
      <c r="BF73" s="123"/>
      <c r="BG73" s="123"/>
    </row>
    <row r="74" spans="1:59" s="17" customFormat="1" ht="17.25" hidden="1" customHeight="1">
      <c r="A74" s="102"/>
      <c r="B74" s="145"/>
      <c r="C74" s="142"/>
      <c r="D74" s="119"/>
      <c r="E74" s="117"/>
      <c r="F74" s="117"/>
      <c r="G74" s="142"/>
      <c r="H74" s="95"/>
      <c r="I74" s="95"/>
      <c r="J74" s="95"/>
      <c r="K74" s="3"/>
      <c r="L74" s="3"/>
      <c r="M74" s="3"/>
      <c r="N74" s="144"/>
      <c r="O74" s="7">
        <f t="shared" si="6"/>
        <v>0</v>
      </c>
      <c r="P74" s="28"/>
      <c r="Q74" s="100"/>
      <c r="R74" s="102"/>
      <c r="S74" s="96"/>
      <c r="T74" s="96"/>
      <c r="U74" s="96"/>
      <c r="V74" s="96"/>
      <c r="W74" s="96"/>
      <c r="X74" s="96"/>
      <c r="Y74" s="96"/>
      <c r="Z74" s="96"/>
      <c r="AA74" s="96"/>
      <c r="AB74" s="96"/>
      <c r="AC74" s="140"/>
      <c r="AD74" s="96"/>
      <c r="AE74" s="96"/>
      <c r="AF74" s="96"/>
      <c r="AG74" s="96"/>
      <c r="AH74" s="96"/>
      <c r="AI74" s="96"/>
      <c r="AJ74" s="96"/>
      <c r="AK74" s="96"/>
      <c r="AL74" s="96"/>
      <c r="AM74" s="96"/>
      <c r="AN74" s="96"/>
      <c r="AO74" s="96"/>
      <c r="AP74" s="96"/>
      <c r="AQ74" s="96"/>
      <c r="AR74" s="96"/>
      <c r="AS74" s="96"/>
      <c r="AT74" s="96"/>
      <c r="AU74" s="96"/>
      <c r="AV74" s="96"/>
      <c r="AW74" s="96"/>
      <c r="AX74" s="96"/>
      <c r="AY74" s="124"/>
      <c r="AZ74" s="124"/>
      <c r="BA74" s="124"/>
      <c r="BB74" s="124"/>
      <c r="BC74" s="124"/>
      <c r="BD74" s="124"/>
      <c r="BE74" s="124"/>
      <c r="BF74" s="124"/>
      <c r="BG74" s="124"/>
    </row>
    <row r="75" spans="1:59" ht="24.75" customHeight="1">
      <c r="A75" s="111" t="s">
        <v>15</v>
      </c>
      <c r="B75" s="112"/>
      <c r="C75" s="112"/>
      <c r="D75" s="112"/>
      <c r="E75" s="112"/>
      <c r="F75" s="112"/>
      <c r="G75" s="112"/>
      <c r="H75" s="112"/>
      <c r="I75" s="113"/>
      <c r="J75" s="5">
        <f>SUM(J67:J74)</f>
        <v>12023</v>
      </c>
      <c r="K75" s="5">
        <f>+K67+K69+K71</f>
        <v>150</v>
      </c>
      <c r="L75" s="5">
        <f>+SUMPRODUCT(((MOD(ROW(L67:L74),2)=1)*(L67:L74)))</f>
        <v>0</v>
      </c>
      <c r="M75" s="5">
        <f>+SUMPRODUCT(((MOD(ROW(M67:M74),2)=1)*(M67:M74)))</f>
        <v>0</v>
      </c>
      <c r="N75" s="23" t="e">
        <f>O75/L75</f>
        <v>#DIV/0!</v>
      </c>
      <c r="O75" s="5">
        <f>+SUMPRODUCT(((MOD(ROW(O67:O74),2)=1)*(O67:O74)))</f>
        <v>0</v>
      </c>
      <c r="P75" s="5">
        <f>+SUMPRODUCT(((MOD(ROW(P67:P74),2)=1)*(P67:P74)))</f>
        <v>18</v>
      </c>
      <c r="Q75" s="5">
        <f>+SUMPRODUCT(((MOD(ROW(Q67:Q74),2)=1)*(Q67:Q74)))</f>
        <v>185</v>
      </c>
      <c r="R75" s="5"/>
      <c r="S75" s="5">
        <f t="shared" ref="S75:BG75" si="7">SUM(S67:S74)</f>
        <v>0</v>
      </c>
      <c r="T75" s="5">
        <f t="shared" si="7"/>
        <v>0</v>
      </c>
      <c r="U75" s="5">
        <f t="shared" si="7"/>
        <v>0</v>
      </c>
      <c r="V75" s="5">
        <f t="shared" si="7"/>
        <v>0</v>
      </c>
      <c r="W75" s="5">
        <f t="shared" si="7"/>
        <v>0</v>
      </c>
      <c r="X75" s="5">
        <f t="shared" si="7"/>
        <v>0</v>
      </c>
      <c r="Y75" s="5">
        <f t="shared" si="7"/>
        <v>0</v>
      </c>
      <c r="Z75" s="5">
        <f t="shared" si="7"/>
        <v>0</v>
      </c>
      <c r="AA75" s="5">
        <f t="shared" si="7"/>
        <v>0</v>
      </c>
      <c r="AB75" s="5">
        <f t="shared" si="7"/>
        <v>0</v>
      </c>
      <c r="AC75" s="5">
        <f t="shared" si="7"/>
        <v>0</v>
      </c>
      <c r="AD75" s="5">
        <f t="shared" si="7"/>
        <v>0</v>
      </c>
      <c r="AE75" s="5">
        <f t="shared" si="7"/>
        <v>0</v>
      </c>
      <c r="AF75" s="5">
        <f t="shared" si="7"/>
        <v>0</v>
      </c>
      <c r="AG75" s="5">
        <f t="shared" si="7"/>
        <v>0</v>
      </c>
      <c r="AH75" s="5">
        <f t="shared" si="7"/>
        <v>0</v>
      </c>
      <c r="AI75" s="5">
        <f t="shared" si="7"/>
        <v>0</v>
      </c>
      <c r="AJ75" s="5">
        <f t="shared" si="7"/>
        <v>0</v>
      </c>
      <c r="AK75" s="5">
        <f t="shared" si="7"/>
        <v>0</v>
      </c>
      <c r="AL75" s="5">
        <f t="shared" si="7"/>
        <v>0</v>
      </c>
      <c r="AM75" s="5">
        <f t="shared" si="7"/>
        <v>0</v>
      </c>
      <c r="AN75" s="5">
        <f t="shared" si="7"/>
        <v>0</v>
      </c>
      <c r="AO75" s="5">
        <f t="shared" si="7"/>
        <v>0</v>
      </c>
      <c r="AP75" s="5">
        <f t="shared" si="7"/>
        <v>0</v>
      </c>
      <c r="AQ75" s="5">
        <f t="shared" si="7"/>
        <v>0</v>
      </c>
      <c r="AR75" s="5">
        <f t="shared" si="7"/>
        <v>0</v>
      </c>
      <c r="AS75" s="5">
        <f t="shared" si="7"/>
        <v>0</v>
      </c>
      <c r="AT75" s="5">
        <f t="shared" si="7"/>
        <v>0</v>
      </c>
      <c r="AU75" s="5">
        <f t="shared" si="7"/>
        <v>0</v>
      </c>
      <c r="AV75" s="5">
        <f t="shared" si="7"/>
        <v>0</v>
      </c>
      <c r="AW75" s="5">
        <f t="shared" si="7"/>
        <v>0</v>
      </c>
      <c r="AX75" s="5">
        <f t="shared" si="7"/>
        <v>0</v>
      </c>
      <c r="AY75" s="5">
        <f t="shared" si="7"/>
        <v>0</v>
      </c>
      <c r="AZ75" s="5">
        <f t="shared" si="7"/>
        <v>0</v>
      </c>
      <c r="BA75" s="5">
        <f t="shared" si="7"/>
        <v>0</v>
      </c>
      <c r="BB75" s="5">
        <f t="shared" si="7"/>
        <v>0</v>
      </c>
      <c r="BC75" s="5">
        <f t="shared" si="7"/>
        <v>0</v>
      </c>
      <c r="BD75" s="5">
        <f t="shared" si="7"/>
        <v>0</v>
      </c>
      <c r="BE75" s="5">
        <f t="shared" si="7"/>
        <v>0</v>
      </c>
      <c r="BF75" s="5">
        <f t="shared" si="7"/>
        <v>0</v>
      </c>
      <c r="BG75" s="5">
        <f t="shared" si="7"/>
        <v>0</v>
      </c>
    </row>
    <row r="76" spans="1:59" s="17" customFormat="1" ht="15.75" hidden="1" customHeight="1">
      <c r="A76" s="101"/>
      <c r="B76" s="114"/>
      <c r="C76" s="116"/>
      <c r="D76" s="118"/>
      <c r="E76" s="116"/>
      <c r="F76" s="116"/>
      <c r="G76" s="120"/>
      <c r="H76" s="151"/>
      <c r="I76" s="89"/>
      <c r="J76" s="89"/>
      <c r="K76" s="20"/>
      <c r="L76" s="20"/>
      <c r="M76" s="20"/>
      <c r="N76" s="146"/>
      <c r="O76" s="21"/>
      <c r="P76" s="27"/>
      <c r="Q76" s="99"/>
      <c r="R76" s="148"/>
      <c r="S76" s="149"/>
      <c r="T76" s="149"/>
      <c r="U76" s="149"/>
      <c r="V76" s="149"/>
      <c r="W76" s="149"/>
      <c r="X76" s="149"/>
      <c r="Y76" s="149"/>
      <c r="Z76" s="149"/>
      <c r="AA76" s="149"/>
      <c r="AB76" s="149"/>
      <c r="AC76" s="149"/>
      <c r="AD76" s="149"/>
      <c r="AE76" s="149"/>
      <c r="AF76" s="149"/>
      <c r="AG76" s="149"/>
      <c r="AH76" s="149"/>
      <c r="AI76" s="149"/>
      <c r="AJ76" s="149"/>
      <c r="AK76" s="149"/>
      <c r="AL76" s="149"/>
      <c r="AM76" s="149"/>
      <c r="AN76" s="149"/>
      <c r="AO76" s="149"/>
      <c r="AP76" s="149"/>
      <c r="AQ76" s="149"/>
      <c r="AR76" s="149"/>
      <c r="AS76" s="149"/>
      <c r="AT76" s="149"/>
      <c r="AU76" s="149"/>
      <c r="AV76" s="149"/>
      <c r="AW76" s="149"/>
      <c r="AX76" s="149"/>
      <c r="AY76" s="152"/>
      <c r="AZ76" s="152"/>
      <c r="BA76" s="152"/>
      <c r="BB76" s="152"/>
      <c r="BC76" s="152"/>
      <c r="BD76" s="152"/>
      <c r="BE76" s="149"/>
      <c r="BF76" s="152"/>
      <c r="BG76" s="152"/>
    </row>
    <row r="77" spans="1:59" s="17" customFormat="1" ht="15.75" hidden="1" customHeight="1">
      <c r="A77" s="102"/>
      <c r="B77" s="115"/>
      <c r="C77" s="117"/>
      <c r="D77" s="119"/>
      <c r="E77" s="117"/>
      <c r="F77" s="117"/>
      <c r="G77" s="121"/>
      <c r="H77" s="90"/>
      <c r="I77" s="90"/>
      <c r="J77" s="90"/>
      <c r="K77" s="22"/>
      <c r="L77" s="18"/>
      <c r="M77" s="18"/>
      <c r="N77" s="147"/>
      <c r="O77" s="19"/>
      <c r="P77" s="22"/>
      <c r="Q77" s="100"/>
      <c r="R77" s="101"/>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3"/>
      <c r="AZ77" s="153"/>
      <c r="BA77" s="153"/>
      <c r="BB77" s="153"/>
      <c r="BC77" s="153"/>
      <c r="BD77" s="153"/>
      <c r="BE77" s="150"/>
      <c r="BF77" s="153"/>
      <c r="BG77" s="153"/>
    </row>
    <row r="78" spans="1:59" s="17" customFormat="1" ht="15.75" hidden="1" customHeight="1">
      <c r="A78" s="101"/>
      <c r="B78" s="114"/>
      <c r="C78" s="116"/>
      <c r="D78" s="118"/>
      <c r="E78" s="116"/>
      <c r="F78" s="116"/>
      <c r="G78" s="120"/>
      <c r="H78" s="151"/>
      <c r="I78" s="89"/>
      <c r="J78" s="89"/>
      <c r="K78" s="20"/>
      <c r="L78" s="20"/>
      <c r="M78" s="20"/>
      <c r="N78" s="146"/>
      <c r="O78" s="21"/>
      <c r="P78" s="27"/>
      <c r="Q78" s="99"/>
      <c r="R78" s="148"/>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52"/>
      <c r="AZ78" s="152"/>
      <c r="BA78" s="152"/>
      <c r="BB78" s="152"/>
      <c r="BC78" s="152"/>
      <c r="BD78" s="152"/>
      <c r="BE78" s="149"/>
      <c r="BF78" s="152"/>
      <c r="BG78" s="152"/>
    </row>
    <row r="79" spans="1:59" s="17" customFormat="1" ht="15.75" hidden="1" customHeight="1">
      <c r="A79" s="102"/>
      <c r="B79" s="115"/>
      <c r="C79" s="117"/>
      <c r="D79" s="119"/>
      <c r="E79" s="117"/>
      <c r="F79" s="117"/>
      <c r="G79" s="121"/>
      <c r="H79" s="90"/>
      <c r="I79" s="90"/>
      <c r="J79" s="90"/>
      <c r="K79" s="22"/>
      <c r="L79" s="18"/>
      <c r="M79" s="18"/>
      <c r="N79" s="147"/>
      <c r="O79" s="19"/>
      <c r="P79" s="22"/>
      <c r="Q79" s="100"/>
      <c r="R79" s="101"/>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3"/>
      <c r="AZ79" s="153"/>
      <c r="BA79" s="153"/>
      <c r="BB79" s="153"/>
      <c r="BC79" s="153"/>
      <c r="BD79" s="153"/>
      <c r="BE79" s="150"/>
      <c r="BF79" s="153"/>
      <c r="BG79" s="153"/>
    </row>
    <row r="80" spans="1:59" s="17" customFormat="1" ht="15.75" hidden="1" customHeight="1">
      <c r="A80" s="101"/>
      <c r="B80" s="114"/>
      <c r="C80" s="116"/>
      <c r="D80" s="118"/>
      <c r="E80" s="116"/>
      <c r="F80" s="116"/>
      <c r="G80" s="120"/>
      <c r="H80" s="109"/>
      <c r="I80" s="90"/>
      <c r="J80" s="90"/>
      <c r="K80" s="20"/>
      <c r="L80" s="20"/>
      <c r="M80" s="20"/>
      <c r="N80" s="97"/>
      <c r="O80" s="21"/>
      <c r="P80" s="27"/>
      <c r="Q80" s="99"/>
      <c r="R80" s="154"/>
      <c r="S80" s="96"/>
      <c r="T80" s="96"/>
      <c r="U80" s="96"/>
      <c r="V80" s="96"/>
      <c r="W80" s="96"/>
      <c r="X80" s="96"/>
      <c r="Y80" s="96"/>
      <c r="Z80" s="96"/>
      <c r="AA80" s="96"/>
      <c r="AB80" s="96"/>
      <c r="AC80" s="96"/>
      <c r="AD80" s="96"/>
      <c r="AE80" s="96"/>
      <c r="AF80" s="96"/>
      <c r="AG80" s="96"/>
      <c r="AH80" s="96"/>
      <c r="AI80" s="96"/>
      <c r="AJ80" s="96"/>
      <c r="AK80" s="96"/>
      <c r="AL80" s="96"/>
      <c r="AM80" s="96"/>
      <c r="AN80" s="96"/>
      <c r="AO80" s="96"/>
      <c r="AP80" s="96"/>
      <c r="AQ80" s="96"/>
      <c r="AR80" s="96"/>
      <c r="AS80" s="96"/>
      <c r="AT80" s="96"/>
      <c r="AU80" s="96"/>
      <c r="AV80" s="96"/>
      <c r="AW80" s="96"/>
      <c r="AX80" s="96"/>
      <c r="AY80" s="155"/>
      <c r="AZ80" s="155"/>
      <c r="BA80" s="155"/>
      <c r="BB80" s="155"/>
      <c r="BC80" s="155"/>
      <c r="BD80" s="155"/>
      <c r="BE80" s="96"/>
      <c r="BF80" s="155"/>
      <c r="BG80" s="155"/>
    </row>
    <row r="81" spans="1:61" s="17" customFormat="1" ht="15.75" hidden="1" customHeight="1">
      <c r="A81" s="102"/>
      <c r="B81" s="115"/>
      <c r="C81" s="117"/>
      <c r="D81" s="119"/>
      <c r="E81" s="117"/>
      <c r="F81" s="117"/>
      <c r="G81" s="121"/>
      <c r="H81" s="95"/>
      <c r="I81" s="95"/>
      <c r="J81" s="95"/>
      <c r="K81" s="22"/>
      <c r="L81" s="18"/>
      <c r="M81" s="18"/>
      <c r="N81" s="98"/>
      <c r="O81" s="19"/>
      <c r="P81" s="22"/>
      <c r="Q81" s="100"/>
      <c r="R81" s="101"/>
      <c r="S81" s="96"/>
      <c r="T81" s="96"/>
      <c r="U81" s="96"/>
      <c r="V81" s="96"/>
      <c r="W81" s="96"/>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6"/>
      <c r="AY81" s="156"/>
      <c r="AZ81" s="156"/>
      <c r="BA81" s="156"/>
      <c r="BB81" s="156"/>
      <c r="BC81" s="156"/>
      <c r="BD81" s="156"/>
      <c r="BE81" s="96"/>
      <c r="BF81" s="156"/>
      <c r="BG81" s="156"/>
    </row>
    <row r="82" spans="1:61" s="17" customFormat="1" ht="15.75" hidden="1" customHeight="1">
      <c r="A82" s="101"/>
      <c r="B82" s="114"/>
      <c r="C82" s="116"/>
      <c r="D82" s="118"/>
      <c r="E82" s="116"/>
      <c r="F82" s="116"/>
      <c r="G82" s="120"/>
      <c r="H82" s="109"/>
      <c r="I82" s="90"/>
      <c r="J82" s="90"/>
      <c r="K82" s="20"/>
      <c r="L82" s="20"/>
      <c r="M82" s="20"/>
      <c r="N82" s="97"/>
      <c r="O82" s="21"/>
      <c r="P82" s="27"/>
      <c r="Q82" s="99"/>
      <c r="R82" s="148"/>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5"/>
      <c r="AZ82" s="155"/>
      <c r="BA82" s="155"/>
      <c r="BB82" s="155"/>
      <c r="BC82" s="155"/>
      <c r="BD82" s="155"/>
      <c r="BE82" s="96"/>
      <c r="BF82" s="155"/>
      <c r="BG82" s="155"/>
    </row>
    <row r="83" spans="1:61" s="17" customFormat="1" ht="15.75" hidden="1" customHeight="1">
      <c r="A83" s="102"/>
      <c r="B83" s="115"/>
      <c r="C83" s="117"/>
      <c r="D83" s="119"/>
      <c r="E83" s="117"/>
      <c r="F83" s="117"/>
      <c r="G83" s="121"/>
      <c r="H83" s="95"/>
      <c r="I83" s="95"/>
      <c r="J83" s="95"/>
      <c r="K83" s="22"/>
      <c r="L83" s="18"/>
      <c r="M83" s="18"/>
      <c r="N83" s="98"/>
      <c r="O83" s="19"/>
      <c r="P83" s="22"/>
      <c r="Q83" s="100"/>
      <c r="R83" s="101"/>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6"/>
      <c r="AZ83" s="156"/>
      <c r="BA83" s="156"/>
      <c r="BB83" s="156"/>
      <c r="BC83" s="156"/>
      <c r="BD83" s="156"/>
      <c r="BE83" s="96"/>
      <c r="BF83" s="156"/>
      <c r="BG83" s="156"/>
    </row>
    <row r="84" spans="1:61" s="17" customFormat="1" ht="15.75" hidden="1" customHeight="1">
      <c r="A84" s="101">
        <v>45084</v>
      </c>
      <c r="B84" s="114" t="s">
        <v>37</v>
      </c>
      <c r="C84" s="116"/>
      <c r="D84" s="118"/>
      <c r="E84" s="116"/>
      <c r="F84" s="116"/>
      <c r="G84" s="120"/>
      <c r="H84" s="109"/>
      <c r="I84" s="90"/>
      <c r="J84" s="90"/>
      <c r="K84" s="20"/>
      <c r="L84" s="20"/>
      <c r="M84" s="20"/>
      <c r="N84" s="97" t="e">
        <f>O85/L85</f>
        <v>#DIV/0!</v>
      </c>
      <c r="O84" s="21"/>
      <c r="P84" s="27"/>
      <c r="Q84" s="99">
        <f>+L85-P85</f>
        <v>0</v>
      </c>
      <c r="R84" s="101"/>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2"/>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ht="24.75" hidden="1" customHeight="1">
      <c r="A86" s="111" t="s">
        <v>40</v>
      </c>
      <c r="B86" s="112"/>
      <c r="C86" s="112"/>
      <c r="D86" s="112"/>
      <c r="E86" s="112"/>
      <c r="F86" s="112"/>
      <c r="G86" s="112"/>
      <c r="H86" s="112"/>
      <c r="I86" s="113"/>
      <c r="J86" s="5">
        <f>SUM(J76:J85)</f>
        <v>0</v>
      </c>
      <c r="K86" s="5">
        <f>+SUMPRODUCT(((MOD(ROW(K76:K83),2)=0)*(K76:K83)))</f>
        <v>0</v>
      </c>
      <c r="L86" s="5">
        <f>+SUMPRODUCT(((MOD(ROW(L76:L83),2)=0)*(L76:L83)))</f>
        <v>0</v>
      </c>
      <c r="M86" s="5">
        <f>+SUMPRODUCT(((MOD(ROW(M76:M83),2)=0)*(M76:M83)))</f>
        <v>0</v>
      </c>
      <c r="N86" s="6" t="e">
        <f>O86/L86</f>
        <v>#DIV/0!</v>
      </c>
      <c r="O86" s="5">
        <f>+SUMPRODUCT(((MOD(ROW(O76:O83),2)=0)*(O76:O83)))</f>
        <v>0</v>
      </c>
      <c r="P86" s="5">
        <f>+SUMPRODUCT(((MOD(ROW(P76:P83),2)=0)*(P76:P83)))</f>
        <v>0</v>
      </c>
      <c r="Q86" s="29">
        <f>SUM(Q76:Q85)</f>
        <v>0</v>
      </c>
      <c r="R86" s="29"/>
      <c r="S86" s="29">
        <f t="shared" ref="S86:BG86" si="8">SUM(S76:S85)</f>
        <v>0</v>
      </c>
      <c r="T86" s="29">
        <f t="shared" si="8"/>
        <v>0</v>
      </c>
      <c r="U86" s="29">
        <f t="shared" si="8"/>
        <v>0</v>
      </c>
      <c r="V86" s="29">
        <f t="shared" si="8"/>
        <v>0</v>
      </c>
      <c r="W86" s="29">
        <f t="shared" si="8"/>
        <v>0</v>
      </c>
      <c r="X86" s="29">
        <f t="shared" si="8"/>
        <v>0</v>
      </c>
      <c r="Y86" s="29">
        <f t="shared" si="8"/>
        <v>0</v>
      </c>
      <c r="Z86" s="29">
        <f t="shared" si="8"/>
        <v>0</v>
      </c>
      <c r="AA86" s="29">
        <f t="shared" si="8"/>
        <v>0</v>
      </c>
      <c r="AB86" s="29">
        <f t="shared" si="8"/>
        <v>0</v>
      </c>
      <c r="AC86" s="29">
        <f t="shared" si="8"/>
        <v>0</v>
      </c>
      <c r="AD86" s="29">
        <f t="shared" si="8"/>
        <v>0</v>
      </c>
      <c r="AE86" s="29">
        <f t="shared" si="8"/>
        <v>0</v>
      </c>
      <c r="AF86" s="29">
        <f t="shared" si="8"/>
        <v>0</v>
      </c>
      <c r="AG86" s="29">
        <f t="shared" si="8"/>
        <v>0</v>
      </c>
      <c r="AH86" s="29">
        <f t="shared" si="8"/>
        <v>0</v>
      </c>
      <c r="AI86" s="29">
        <f t="shared" si="8"/>
        <v>0</v>
      </c>
      <c r="AJ86" s="29">
        <f t="shared" si="8"/>
        <v>0</v>
      </c>
      <c r="AK86" s="29">
        <f t="shared" si="8"/>
        <v>0</v>
      </c>
      <c r="AL86" s="29">
        <f t="shared" si="8"/>
        <v>0</v>
      </c>
      <c r="AM86" s="29">
        <f t="shared" si="8"/>
        <v>0</v>
      </c>
      <c r="AN86" s="29">
        <f t="shared" si="8"/>
        <v>0</v>
      </c>
      <c r="AO86" s="29">
        <f t="shared" si="8"/>
        <v>0</v>
      </c>
      <c r="AP86" s="29">
        <f t="shared" si="8"/>
        <v>0</v>
      </c>
      <c r="AQ86" s="29">
        <f t="shared" si="8"/>
        <v>0</v>
      </c>
      <c r="AR86" s="29">
        <f t="shared" si="8"/>
        <v>0</v>
      </c>
      <c r="AS86" s="29">
        <f t="shared" si="8"/>
        <v>0</v>
      </c>
      <c r="AT86" s="29">
        <f t="shared" si="8"/>
        <v>0</v>
      </c>
      <c r="AU86" s="29">
        <f t="shared" si="8"/>
        <v>0</v>
      </c>
      <c r="AV86" s="29">
        <f t="shared" si="8"/>
        <v>0</v>
      </c>
      <c r="AW86" s="29">
        <f t="shared" si="8"/>
        <v>0</v>
      </c>
      <c r="AX86" s="29">
        <f t="shared" si="8"/>
        <v>0</v>
      </c>
      <c r="AY86" s="29">
        <f t="shared" si="8"/>
        <v>0</v>
      </c>
      <c r="AZ86" s="29">
        <f t="shared" si="8"/>
        <v>0</v>
      </c>
      <c r="BA86" s="29">
        <f t="shared" si="8"/>
        <v>0</v>
      </c>
      <c r="BB86" s="29">
        <f t="shared" si="8"/>
        <v>0</v>
      </c>
      <c r="BC86" s="29">
        <f t="shared" si="8"/>
        <v>0</v>
      </c>
      <c r="BD86" s="29">
        <f t="shared" si="8"/>
        <v>0</v>
      </c>
      <c r="BE86" s="29">
        <f t="shared" si="8"/>
        <v>0</v>
      </c>
      <c r="BF86" s="29">
        <f t="shared" si="8"/>
        <v>0</v>
      </c>
      <c r="BG86" s="29">
        <f t="shared" si="8"/>
        <v>0</v>
      </c>
      <c r="BH86" s="17"/>
      <c r="BI86" s="17"/>
    </row>
    <row r="87" spans="1:61" s="17" customFormat="1" ht="15.75" hidden="1" customHeight="1">
      <c r="A87" s="101"/>
      <c r="B87" s="114"/>
      <c r="C87" s="116"/>
      <c r="D87" s="118"/>
      <c r="E87" s="116"/>
      <c r="F87" s="116"/>
      <c r="G87" s="120"/>
      <c r="H87" s="109"/>
      <c r="I87" s="90"/>
      <c r="J87" s="90"/>
      <c r="K87" s="20"/>
      <c r="L87" s="20"/>
      <c r="M87" s="20"/>
      <c r="N87" s="97"/>
      <c r="O87" s="21"/>
      <c r="P87" s="27"/>
      <c r="Q87" s="99"/>
      <c r="R87" s="154"/>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5"/>
      <c r="AZ87" s="155"/>
      <c r="BA87" s="155"/>
      <c r="BB87" s="155"/>
      <c r="BC87" s="155"/>
      <c r="BD87" s="155"/>
      <c r="BE87" s="96"/>
      <c r="BF87" s="155"/>
      <c r="BG87" s="155"/>
    </row>
    <row r="88" spans="1:61" s="17" customFormat="1" ht="15.75" hidden="1" customHeight="1">
      <c r="A88" s="102"/>
      <c r="B88" s="115"/>
      <c r="C88" s="117"/>
      <c r="D88" s="119"/>
      <c r="E88" s="117"/>
      <c r="F88" s="117"/>
      <c r="G88" s="121"/>
      <c r="H88" s="95"/>
      <c r="I88" s="95"/>
      <c r="J88" s="95"/>
      <c r="K88" s="22"/>
      <c r="L88" s="18"/>
      <c r="M88" s="18"/>
      <c r="N88" s="98"/>
      <c r="O88" s="19"/>
      <c r="P88" s="22"/>
      <c r="Q88" s="100"/>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6"/>
      <c r="AZ88" s="156"/>
      <c r="BA88" s="156"/>
      <c r="BB88" s="156"/>
      <c r="BC88" s="156"/>
      <c r="BD88" s="156"/>
      <c r="BE88" s="96"/>
      <c r="BF88" s="156"/>
      <c r="BG88" s="156"/>
    </row>
    <row r="89" spans="1:61" s="17" customFormat="1" ht="15.75" hidden="1" customHeight="1">
      <c r="A89" s="101"/>
      <c r="B89" s="114"/>
      <c r="C89" s="116"/>
      <c r="D89" s="118"/>
      <c r="E89" s="116"/>
      <c r="F89" s="116"/>
      <c r="G89" s="120"/>
      <c r="H89" s="90"/>
      <c r="I89" s="90"/>
      <c r="J89" s="90"/>
      <c r="K89" s="20"/>
      <c r="L89" s="20"/>
      <c r="M89" s="20"/>
      <c r="N89" s="97"/>
      <c r="O89" s="21"/>
      <c r="P89" s="27"/>
      <c r="Q89" s="99"/>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row>
    <row r="91" spans="1:61" s="17" customFormat="1" ht="15.75" hidden="1" customHeight="1">
      <c r="A91" s="101">
        <v>45163</v>
      </c>
      <c r="B91" s="114" t="s">
        <v>37</v>
      </c>
      <c r="C91" s="116"/>
      <c r="D91" s="118"/>
      <c r="E91" s="116"/>
      <c r="F91" s="116"/>
      <c r="G91" s="120"/>
      <c r="H91" s="90"/>
      <c r="I91" s="90"/>
      <c r="J91" s="90"/>
      <c r="K91" s="20"/>
      <c r="L91" s="20"/>
      <c r="M91" s="20"/>
      <c r="N91" s="97" t="e">
        <f>O92/L92</f>
        <v>#DIV/0!</v>
      </c>
      <c r="O91" s="21">
        <f>L91-M91</f>
        <v>0</v>
      </c>
      <c r="P91" s="27"/>
      <c r="Q91" s="99">
        <f>+L92-P92</f>
        <v>0</v>
      </c>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f>L92-M92</f>
        <v>0</v>
      </c>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v>45163</v>
      </c>
      <c r="B93" s="114" t="s">
        <v>37</v>
      </c>
      <c r="C93" s="116"/>
      <c r="D93" s="118"/>
      <c r="E93" s="116"/>
      <c r="F93" s="116"/>
      <c r="G93" s="120"/>
      <c r="H93" s="90"/>
      <c r="I93" s="90"/>
      <c r="J93" s="90"/>
      <c r="K93" s="20"/>
      <c r="L93" s="20"/>
      <c r="M93" s="20"/>
      <c r="N93" s="97" t="e">
        <f>O94/L94</f>
        <v>#DIV/0!</v>
      </c>
      <c r="O93" s="21">
        <f>L93-M93</f>
        <v>0</v>
      </c>
      <c r="P93" s="27"/>
      <c r="Q93" s="99">
        <f>+L94-P94</f>
        <v>0</v>
      </c>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f>L94-M94</f>
        <v>0</v>
      </c>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c r="BH94" s="1"/>
      <c r="BI94" s="1"/>
    </row>
    <row r="95" spans="1:61" ht="24.75" hidden="1" customHeight="1">
      <c r="A95" s="111" t="s">
        <v>48</v>
      </c>
      <c r="B95" s="112"/>
      <c r="C95" s="112"/>
      <c r="D95" s="112"/>
      <c r="E95" s="112"/>
      <c r="F95" s="112"/>
      <c r="G95" s="112"/>
      <c r="H95" s="112"/>
      <c r="I95" s="113"/>
      <c r="J95" s="5">
        <f>SUM(J87:J94)</f>
        <v>0</v>
      </c>
      <c r="K95" s="5">
        <f>+SUMPRODUCT(((MOD(ROW(K87:K94),2)=0)*(K87:K94)))</f>
        <v>0</v>
      </c>
      <c r="L95" s="5">
        <f>+SUMPRODUCT(((MOD(ROW(L87:L94),2)=0)*(L87:L94)))</f>
        <v>0</v>
      </c>
      <c r="M95" s="5">
        <f>+SUMPRODUCT(((MOD(ROW(M87:M94),2)=0)*(M87:M94)))</f>
        <v>0</v>
      </c>
      <c r="N95" s="6" t="e">
        <f>O95/L95</f>
        <v>#DIV/0!</v>
      </c>
      <c r="O95" s="5">
        <f>+SUMPRODUCT(((MOD(ROW(O87:O94),2)=0)*(O87:O94)))</f>
        <v>0</v>
      </c>
      <c r="P95" s="5">
        <f>+SUMPRODUCT(((MOD(ROW(P87:P94),2)=0)*(P87:P94)))</f>
        <v>0</v>
      </c>
      <c r="Q95" s="29">
        <f>SUM(Q87:Q94)</f>
        <v>0</v>
      </c>
      <c r="R95" s="29"/>
      <c r="S95" s="29">
        <f t="shared" ref="S95:BG95" si="9">SUM(S87:S94)</f>
        <v>0</v>
      </c>
      <c r="T95" s="29">
        <f t="shared" si="9"/>
        <v>0</v>
      </c>
      <c r="U95" s="29">
        <f t="shared" si="9"/>
        <v>0</v>
      </c>
      <c r="V95" s="29">
        <f t="shared" si="9"/>
        <v>0</v>
      </c>
      <c r="W95" s="29">
        <f t="shared" si="9"/>
        <v>0</v>
      </c>
      <c r="X95" s="29">
        <f t="shared" si="9"/>
        <v>0</v>
      </c>
      <c r="Y95" s="29">
        <f t="shared" si="9"/>
        <v>0</v>
      </c>
      <c r="Z95" s="29">
        <f t="shared" si="9"/>
        <v>0</v>
      </c>
      <c r="AA95" s="29">
        <f t="shared" si="9"/>
        <v>0</v>
      </c>
      <c r="AB95" s="29">
        <f t="shared" si="9"/>
        <v>0</v>
      </c>
      <c r="AC95" s="29">
        <f t="shared" si="9"/>
        <v>0</v>
      </c>
      <c r="AD95" s="29">
        <f t="shared" si="9"/>
        <v>0</v>
      </c>
      <c r="AE95" s="29">
        <f t="shared" si="9"/>
        <v>0</v>
      </c>
      <c r="AF95" s="29">
        <f t="shared" si="9"/>
        <v>0</v>
      </c>
      <c r="AG95" s="29">
        <f t="shared" si="9"/>
        <v>0</v>
      </c>
      <c r="AH95" s="29">
        <f t="shared" si="9"/>
        <v>0</v>
      </c>
      <c r="AI95" s="29">
        <f t="shared" si="9"/>
        <v>0</v>
      </c>
      <c r="AJ95" s="29">
        <f t="shared" si="9"/>
        <v>0</v>
      </c>
      <c r="AK95" s="29">
        <f t="shared" si="9"/>
        <v>0</v>
      </c>
      <c r="AL95" s="29">
        <f t="shared" si="9"/>
        <v>0</v>
      </c>
      <c r="AM95" s="29">
        <f t="shared" si="9"/>
        <v>0</v>
      </c>
      <c r="AN95" s="29">
        <f t="shared" si="9"/>
        <v>0</v>
      </c>
      <c r="AO95" s="29">
        <f t="shared" si="9"/>
        <v>0</v>
      </c>
      <c r="AP95" s="29">
        <f t="shared" si="9"/>
        <v>0</v>
      </c>
      <c r="AQ95" s="29">
        <f t="shared" si="9"/>
        <v>0</v>
      </c>
      <c r="AR95" s="29">
        <f t="shared" si="9"/>
        <v>0</v>
      </c>
      <c r="AS95" s="29">
        <f t="shared" si="9"/>
        <v>0</v>
      </c>
      <c r="AT95" s="29">
        <f t="shared" si="9"/>
        <v>0</v>
      </c>
      <c r="AU95" s="29">
        <f t="shared" si="9"/>
        <v>0</v>
      </c>
      <c r="AV95" s="29">
        <f t="shared" si="9"/>
        <v>0</v>
      </c>
      <c r="AW95" s="29">
        <f t="shared" si="9"/>
        <v>0</v>
      </c>
      <c r="AX95" s="29">
        <f t="shared" si="9"/>
        <v>0</v>
      </c>
      <c r="AY95" s="29">
        <f t="shared" si="9"/>
        <v>0</v>
      </c>
      <c r="AZ95" s="29">
        <f t="shared" si="9"/>
        <v>0</v>
      </c>
      <c r="BA95" s="29">
        <f t="shared" si="9"/>
        <v>0</v>
      </c>
      <c r="BB95" s="29">
        <f t="shared" si="9"/>
        <v>0</v>
      </c>
      <c r="BC95" s="29">
        <f t="shared" si="9"/>
        <v>0</v>
      </c>
      <c r="BD95" s="29">
        <f t="shared" si="9"/>
        <v>0</v>
      </c>
      <c r="BE95" s="29">
        <f t="shared" si="9"/>
        <v>0</v>
      </c>
      <c r="BF95" s="29">
        <f t="shared" si="9"/>
        <v>0</v>
      </c>
      <c r="BG95" s="29">
        <f t="shared" si="9"/>
        <v>0</v>
      </c>
      <c r="BH95" s="17"/>
      <c r="BI95" s="17"/>
    </row>
    <row r="96" spans="1:61" s="17" customFormat="1" ht="15.75" hidden="1" customHeight="1">
      <c r="A96" s="101"/>
      <c r="B96" s="114"/>
      <c r="C96" s="116"/>
      <c r="D96" s="118"/>
      <c r="E96" s="157"/>
      <c r="F96" s="116"/>
      <c r="G96" s="120"/>
      <c r="H96" s="109"/>
      <c r="I96" s="90"/>
      <c r="J96" s="90"/>
      <c r="K96" s="20"/>
      <c r="L96" s="20"/>
      <c r="M96" s="20"/>
      <c r="N96" s="97"/>
      <c r="O96" s="21"/>
      <c r="P96" s="27"/>
      <c r="Q96" s="99"/>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5"/>
      <c r="AZ96" s="155"/>
      <c r="BA96" s="155"/>
      <c r="BB96" s="155"/>
      <c r="BC96" s="155"/>
      <c r="BD96" s="155"/>
      <c r="BE96" s="96"/>
      <c r="BF96" s="155"/>
      <c r="BG96" s="155"/>
    </row>
    <row r="97" spans="1:61" s="17" customFormat="1" ht="15.75" hidden="1" customHeight="1">
      <c r="A97" s="102"/>
      <c r="B97" s="115"/>
      <c r="C97" s="117"/>
      <c r="D97" s="119"/>
      <c r="E97" s="117"/>
      <c r="F97" s="117"/>
      <c r="G97" s="121"/>
      <c r="H97" s="95"/>
      <c r="I97" s="95"/>
      <c r="J97" s="95"/>
      <c r="K97" s="22"/>
      <c r="L97" s="18"/>
      <c r="M97" s="18"/>
      <c r="N97" s="98"/>
      <c r="O97" s="19"/>
      <c r="P97" s="22"/>
      <c r="Q97" s="100"/>
      <c r="R97" s="102"/>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6"/>
      <c r="AZ97" s="156"/>
      <c r="BA97" s="156"/>
      <c r="BB97" s="156"/>
      <c r="BC97" s="156"/>
      <c r="BD97" s="156"/>
      <c r="BE97" s="96"/>
      <c r="BF97" s="156"/>
      <c r="BG97" s="156"/>
    </row>
    <row r="98" spans="1:61" s="17" customFormat="1" ht="15.75" hidden="1" customHeight="1">
      <c r="A98" s="101">
        <v>45061</v>
      </c>
      <c r="B98" s="114" t="s">
        <v>37</v>
      </c>
      <c r="C98" s="116"/>
      <c r="D98" s="118"/>
      <c r="E98" s="157"/>
      <c r="F98" s="116"/>
      <c r="G98" s="120"/>
      <c r="H98" s="90"/>
      <c r="I98" s="90"/>
      <c r="J98" s="90"/>
      <c r="K98" s="20"/>
      <c r="L98" s="20"/>
      <c r="M98" s="20"/>
      <c r="N98" s="97" t="e">
        <f>O99/L99</f>
        <v>#DIV/0!</v>
      </c>
      <c r="O98" s="21">
        <f t="shared" ref="O98:O103" si="10">L98-M98</f>
        <v>0</v>
      </c>
      <c r="P98" s="27"/>
      <c r="Q98" s="99">
        <f>+L99-P99</f>
        <v>0</v>
      </c>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f t="shared" si="10"/>
        <v>0</v>
      </c>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row>
    <row r="100" spans="1:61" s="17" customFormat="1" ht="15.75" hidden="1" customHeight="1">
      <c r="A100" s="101">
        <v>44990</v>
      </c>
      <c r="B100" s="114" t="s">
        <v>37</v>
      </c>
      <c r="C100" s="116"/>
      <c r="D100" s="118"/>
      <c r="E100" s="116"/>
      <c r="F100" s="116"/>
      <c r="G100" s="120"/>
      <c r="H100" s="90"/>
      <c r="I100" s="90"/>
      <c r="J100" s="90"/>
      <c r="K100" s="20"/>
      <c r="L100" s="20"/>
      <c r="M100" s="20"/>
      <c r="N100" s="97" t="e">
        <f>O101/L101</f>
        <v>#DIV/0!</v>
      </c>
      <c r="O100" s="21">
        <f t="shared" si="10"/>
        <v>0</v>
      </c>
      <c r="P100" s="27"/>
      <c r="Q100" s="99">
        <f>+L101-P101</f>
        <v>0</v>
      </c>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f t="shared" si="10"/>
        <v>0</v>
      </c>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44990</v>
      </c>
      <c r="B102" s="114" t="s">
        <v>37</v>
      </c>
      <c r="C102" s="116"/>
      <c r="D102" s="118"/>
      <c r="E102" s="116"/>
      <c r="F102" s="116"/>
      <c r="G102" s="120"/>
      <c r="H102" s="90"/>
      <c r="I102" s="90"/>
      <c r="J102" s="90"/>
      <c r="K102" s="20"/>
      <c r="L102" s="20"/>
      <c r="M102" s="20"/>
      <c r="N102" s="97" t="e">
        <f>O103/L103</f>
        <v>#DIV/0!</v>
      </c>
      <c r="O102" s="21">
        <f t="shared" si="10"/>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c r="BH103" s="1"/>
      <c r="BI103" s="1"/>
    </row>
    <row r="104" spans="1:61" ht="24.75" hidden="1" customHeight="1">
      <c r="A104" s="111" t="s">
        <v>46</v>
      </c>
      <c r="B104" s="112"/>
      <c r="C104" s="112"/>
      <c r="D104" s="112"/>
      <c r="E104" s="112"/>
      <c r="F104" s="112"/>
      <c r="G104" s="112"/>
      <c r="H104" s="112"/>
      <c r="I104" s="113"/>
      <c r="J104" s="5">
        <f>SUM(J96:J103)</f>
        <v>0</v>
      </c>
      <c r="K104" s="5">
        <f>+SUMPRODUCT(((MOD(ROW(K96:K103),2)=0)*(K96:K103)))</f>
        <v>0</v>
      </c>
      <c r="L104" s="5">
        <f>+SUMPRODUCT(((MOD(ROW(L96:L103),2)=0)*(L96:L103)))</f>
        <v>0</v>
      </c>
      <c r="M104" s="5">
        <f>+SUMPRODUCT(((MOD(ROW(M96:M103),2)=0)*(M96:M103)))</f>
        <v>0</v>
      </c>
      <c r="N104" s="6" t="e">
        <f>O104/L104</f>
        <v>#DIV/0!</v>
      </c>
      <c r="O104" s="5">
        <f>+SUMPRODUCT(((MOD(ROW(O96:O103),2)=0)*(O96:O103)))</f>
        <v>0</v>
      </c>
      <c r="P104" s="5">
        <f>+SUMPRODUCT(((MOD(ROW(P96:P103),2)=0)*(P96:P103)))</f>
        <v>0</v>
      </c>
      <c r="Q104" s="29">
        <f>SUM(Q96:Q103)</f>
        <v>0</v>
      </c>
      <c r="R104" s="29"/>
      <c r="S104" s="29">
        <f t="shared" ref="S104:BG104" si="11">SUM(S96:S103)</f>
        <v>0</v>
      </c>
      <c r="T104" s="29">
        <f t="shared" si="11"/>
        <v>0</v>
      </c>
      <c r="U104" s="29">
        <f t="shared" si="11"/>
        <v>0</v>
      </c>
      <c r="V104" s="29">
        <f t="shared" si="11"/>
        <v>0</v>
      </c>
      <c r="W104" s="29">
        <f t="shared" si="11"/>
        <v>0</v>
      </c>
      <c r="X104" s="29">
        <f t="shared" si="11"/>
        <v>0</v>
      </c>
      <c r="Y104" s="29">
        <f t="shared" si="11"/>
        <v>0</v>
      </c>
      <c r="Z104" s="29">
        <f t="shared" si="11"/>
        <v>0</v>
      </c>
      <c r="AA104" s="29">
        <f t="shared" si="11"/>
        <v>0</v>
      </c>
      <c r="AB104" s="29">
        <f t="shared" si="11"/>
        <v>0</v>
      </c>
      <c r="AC104" s="29">
        <f t="shared" si="11"/>
        <v>0</v>
      </c>
      <c r="AD104" s="29">
        <f t="shared" si="11"/>
        <v>0</v>
      </c>
      <c r="AE104" s="29">
        <f t="shared" si="11"/>
        <v>0</v>
      </c>
      <c r="AF104" s="29">
        <f t="shared" si="11"/>
        <v>0</v>
      </c>
      <c r="AG104" s="29">
        <f t="shared" si="11"/>
        <v>0</v>
      </c>
      <c r="AH104" s="29">
        <f t="shared" si="11"/>
        <v>0</v>
      </c>
      <c r="AI104" s="29">
        <f t="shared" si="11"/>
        <v>0</v>
      </c>
      <c r="AJ104" s="29">
        <f t="shared" si="11"/>
        <v>0</v>
      </c>
      <c r="AK104" s="29">
        <f t="shared" si="11"/>
        <v>0</v>
      </c>
      <c r="AL104" s="29">
        <f t="shared" si="11"/>
        <v>0</v>
      </c>
      <c r="AM104" s="29">
        <f t="shared" si="11"/>
        <v>0</v>
      </c>
      <c r="AN104" s="29">
        <f t="shared" si="11"/>
        <v>0</v>
      </c>
      <c r="AO104" s="29">
        <f t="shared" si="11"/>
        <v>0</v>
      </c>
      <c r="AP104" s="29">
        <f t="shared" si="11"/>
        <v>0</v>
      </c>
      <c r="AQ104" s="29">
        <f t="shared" si="11"/>
        <v>0</v>
      </c>
      <c r="AR104" s="29">
        <f t="shared" si="11"/>
        <v>0</v>
      </c>
      <c r="AS104" s="29">
        <f t="shared" si="11"/>
        <v>0</v>
      </c>
      <c r="AT104" s="29">
        <f t="shared" si="11"/>
        <v>0</v>
      </c>
      <c r="AU104" s="29">
        <f t="shared" si="11"/>
        <v>0</v>
      </c>
      <c r="AV104" s="29">
        <f t="shared" si="11"/>
        <v>0</v>
      </c>
      <c r="AW104" s="29">
        <f t="shared" si="11"/>
        <v>0</v>
      </c>
      <c r="AX104" s="29">
        <f t="shared" si="11"/>
        <v>0</v>
      </c>
      <c r="AY104" s="29">
        <f t="shared" si="11"/>
        <v>0</v>
      </c>
      <c r="AZ104" s="29">
        <f t="shared" si="11"/>
        <v>0</v>
      </c>
      <c r="BA104" s="29">
        <f t="shared" si="11"/>
        <v>0</v>
      </c>
      <c r="BB104" s="29">
        <f t="shared" si="11"/>
        <v>0</v>
      </c>
      <c r="BC104" s="29">
        <f t="shared" si="11"/>
        <v>0</v>
      </c>
      <c r="BD104" s="29">
        <f t="shared" si="11"/>
        <v>0</v>
      </c>
      <c r="BE104" s="29">
        <f t="shared" si="11"/>
        <v>0</v>
      </c>
      <c r="BF104" s="29">
        <f t="shared" si="11"/>
        <v>0</v>
      </c>
      <c r="BG104" s="29">
        <f t="shared" si="11"/>
        <v>0</v>
      </c>
    </row>
    <row r="105" spans="1:61" ht="24.75" customHeight="1">
      <c r="A105" s="122" t="s">
        <v>5</v>
      </c>
      <c r="B105" s="122"/>
      <c r="C105" s="122"/>
      <c r="D105" s="122"/>
      <c r="E105" s="122"/>
      <c r="F105" s="122"/>
      <c r="G105" s="122"/>
      <c r="H105" s="122"/>
      <c r="I105" s="122"/>
      <c r="J105" s="4">
        <f>J75+J86+J95+J104</f>
        <v>12023</v>
      </c>
      <c r="K105" s="4">
        <f>K75+K86+K95+K104</f>
        <v>150</v>
      </c>
      <c r="L105" s="4">
        <f>L75+L86+L95+L104</f>
        <v>0</v>
      </c>
      <c r="M105" s="4">
        <f>M75+M86+M95+M104</f>
        <v>0</v>
      </c>
      <c r="N105" s="33" t="e">
        <f>O105/L105</f>
        <v>#DIV/0!</v>
      </c>
      <c r="O105" s="4">
        <f>O75+O86+O95+O104</f>
        <v>0</v>
      </c>
      <c r="P105" s="31">
        <f>P75+P86+P95+P104</f>
        <v>18</v>
      </c>
      <c r="Q105" s="31">
        <f>Q75+Q86+Q95+Q104</f>
        <v>185</v>
      </c>
      <c r="R105" s="4"/>
      <c r="S105" s="31">
        <f t="shared" ref="S105:BG105" si="12">S75+S86+S95+S104</f>
        <v>0</v>
      </c>
      <c r="T105" s="31">
        <f t="shared" si="12"/>
        <v>0</v>
      </c>
      <c r="U105" s="31">
        <f t="shared" si="12"/>
        <v>0</v>
      </c>
      <c r="V105" s="31">
        <f t="shared" si="12"/>
        <v>0</v>
      </c>
      <c r="W105" s="31">
        <f t="shared" si="12"/>
        <v>0</v>
      </c>
      <c r="X105" s="31">
        <f t="shared" si="12"/>
        <v>0</v>
      </c>
      <c r="Y105" s="31">
        <f t="shared" si="12"/>
        <v>0</v>
      </c>
      <c r="Z105" s="31">
        <f t="shared" si="12"/>
        <v>0</v>
      </c>
      <c r="AA105" s="31">
        <f t="shared" si="12"/>
        <v>0</v>
      </c>
      <c r="AB105" s="31">
        <f t="shared" si="12"/>
        <v>0</v>
      </c>
      <c r="AC105" s="31">
        <f t="shared" si="12"/>
        <v>0</v>
      </c>
      <c r="AD105" s="31">
        <f t="shared" si="12"/>
        <v>0</v>
      </c>
      <c r="AE105" s="31">
        <f t="shared" si="12"/>
        <v>0</v>
      </c>
      <c r="AF105" s="31">
        <f t="shared" si="12"/>
        <v>0</v>
      </c>
      <c r="AG105" s="31">
        <f t="shared" si="12"/>
        <v>0</v>
      </c>
      <c r="AH105" s="31">
        <f t="shared" si="12"/>
        <v>0</v>
      </c>
      <c r="AI105" s="31">
        <f t="shared" si="12"/>
        <v>0</v>
      </c>
      <c r="AJ105" s="31">
        <f t="shared" si="12"/>
        <v>0</v>
      </c>
      <c r="AK105" s="31">
        <f t="shared" si="12"/>
        <v>0</v>
      </c>
      <c r="AL105" s="31">
        <f t="shared" si="12"/>
        <v>0</v>
      </c>
      <c r="AM105" s="31">
        <f t="shared" si="12"/>
        <v>0</v>
      </c>
      <c r="AN105" s="31">
        <f t="shared" si="12"/>
        <v>0</v>
      </c>
      <c r="AO105" s="31">
        <f t="shared" si="12"/>
        <v>0</v>
      </c>
      <c r="AP105" s="31">
        <f t="shared" si="12"/>
        <v>0</v>
      </c>
      <c r="AQ105" s="31">
        <f t="shared" si="12"/>
        <v>0</v>
      </c>
      <c r="AR105" s="31">
        <f t="shared" si="12"/>
        <v>0</v>
      </c>
      <c r="AS105" s="31">
        <f t="shared" si="12"/>
        <v>0</v>
      </c>
      <c r="AT105" s="31">
        <f t="shared" si="12"/>
        <v>0</v>
      </c>
      <c r="AU105" s="31">
        <f t="shared" si="12"/>
        <v>0</v>
      </c>
      <c r="AV105" s="31">
        <f t="shared" si="12"/>
        <v>0</v>
      </c>
      <c r="AW105" s="31">
        <f t="shared" si="12"/>
        <v>0</v>
      </c>
      <c r="AX105" s="31">
        <f t="shared" si="12"/>
        <v>0</v>
      </c>
      <c r="AY105" s="31">
        <f t="shared" si="12"/>
        <v>0</v>
      </c>
      <c r="AZ105" s="31">
        <f t="shared" si="12"/>
        <v>0</v>
      </c>
      <c r="BA105" s="31">
        <f t="shared" si="12"/>
        <v>0</v>
      </c>
      <c r="BB105" s="31">
        <f t="shared" si="12"/>
        <v>0</v>
      </c>
      <c r="BC105" s="31">
        <f t="shared" si="12"/>
        <v>0</v>
      </c>
      <c r="BD105" s="31">
        <f t="shared" si="12"/>
        <v>0</v>
      </c>
      <c r="BE105" s="31">
        <f t="shared" si="12"/>
        <v>0</v>
      </c>
      <c r="BF105" s="31">
        <f t="shared" si="12"/>
        <v>0</v>
      </c>
      <c r="BG105" s="31">
        <f t="shared" si="12"/>
        <v>0</v>
      </c>
    </row>
    <row r="108" spans="1:61" s="25" customFormat="1" ht="35.25" customHeight="1">
      <c r="A108" s="2"/>
      <c r="B108" s="2"/>
      <c r="C108" s="2"/>
      <c r="D108" s="1"/>
      <c r="E108" s="1"/>
      <c r="F108" s="1"/>
      <c r="G108" s="1"/>
      <c r="H108" s="1"/>
      <c r="I108" s="1"/>
      <c r="J108" s="1"/>
      <c r="K108" s="35"/>
      <c r="L108" s="35"/>
      <c r="M108" s="35"/>
      <c r="N108" s="35"/>
      <c r="O108" s="35"/>
      <c r="P108" s="35"/>
      <c r="Q108" s="36"/>
      <c r="S108" s="8"/>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row>
    <row r="111" spans="1:61" s="25" customFormat="1" ht="33" customHeight="1">
      <c r="A111" s="2"/>
      <c r="B111" s="2"/>
      <c r="C111" s="2"/>
      <c r="D111" s="1"/>
      <c r="E111" s="1"/>
      <c r="F111" s="1"/>
      <c r="G111" s="1"/>
      <c r="H111" s="1"/>
      <c r="I111" s="1"/>
      <c r="J111" s="1"/>
      <c r="K111" s="1"/>
      <c r="L111" s="1"/>
      <c r="M111" s="1"/>
      <c r="N111" s="1"/>
      <c r="O111" s="1"/>
      <c r="S111" s="8"/>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row>
  </sheetData>
  <mergeCells count="2471">
    <mergeCell ref="BF21:BF22"/>
    <mergeCell ref="BG21:BG22"/>
    <mergeCell ref="X21:X22"/>
    <mergeCell ref="Y21:Y22"/>
    <mergeCell ref="Z21:Z22"/>
    <mergeCell ref="AA21:AA22"/>
    <mergeCell ref="AB21:AB22"/>
    <mergeCell ref="AC21:AC22"/>
    <mergeCell ref="AD21:AD22"/>
    <mergeCell ref="AE21:AE22"/>
    <mergeCell ref="AF21:AF22"/>
    <mergeCell ref="AG21:AG22"/>
    <mergeCell ref="AH21:AH22"/>
    <mergeCell ref="AI21:AI22"/>
    <mergeCell ref="AJ21:AJ22"/>
    <mergeCell ref="AK21:AK22"/>
    <mergeCell ref="AL21:AL22"/>
    <mergeCell ref="AM21:AM22"/>
    <mergeCell ref="AN21:AN22"/>
    <mergeCell ref="AO21:AO22"/>
    <mergeCell ref="AP21:AP22"/>
    <mergeCell ref="AQ21:AQ22"/>
    <mergeCell ref="AR21:AR22"/>
    <mergeCell ref="AS21:AS22"/>
    <mergeCell ref="AT21:AT22"/>
    <mergeCell ref="AU21:AU22"/>
    <mergeCell ref="AV21:AV22"/>
    <mergeCell ref="AW21:AW22"/>
    <mergeCell ref="AX21:AX22"/>
    <mergeCell ref="AY21:AY22"/>
    <mergeCell ref="AZ21:AZ22"/>
    <mergeCell ref="BA21:BA22"/>
    <mergeCell ref="BB21:BB22"/>
    <mergeCell ref="BD19:BD20"/>
    <mergeCell ref="BE19:BE20"/>
    <mergeCell ref="A21:A22"/>
    <mergeCell ref="B21:B22"/>
    <mergeCell ref="C21:C22"/>
    <mergeCell ref="D21:D22"/>
    <mergeCell ref="E21:E22"/>
    <mergeCell ref="F21:F22"/>
    <mergeCell ref="G21:G22"/>
    <mergeCell ref="H21:H22"/>
    <mergeCell ref="I21:I22"/>
    <mergeCell ref="J21:J22"/>
    <mergeCell ref="N21:N22"/>
    <mergeCell ref="Q21:Q22"/>
    <mergeCell ref="R21:R22"/>
    <mergeCell ref="S21:S22"/>
    <mergeCell ref="T21:T22"/>
    <mergeCell ref="U21:U22"/>
    <mergeCell ref="V21:V22"/>
    <mergeCell ref="BC21:BC22"/>
    <mergeCell ref="BD21:BD22"/>
    <mergeCell ref="BE21:BE22"/>
    <mergeCell ref="A19:A20"/>
    <mergeCell ref="B19:B20"/>
    <mergeCell ref="C19:C20"/>
    <mergeCell ref="D19:D20"/>
    <mergeCell ref="E19:E20"/>
    <mergeCell ref="F19:F20"/>
    <mergeCell ref="G19:G20"/>
    <mergeCell ref="H19:H20"/>
    <mergeCell ref="I19:I20"/>
    <mergeCell ref="BF19:BF20"/>
    <mergeCell ref="BG19:BG20"/>
    <mergeCell ref="AF19:AF20"/>
    <mergeCell ref="AG19:AG20"/>
    <mergeCell ref="AH19:AH20"/>
    <mergeCell ref="AI19:AI20"/>
    <mergeCell ref="X19:X20"/>
    <mergeCell ref="Y19:Y20"/>
    <mergeCell ref="Z19:Z20"/>
    <mergeCell ref="AA19:AA20"/>
    <mergeCell ref="AB19:AB20"/>
    <mergeCell ref="AC19:AC20"/>
    <mergeCell ref="AJ19:AJ20"/>
    <mergeCell ref="AK19:AK20"/>
    <mergeCell ref="AL19:AL20"/>
    <mergeCell ref="AM19:AM20"/>
    <mergeCell ref="AN19:AN20"/>
    <mergeCell ref="AO19:AO20"/>
    <mergeCell ref="AP19:AP20"/>
    <mergeCell ref="AQ19:AQ20"/>
    <mergeCell ref="AR19:AR20"/>
    <mergeCell ref="AS19:AS20"/>
    <mergeCell ref="AT19:AT20"/>
    <mergeCell ref="AU19:AU20"/>
    <mergeCell ref="AV19:AV20"/>
    <mergeCell ref="AW19:AW20"/>
    <mergeCell ref="AX19:AX20"/>
    <mergeCell ref="AY19:AY20"/>
    <mergeCell ref="AZ19:AZ20"/>
    <mergeCell ref="BA19:BA20"/>
    <mergeCell ref="BB19:BB20"/>
    <mergeCell ref="BC19:BC20"/>
    <mergeCell ref="J19:J20"/>
    <mergeCell ref="N19:N20"/>
    <mergeCell ref="Q19:Q20"/>
    <mergeCell ref="AG25:AG26"/>
    <mergeCell ref="AH25:AH26"/>
    <mergeCell ref="R19:R20"/>
    <mergeCell ref="S19:S20"/>
    <mergeCell ref="T19:T20"/>
    <mergeCell ref="U19:U20"/>
    <mergeCell ref="V19:V20"/>
    <mergeCell ref="W19:W20"/>
    <mergeCell ref="AD19:AD20"/>
    <mergeCell ref="AE19:AE20"/>
    <mergeCell ref="I25:I26"/>
    <mergeCell ref="H25:H26"/>
    <mergeCell ref="G25:G26"/>
    <mergeCell ref="F25:F26"/>
    <mergeCell ref="W23:W24"/>
    <mergeCell ref="X23:X24"/>
    <mergeCell ref="V23:V24"/>
    <mergeCell ref="E25:E26"/>
    <mergeCell ref="D25:D26"/>
    <mergeCell ref="C25:C26"/>
    <mergeCell ref="B25:B26"/>
    <mergeCell ref="A25:A26"/>
    <mergeCell ref="J25:J26"/>
    <mergeCell ref="AM25:AM26"/>
    <mergeCell ref="AN25:AN26"/>
    <mergeCell ref="AO25:AO26"/>
    <mergeCell ref="AP25:AP26"/>
    <mergeCell ref="AQ25:AQ26"/>
    <mergeCell ref="AR25:AR26"/>
    <mergeCell ref="BC25:BC26"/>
    <mergeCell ref="BD25:BD26"/>
    <mergeCell ref="AS25:AS26"/>
    <mergeCell ref="AT25:AT26"/>
    <mergeCell ref="AU25:AU26"/>
    <mergeCell ref="AV25:AV26"/>
    <mergeCell ref="AW25:AW26"/>
    <mergeCell ref="AX25:AX26"/>
    <mergeCell ref="BE25:BE26"/>
    <mergeCell ref="BF25:BF26"/>
    <mergeCell ref="BG25:BG26"/>
    <mergeCell ref="AY25:AY26"/>
    <mergeCell ref="AZ25:AZ26"/>
    <mergeCell ref="BA25:BA26"/>
    <mergeCell ref="BB25:BB26"/>
    <mergeCell ref="N25:N26"/>
    <mergeCell ref="Q25:Q26"/>
    <mergeCell ref="R25:R26"/>
    <mergeCell ref="S25:S26"/>
    <mergeCell ref="T25:T26"/>
    <mergeCell ref="U25:U26"/>
    <mergeCell ref="V25:V26"/>
    <mergeCell ref="W25:W26"/>
    <mergeCell ref="X25:X26"/>
    <mergeCell ref="Y25:Y26"/>
    <mergeCell ref="Z25:Z26"/>
    <mergeCell ref="AI25:AI26"/>
    <mergeCell ref="AJ25:AJ26"/>
    <mergeCell ref="AK25:AK26"/>
    <mergeCell ref="AL25:AL26"/>
    <mergeCell ref="AA25:AA26"/>
    <mergeCell ref="AB25:AB26"/>
    <mergeCell ref="AC25:AC26"/>
    <mergeCell ref="AD25:AD26"/>
    <mergeCell ref="AE25:AE26"/>
    <mergeCell ref="AF25:AF26"/>
    <mergeCell ref="X102:X103"/>
    <mergeCell ref="AO37:AO38"/>
    <mergeCell ref="AP37:AP38"/>
    <mergeCell ref="AQ37:AQ38"/>
    <mergeCell ref="AR37:AR38"/>
    <mergeCell ref="AS37:AS38"/>
    <mergeCell ref="AT37:AT38"/>
    <mergeCell ref="AU37:AU38"/>
    <mergeCell ref="AV37:AV38"/>
    <mergeCell ref="AW37:AW38"/>
    <mergeCell ref="AX37:AX38"/>
    <mergeCell ref="AY37:AY38"/>
    <mergeCell ref="AZ37:AZ38"/>
    <mergeCell ref="BG37:BG38"/>
    <mergeCell ref="BA37:BA38"/>
    <mergeCell ref="BB37:BB38"/>
    <mergeCell ref="BC37:BC38"/>
    <mergeCell ref="BD37:BD38"/>
    <mergeCell ref="BE37:BE38"/>
    <mergeCell ref="BF37:BF38"/>
    <mergeCell ref="AA102:AA103"/>
    <mergeCell ref="AB102:AB103"/>
    <mergeCell ref="AC102:AC103"/>
    <mergeCell ref="AD102:AD103"/>
    <mergeCell ref="BA100:BA101"/>
    <mergeCell ref="BB100:BB101"/>
    <mergeCell ref="BC100:BC101"/>
    <mergeCell ref="BD100:BD101"/>
    <mergeCell ref="BE100:BE101"/>
    <mergeCell ref="BF100:BF101"/>
    <mergeCell ref="BG100:BG101"/>
    <mergeCell ref="AY102:AY103"/>
    <mergeCell ref="W37:W38"/>
    <mergeCell ref="X37:X38"/>
    <mergeCell ref="Y37:Y38"/>
    <mergeCell ref="Z37:Z38"/>
    <mergeCell ref="AA37:AA38"/>
    <mergeCell ref="AB37:AB38"/>
    <mergeCell ref="AC37:AC38"/>
    <mergeCell ref="AD37:AD38"/>
    <mergeCell ref="AE37:AE38"/>
    <mergeCell ref="AF37:AF38"/>
    <mergeCell ref="AG37:AG38"/>
    <mergeCell ref="AH37:AH38"/>
    <mergeCell ref="AS102:AS103"/>
    <mergeCell ref="AI37:AI38"/>
    <mergeCell ref="AJ37:AJ38"/>
    <mergeCell ref="AK37:AK38"/>
    <mergeCell ref="AL37:AL38"/>
    <mergeCell ref="AM37:AM38"/>
    <mergeCell ref="AN37:AN38"/>
    <mergeCell ref="AE102:AE103"/>
    <mergeCell ref="AF102:AF103"/>
    <mergeCell ref="AG102:AG103"/>
    <mergeCell ref="AH102:AH103"/>
    <mergeCell ref="AI102:AI103"/>
    <mergeCell ref="AJ102:AJ103"/>
    <mergeCell ref="AK102:AK103"/>
    <mergeCell ref="AL102:AL103"/>
    <mergeCell ref="W102:W103"/>
    <mergeCell ref="AQ102:AQ103"/>
    <mergeCell ref="AR102:AR103"/>
    <mergeCell ref="AC100:AC101"/>
    <mergeCell ref="AD100:AD101"/>
    <mergeCell ref="A104:I104"/>
    <mergeCell ref="A105:I105"/>
    <mergeCell ref="A37:A38"/>
    <mergeCell ref="B37:B38"/>
    <mergeCell ref="C37:C38"/>
    <mergeCell ref="D37:D38"/>
    <mergeCell ref="E37:E38"/>
    <mergeCell ref="F37:F38"/>
    <mergeCell ref="G37:G38"/>
    <mergeCell ref="H37:H38"/>
    <mergeCell ref="I37:I38"/>
    <mergeCell ref="J37:J38"/>
    <mergeCell ref="N37:N38"/>
    <mergeCell ref="Q37:Q38"/>
    <mergeCell ref="R37:R38"/>
    <mergeCell ref="S37:S38"/>
    <mergeCell ref="T37:T38"/>
    <mergeCell ref="A93:A94"/>
    <mergeCell ref="B93:B94"/>
    <mergeCell ref="C93:C94"/>
    <mergeCell ref="D93:D94"/>
    <mergeCell ref="E93:E94"/>
    <mergeCell ref="F93:F94"/>
    <mergeCell ref="G93:G94"/>
    <mergeCell ref="H93:H94"/>
    <mergeCell ref="I93:I94"/>
    <mergeCell ref="J93:J94"/>
    <mergeCell ref="N93:N94"/>
    <mergeCell ref="Q93:Q94"/>
    <mergeCell ref="S89:S90"/>
    <mergeCell ref="T89:T90"/>
    <mergeCell ref="R87:R88"/>
    <mergeCell ref="AZ102:AZ103"/>
    <mergeCell ref="BA102:BA103"/>
    <mergeCell ref="BB102:BB103"/>
    <mergeCell ref="BC102:BC103"/>
    <mergeCell ref="BD102:BD103"/>
    <mergeCell ref="BE102:BE103"/>
    <mergeCell ref="BF102:BF103"/>
    <mergeCell ref="BG102:BG103"/>
    <mergeCell ref="AT102:AT103"/>
    <mergeCell ref="AU102:AU103"/>
    <mergeCell ref="AV102:AV103"/>
    <mergeCell ref="A102:A103"/>
    <mergeCell ref="B102:B103"/>
    <mergeCell ref="C102:C103"/>
    <mergeCell ref="D102:D103"/>
    <mergeCell ref="E102:E103"/>
    <mergeCell ref="F102:F103"/>
    <mergeCell ref="G102:G103"/>
    <mergeCell ref="H102:H103"/>
    <mergeCell ref="I102:I103"/>
    <mergeCell ref="J102:J103"/>
    <mergeCell ref="N102:N103"/>
    <mergeCell ref="Q102:Q103"/>
    <mergeCell ref="R102:R103"/>
    <mergeCell ref="S102:S103"/>
    <mergeCell ref="T102:T103"/>
    <mergeCell ref="U102:U103"/>
    <mergeCell ref="V102:V103"/>
    <mergeCell ref="Y102:Y103"/>
    <mergeCell ref="Z102:Z103"/>
    <mergeCell ref="AW102:AW103"/>
    <mergeCell ref="AX102:AX103"/>
    <mergeCell ref="AI100:AI101"/>
    <mergeCell ref="AJ100:AJ101"/>
    <mergeCell ref="AK100:AK101"/>
    <mergeCell ref="AL100:AL101"/>
    <mergeCell ref="AM100:AM101"/>
    <mergeCell ref="AN100:AN101"/>
    <mergeCell ref="AY100:AY101"/>
    <mergeCell ref="AZ100:AZ101"/>
    <mergeCell ref="AO100:AO101"/>
    <mergeCell ref="AP100:AP101"/>
    <mergeCell ref="AQ100:AQ101"/>
    <mergeCell ref="AR100:AR101"/>
    <mergeCell ref="AS100:AS101"/>
    <mergeCell ref="AT100:AT101"/>
    <mergeCell ref="AU100:AU101"/>
    <mergeCell ref="AV100:AV101"/>
    <mergeCell ref="AW100:AW101"/>
    <mergeCell ref="AX100:AX101"/>
    <mergeCell ref="AM102:AM103"/>
    <mergeCell ref="AN102:AN103"/>
    <mergeCell ref="AO102:AO103"/>
    <mergeCell ref="AP102:AP103"/>
    <mergeCell ref="F100:F101"/>
    <mergeCell ref="G100:G101"/>
    <mergeCell ref="H100:H101"/>
    <mergeCell ref="I100:I101"/>
    <mergeCell ref="J100:J101"/>
    <mergeCell ref="N100:N101"/>
    <mergeCell ref="Q100:Q101"/>
    <mergeCell ref="R100:R101"/>
    <mergeCell ref="S100:S101"/>
    <mergeCell ref="T100:T101"/>
    <mergeCell ref="U100:U101"/>
    <mergeCell ref="V100:V101"/>
    <mergeCell ref="AE98:AE99"/>
    <mergeCell ref="AF98:AF99"/>
    <mergeCell ref="AG98:AG99"/>
    <mergeCell ref="AH98:AH99"/>
    <mergeCell ref="W100:W101"/>
    <mergeCell ref="X100:X101"/>
    <mergeCell ref="Y100:Y101"/>
    <mergeCell ref="Z100:Z101"/>
    <mergeCell ref="AA100:AA101"/>
    <mergeCell ref="AB100:AB101"/>
    <mergeCell ref="AI98:AI99"/>
    <mergeCell ref="AJ98:AJ99"/>
    <mergeCell ref="AE100:AE101"/>
    <mergeCell ref="AF100:AF101"/>
    <mergeCell ref="AG100:AG101"/>
    <mergeCell ref="AH100:AH101"/>
    <mergeCell ref="BF98:BF99"/>
    <mergeCell ref="BG98:BG99"/>
    <mergeCell ref="A100:A101"/>
    <mergeCell ref="B100:B101"/>
    <mergeCell ref="C100:C101"/>
    <mergeCell ref="D100:D101"/>
    <mergeCell ref="E100:E101"/>
    <mergeCell ref="H98:H99"/>
    <mergeCell ref="I98:I99"/>
    <mergeCell ref="J98:J99"/>
    <mergeCell ref="N98:N99"/>
    <mergeCell ref="Q98:Q99"/>
    <mergeCell ref="R98:R99"/>
    <mergeCell ref="S98:S99"/>
    <mergeCell ref="T98:T99"/>
    <mergeCell ref="U98:U99"/>
    <mergeCell ref="V98:V99"/>
    <mergeCell ref="W98:W99"/>
    <mergeCell ref="X98:X99"/>
    <mergeCell ref="Y98:Y99"/>
    <mergeCell ref="Z98:Z99"/>
    <mergeCell ref="AA98:AA99"/>
    <mergeCell ref="AB98:AB99"/>
    <mergeCell ref="AC98:AC99"/>
    <mergeCell ref="AD98:AD99"/>
    <mergeCell ref="AK98:AK99"/>
    <mergeCell ref="AL98:AL99"/>
    <mergeCell ref="AM98:AM99"/>
    <mergeCell ref="AN98:AN99"/>
    <mergeCell ref="AO98:AO99"/>
    <mergeCell ref="AP98:AP99"/>
    <mergeCell ref="AQ98:AQ99"/>
    <mergeCell ref="AU96:AU97"/>
    <mergeCell ref="AV96:AV97"/>
    <mergeCell ref="AW96:AW97"/>
    <mergeCell ref="BB98:BB99"/>
    <mergeCell ref="BC98:BC99"/>
    <mergeCell ref="BD98:BD99"/>
    <mergeCell ref="BE98:BE99"/>
    <mergeCell ref="AR98:AR99"/>
    <mergeCell ref="AS98:AS99"/>
    <mergeCell ref="AT98:AT99"/>
    <mergeCell ref="AU98:AU99"/>
    <mergeCell ref="AV98:AV99"/>
    <mergeCell ref="AW98:AW99"/>
    <mergeCell ref="AX98:AX99"/>
    <mergeCell ref="AY98:AY99"/>
    <mergeCell ref="AZ98:AZ99"/>
    <mergeCell ref="BA98:BA99"/>
    <mergeCell ref="AX96:AX97"/>
    <mergeCell ref="AY96:AY97"/>
    <mergeCell ref="AZ96:AZ97"/>
    <mergeCell ref="BA96:BA97"/>
    <mergeCell ref="BB96:BB97"/>
    <mergeCell ref="BC96:BC97"/>
    <mergeCell ref="BD96:BD97"/>
    <mergeCell ref="BE96:BE97"/>
    <mergeCell ref="BF96:BF97"/>
    <mergeCell ref="BG96:BG97"/>
    <mergeCell ref="A98:A99"/>
    <mergeCell ref="B98:B99"/>
    <mergeCell ref="C98:C99"/>
    <mergeCell ref="D98:D99"/>
    <mergeCell ref="E98:E99"/>
    <mergeCell ref="F98:F99"/>
    <mergeCell ref="G98:G99"/>
    <mergeCell ref="J96:J97"/>
    <mergeCell ref="N96:N97"/>
    <mergeCell ref="Q96:Q97"/>
    <mergeCell ref="R96:R97"/>
    <mergeCell ref="S96:S97"/>
    <mergeCell ref="T96:T97"/>
    <mergeCell ref="U96:U97"/>
    <mergeCell ref="V96:V97"/>
    <mergeCell ref="W96:W97"/>
    <mergeCell ref="X96:X97"/>
    <mergeCell ref="Y96:Y97"/>
    <mergeCell ref="Z96:Z97"/>
    <mergeCell ref="AG96:AG97"/>
    <mergeCell ref="AH96:AH97"/>
    <mergeCell ref="AI96:AI97"/>
    <mergeCell ref="AF96:AF97"/>
    <mergeCell ref="AJ96:AJ97"/>
    <mergeCell ref="AM96:AM97"/>
    <mergeCell ref="AN96:AN97"/>
    <mergeCell ref="AO96:AO97"/>
    <mergeCell ref="AP96:AP97"/>
    <mergeCell ref="AQ96:AQ97"/>
    <mergeCell ref="AT96:AT97"/>
    <mergeCell ref="Y93:Y94"/>
    <mergeCell ref="Z93:Z94"/>
    <mergeCell ref="AA93:AA94"/>
    <mergeCell ref="AB93:AB94"/>
    <mergeCell ref="AL93:AL94"/>
    <mergeCell ref="AM93:AM94"/>
    <mergeCell ref="AK96:AK97"/>
    <mergeCell ref="AL96:AL97"/>
    <mergeCell ref="AA96:AA97"/>
    <mergeCell ref="AB96:AB97"/>
    <mergeCell ref="AC96:AC97"/>
    <mergeCell ref="AD96:AD97"/>
    <mergeCell ref="AE96:AE97"/>
    <mergeCell ref="AP93:AP94"/>
    <mergeCell ref="AQ93:AQ94"/>
    <mergeCell ref="AR93:AR94"/>
    <mergeCell ref="AS93:AS94"/>
    <mergeCell ref="AC93:AC94"/>
    <mergeCell ref="AN93:AN94"/>
    <mergeCell ref="AO93:AO94"/>
    <mergeCell ref="AD93:AD94"/>
    <mergeCell ref="AE93:AE94"/>
    <mergeCell ref="AF93:AF94"/>
    <mergeCell ref="AG93:AG94"/>
    <mergeCell ref="AH93:AH94"/>
    <mergeCell ref="AI93:AI94"/>
    <mergeCell ref="AJ93:AJ94"/>
    <mergeCell ref="AK93:AK94"/>
    <mergeCell ref="AR96:AR97"/>
    <mergeCell ref="AS96:AS97"/>
    <mergeCell ref="A95:I95"/>
    <mergeCell ref="A96:A97"/>
    <mergeCell ref="B96:B97"/>
    <mergeCell ref="C96:C97"/>
    <mergeCell ref="D96:D97"/>
    <mergeCell ref="E96:E97"/>
    <mergeCell ref="F96:F97"/>
    <mergeCell ref="G96:G97"/>
    <mergeCell ref="H96:H97"/>
    <mergeCell ref="I96:I97"/>
    <mergeCell ref="R93:R94"/>
    <mergeCell ref="S93:S94"/>
    <mergeCell ref="T93:T94"/>
    <mergeCell ref="U93:U94"/>
    <mergeCell ref="V93:V94"/>
    <mergeCell ref="W93:W94"/>
    <mergeCell ref="X93:X94"/>
    <mergeCell ref="AR91:AR92"/>
    <mergeCell ref="AS91:AS92"/>
    <mergeCell ref="AT91:AT92"/>
    <mergeCell ref="AU91:AU92"/>
    <mergeCell ref="AW93:AW94"/>
    <mergeCell ref="AX93:AX94"/>
    <mergeCell ref="AY93:AY94"/>
    <mergeCell ref="AZ93:AZ94"/>
    <mergeCell ref="BA93:BA94"/>
    <mergeCell ref="BB93:BB94"/>
    <mergeCell ref="BC93:BC94"/>
    <mergeCell ref="BD93:BD94"/>
    <mergeCell ref="BE93:BE94"/>
    <mergeCell ref="AO91:AO92"/>
    <mergeCell ref="AI91:AI92"/>
    <mergeCell ref="BF93:BF94"/>
    <mergeCell ref="BG93:BG94"/>
    <mergeCell ref="AT93:AT94"/>
    <mergeCell ref="AU93:AU94"/>
    <mergeCell ref="AV93:AV94"/>
    <mergeCell ref="BG91:BG92"/>
    <mergeCell ref="AV91:AV92"/>
    <mergeCell ref="AW91:AW92"/>
    <mergeCell ref="AX91:AX92"/>
    <mergeCell ref="AY91:AY92"/>
    <mergeCell ref="AZ91:AZ92"/>
    <mergeCell ref="BA91:BA92"/>
    <mergeCell ref="X91:X92"/>
    <mergeCell ref="Y91:Y92"/>
    <mergeCell ref="AQ91:AQ92"/>
    <mergeCell ref="AJ91:AJ92"/>
    <mergeCell ref="AK91:AK92"/>
    <mergeCell ref="AL91:AL92"/>
    <mergeCell ref="AM91:AM92"/>
    <mergeCell ref="AN91:AN92"/>
    <mergeCell ref="A91:A92"/>
    <mergeCell ref="B91:B92"/>
    <mergeCell ref="C91:C92"/>
    <mergeCell ref="D91:D92"/>
    <mergeCell ref="E91:E92"/>
    <mergeCell ref="F91:F92"/>
    <mergeCell ref="G91:G92"/>
    <mergeCell ref="H91:H92"/>
    <mergeCell ref="I91:I92"/>
    <mergeCell ref="J91:J92"/>
    <mergeCell ref="N91:N92"/>
    <mergeCell ref="Q91:Q92"/>
    <mergeCell ref="U91:U92"/>
    <mergeCell ref="V91:V92"/>
    <mergeCell ref="W91:W92"/>
    <mergeCell ref="R91:R92"/>
    <mergeCell ref="S91:S92"/>
    <mergeCell ref="T91:T92"/>
    <mergeCell ref="AD91:AD92"/>
    <mergeCell ref="AE91:AE92"/>
    <mergeCell ref="AF91:AF92"/>
    <mergeCell ref="AG91:AG92"/>
    <mergeCell ref="AH91:AH92"/>
    <mergeCell ref="AP91:AP92"/>
    <mergeCell ref="X89:X90"/>
    <mergeCell ref="Y89:Y90"/>
    <mergeCell ref="Z89:Z90"/>
    <mergeCell ref="AA89:AA90"/>
    <mergeCell ref="AB89:AB90"/>
    <mergeCell ref="AC89:AC90"/>
    <mergeCell ref="BB89:BB90"/>
    <mergeCell ref="BC89:BC90"/>
    <mergeCell ref="AD89:AD90"/>
    <mergeCell ref="AE89:AE90"/>
    <mergeCell ref="AF89:AF90"/>
    <mergeCell ref="AG89:AG90"/>
    <mergeCell ref="AH89:AH90"/>
    <mergeCell ref="AI89:AI90"/>
    <mergeCell ref="BG89:BG90"/>
    <mergeCell ref="Z91:Z92"/>
    <mergeCell ref="AA91:AA92"/>
    <mergeCell ref="AB91:AB92"/>
    <mergeCell ref="AC91:AC92"/>
    <mergeCell ref="BB91:BB92"/>
    <mergeCell ref="BC91:BC92"/>
    <mergeCell ref="BD91:BD92"/>
    <mergeCell ref="BE91:BE92"/>
    <mergeCell ref="BF91:BF92"/>
    <mergeCell ref="AJ89:AJ90"/>
    <mergeCell ref="AK89:AK90"/>
    <mergeCell ref="AL89:AL90"/>
    <mergeCell ref="AM89:AM90"/>
    <mergeCell ref="AN89:AN90"/>
    <mergeCell ref="AO89:AO90"/>
    <mergeCell ref="AP89:AP90"/>
    <mergeCell ref="AQ89:AQ90"/>
    <mergeCell ref="AS89:AS90"/>
    <mergeCell ref="AT89:AT90"/>
    <mergeCell ref="AU89:AU90"/>
    <mergeCell ref="BD89:BD90"/>
    <mergeCell ref="BE89:BE90"/>
    <mergeCell ref="BF89:BF90"/>
    <mergeCell ref="AV89:AV90"/>
    <mergeCell ref="AW89:AW90"/>
    <mergeCell ref="AX89:AX90"/>
    <mergeCell ref="AY89:AY90"/>
    <mergeCell ref="AZ89:AZ90"/>
    <mergeCell ref="BA89:BA90"/>
    <mergeCell ref="AE87:AE88"/>
    <mergeCell ref="AF87:AF88"/>
    <mergeCell ref="AG87:AG88"/>
    <mergeCell ref="AH87:AH88"/>
    <mergeCell ref="AI87:AI88"/>
    <mergeCell ref="A89:A90"/>
    <mergeCell ref="B89:B90"/>
    <mergeCell ref="C89:C90"/>
    <mergeCell ref="D89:D90"/>
    <mergeCell ref="E89:E90"/>
    <mergeCell ref="F89:F90"/>
    <mergeCell ref="U89:U90"/>
    <mergeCell ref="V89:V90"/>
    <mergeCell ref="W89:W90"/>
    <mergeCell ref="G89:G90"/>
    <mergeCell ref="H89:H90"/>
    <mergeCell ref="I89:I90"/>
    <mergeCell ref="J89:J90"/>
    <mergeCell ref="N89:N90"/>
    <mergeCell ref="Q89:Q90"/>
    <mergeCell ref="R89:R90"/>
    <mergeCell ref="BG87:BG88"/>
    <mergeCell ref="AV87:AV88"/>
    <mergeCell ref="AW87:AW88"/>
    <mergeCell ref="AX87:AX88"/>
    <mergeCell ref="AY87:AY88"/>
    <mergeCell ref="AZ87:AZ88"/>
    <mergeCell ref="BA87:BA88"/>
    <mergeCell ref="AA87:AA88"/>
    <mergeCell ref="AB87:AB88"/>
    <mergeCell ref="AC87:AC88"/>
    <mergeCell ref="S87:S88"/>
    <mergeCell ref="T87:T88"/>
    <mergeCell ref="BB87:BB88"/>
    <mergeCell ref="BC87:BC88"/>
    <mergeCell ref="AD87:AD88"/>
    <mergeCell ref="AR89:AR90"/>
    <mergeCell ref="H84:H85"/>
    <mergeCell ref="I84:I85"/>
    <mergeCell ref="J84:J85"/>
    <mergeCell ref="N84:N85"/>
    <mergeCell ref="Q84:Q85"/>
    <mergeCell ref="R84:R85"/>
    <mergeCell ref="BC84:BC85"/>
    <mergeCell ref="BD84:BD85"/>
    <mergeCell ref="AC84:AC85"/>
    <mergeCell ref="AD84:AD85"/>
    <mergeCell ref="S84:S85"/>
    <mergeCell ref="T84:T85"/>
    <mergeCell ref="U84:U85"/>
    <mergeCell ref="V84:V85"/>
    <mergeCell ref="W84:W85"/>
    <mergeCell ref="X84:X85"/>
    <mergeCell ref="AE84:AE85"/>
    <mergeCell ref="BG84:BG85"/>
    <mergeCell ref="A86:I86"/>
    <mergeCell ref="AW84:AW85"/>
    <mergeCell ref="AX84:AX85"/>
    <mergeCell ref="AY84:AY85"/>
    <mergeCell ref="AZ84:AZ85"/>
    <mergeCell ref="BA84:BA85"/>
    <mergeCell ref="BB84:BB85"/>
    <mergeCell ref="AQ84:AQ85"/>
    <mergeCell ref="AR84:AR85"/>
    <mergeCell ref="A87:A88"/>
    <mergeCell ref="B87:B88"/>
    <mergeCell ref="C87:C88"/>
    <mergeCell ref="D87:D88"/>
    <mergeCell ref="E87:E88"/>
    <mergeCell ref="F87:F88"/>
    <mergeCell ref="G87:G88"/>
    <mergeCell ref="H87:H88"/>
    <mergeCell ref="I87:I88"/>
    <mergeCell ref="J87:J88"/>
    <mergeCell ref="N87:N88"/>
    <mergeCell ref="Q87:Q88"/>
    <mergeCell ref="Y84:Y85"/>
    <mergeCell ref="Z84:Z85"/>
    <mergeCell ref="AA84:AA85"/>
    <mergeCell ref="AB84:AB85"/>
    <mergeCell ref="U87:U88"/>
    <mergeCell ref="V87:V88"/>
    <mergeCell ref="W87:W88"/>
    <mergeCell ref="X87:X88"/>
    <mergeCell ref="Y87:Y88"/>
    <mergeCell ref="Z87:Z88"/>
    <mergeCell ref="BB82:BB83"/>
    <mergeCell ref="BC82:BC83"/>
    <mergeCell ref="BD82:BD83"/>
    <mergeCell ref="BE82:BE83"/>
    <mergeCell ref="BF82:BF83"/>
    <mergeCell ref="AF84:AF85"/>
    <mergeCell ref="AG84:AG85"/>
    <mergeCell ref="AH84:AH85"/>
    <mergeCell ref="AI84:AI85"/>
    <mergeCell ref="AJ84:AJ85"/>
    <mergeCell ref="AK84:AK85"/>
    <mergeCell ref="AL84:AL85"/>
    <mergeCell ref="AM84:AM85"/>
    <mergeCell ref="AN84:AN85"/>
    <mergeCell ref="AO84:AO85"/>
    <mergeCell ref="AL87:AL88"/>
    <mergeCell ref="AM87:AM88"/>
    <mergeCell ref="AN87:AN88"/>
    <mergeCell ref="AO87:AO88"/>
    <mergeCell ref="AP84:AP85"/>
    <mergeCell ref="AT87:AT88"/>
    <mergeCell ref="AU87:AU88"/>
    <mergeCell ref="BD87:BD88"/>
    <mergeCell ref="BE87:BE88"/>
    <mergeCell ref="BF87:BF88"/>
    <mergeCell ref="AJ87:AJ88"/>
    <mergeCell ref="AK87:AK88"/>
    <mergeCell ref="AP87:AP88"/>
    <mergeCell ref="AQ87:AQ88"/>
    <mergeCell ref="AR87:AR88"/>
    <mergeCell ref="AS87:AS88"/>
    <mergeCell ref="AK82:AK83"/>
    <mergeCell ref="Z82:Z83"/>
    <mergeCell ref="AA82:AA83"/>
    <mergeCell ref="AB82:AB83"/>
    <mergeCell ref="AC82:AC83"/>
    <mergeCell ref="AD82:AD83"/>
    <mergeCell ref="AE82:AE83"/>
    <mergeCell ref="AF82:AF83"/>
    <mergeCell ref="AG82:AG83"/>
    <mergeCell ref="AH82:AH83"/>
    <mergeCell ref="AI82:AI83"/>
    <mergeCell ref="AJ82:AJ83"/>
    <mergeCell ref="BE84:BE85"/>
    <mergeCell ref="BF84:BF85"/>
    <mergeCell ref="AS84:AS85"/>
    <mergeCell ref="AT84:AT85"/>
    <mergeCell ref="AU84:AU85"/>
    <mergeCell ref="AV84:AV85"/>
    <mergeCell ref="AM82:AM83"/>
    <mergeCell ref="AN82:AN83"/>
    <mergeCell ref="AO82:AO83"/>
    <mergeCell ref="AP82:AP83"/>
    <mergeCell ref="AQ82:AQ83"/>
    <mergeCell ref="AR82:AR83"/>
    <mergeCell ref="AS82:AS83"/>
    <mergeCell ref="AT82:AT83"/>
    <mergeCell ref="AU82:AU83"/>
    <mergeCell ref="AV82:AV83"/>
    <mergeCell ref="AW82:AW83"/>
    <mergeCell ref="AX82:AX83"/>
    <mergeCell ref="AY82:AY83"/>
    <mergeCell ref="AZ82:AZ83"/>
    <mergeCell ref="BA82:BA83"/>
    <mergeCell ref="AL82:AL83"/>
    <mergeCell ref="AO80:AO81"/>
    <mergeCell ref="AP80:AP81"/>
    <mergeCell ref="AQ80:AQ81"/>
    <mergeCell ref="AR80:AR81"/>
    <mergeCell ref="AS80:AS81"/>
    <mergeCell ref="AT80:AT81"/>
    <mergeCell ref="AU80:AU81"/>
    <mergeCell ref="AV80:AV81"/>
    <mergeCell ref="AW80:AW81"/>
    <mergeCell ref="AX80:AX81"/>
    <mergeCell ref="AY80:AY81"/>
    <mergeCell ref="BG82:BG83"/>
    <mergeCell ref="A84:A85"/>
    <mergeCell ref="B84:B85"/>
    <mergeCell ref="C84:C85"/>
    <mergeCell ref="D84:D85"/>
    <mergeCell ref="E84:E85"/>
    <mergeCell ref="F84:F85"/>
    <mergeCell ref="G84:G85"/>
    <mergeCell ref="J82:J83"/>
    <mergeCell ref="N82:N83"/>
    <mergeCell ref="Q82:Q83"/>
    <mergeCell ref="R82:R83"/>
    <mergeCell ref="S82:S83"/>
    <mergeCell ref="T82:T83"/>
    <mergeCell ref="U82:U83"/>
    <mergeCell ref="V82:V83"/>
    <mergeCell ref="W82:W83"/>
    <mergeCell ref="X82:X83"/>
    <mergeCell ref="Y82:Y83"/>
    <mergeCell ref="AZ80:AZ81"/>
    <mergeCell ref="BA80:BA81"/>
    <mergeCell ref="BB80:BB81"/>
    <mergeCell ref="BC80:BC81"/>
    <mergeCell ref="BD80:BD81"/>
    <mergeCell ref="BE80:BE81"/>
    <mergeCell ref="BF80:BF81"/>
    <mergeCell ref="BG80:BG81"/>
    <mergeCell ref="A82:A83"/>
    <mergeCell ref="B82:B83"/>
    <mergeCell ref="C82:C83"/>
    <mergeCell ref="D82:D83"/>
    <mergeCell ref="E82:E83"/>
    <mergeCell ref="F82:F83"/>
    <mergeCell ref="G82:G83"/>
    <mergeCell ref="H82:H83"/>
    <mergeCell ref="I82:I83"/>
    <mergeCell ref="Q80:Q81"/>
    <mergeCell ref="R80:R81"/>
    <mergeCell ref="S80:S81"/>
    <mergeCell ref="T80:T81"/>
    <mergeCell ref="U80:U81"/>
    <mergeCell ref="V80:V81"/>
    <mergeCell ref="W80:W81"/>
    <mergeCell ref="X80:X81"/>
    <mergeCell ref="Y80:Y81"/>
    <mergeCell ref="Z80:Z81"/>
    <mergeCell ref="AA80:AA81"/>
    <mergeCell ref="AB80:AB81"/>
    <mergeCell ref="AC80:AC81"/>
    <mergeCell ref="AD80:AD81"/>
    <mergeCell ref="AE80:AE81"/>
    <mergeCell ref="AF80:AF81"/>
    <mergeCell ref="AG80:AG81"/>
    <mergeCell ref="AH80:AH81"/>
    <mergeCell ref="AK78:AK79"/>
    <mergeCell ref="AL78:AL79"/>
    <mergeCell ref="AM78:AM79"/>
    <mergeCell ref="AN78:AN79"/>
    <mergeCell ref="AM80:AM81"/>
    <mergeCell ref="AN80:AN81"/>
    <mergeCell ref="AQ78:AQ79"/>
    <mergeCell ref="AR78:AR79"/>
    <mergeCell ref="AS78:AS79"/>
    <mergeCell ref="AT78:AT79"/>
    <mergeCell ref="AU78:AU79"/>
    <mergeCell ref="AV78:AV79"/>
    <mergeCell ref="AW78:AW79"/>
    <mergeCell ref="AX78:AX79"/>
    <mergeCell ref="AI80:AI81"/>
    <mergeCell ref="AJ80:AJ81"/>
    <mergeCell ref="AK80:AK81"/>
    <mergeCell ref="AL80:AL81"/>
    <mergeCell ref="AY78:AY79"/>
    <mergeCell ref="AZ78:AZ79"/>
    <mergeCell ref="BA78:BA79"/>
    <mergeCell ref="BB78:BB79"/>
    <mergeCell ref="BC78:BC79"/>
    <mergeCell ref="BD78:BD79"/>
    <mergeCell ref="BE78:BE79"/>
    <mergeCell ref="BF78:BF79"/>
    <mergeCell ref="BG78:BG79"/>
    <mergeCell ref="A80:A81"/>
    <mergeCell ref="B80:B81"/>
    <mergeCell ref="C80:C81"/>
    <mergeCell ref="D80:D81"/>
    <mergeCell ref="E80:E81"/>
    <mergeCell ref="F80:F81"/>
    <mergeCell ref="G80:G81"/>
    <mergeCell ref="H80:H81"/>
    <mergeCell ref="I80:I81"/>
    <mergeCell ref="J80:J81"/>
    <mergeCell ref="N80:N81"/>
    <mergeCell ref="S78:S79"/>
    <mergeCell ref="T78:T79"/>
    <mergeCell ref="U78:U79"/>
    <mergeCell ref="V78:V79"/>
    <mergeCell ref="W78:W79"/>
    <mergeCell ref="X78:X79"/>
    <mergeCell ref="Y78:Y79"/>
    <mergeCell ref="Z78:Z79"/>
    <mergeCell ref="AA78:AA79"/>
    <mergeCell ref="AB78:AB79"/>
    <mergeCell ref="AC78:AC79"/>
    <mergeCell ref="AD78:AD79"/>
    <mergeCell ref="AF78:AF79"/>
    <mergeCell ref="AG78:AG79"/>
    <mergeCell ref="AH78:AH79"/>
    <mergeCell ref="AI78:AI79"/>
    <mergeCell ref="AJ78:AJ79"/>
    <mergeCell ref="AM76:AM77"/>
    <mergeCell ref="AN76:AN77"/>
    <mergeCell ref="AO76:AO77"/>
    <mergeCell ref="AP76:AP77"/>
    <mergeCell ref="AO78:AO79"/>
    <mergeCell ref="AP78:AP79"/>
    <mergeCell ref="AS76:AS77"/>
    <mergeCell ref="AT76:AT77"/>
    <mergeCell ref="AU76:AU77"/>
    <mergeCell ref="AV76:AV77"/>
    <mergeCell ref="AW76:AW77"/>
    <mergeCell ref="AE76:AE77"/>
    <mergeCell ref="AF76:AF77"/>
    <mergeCell ref="AY76:AY77"/>
    <mergeCell ref="AZ76:AZ77"/>
    <mergeCell ref="BA76:BA77"/>
    <mergeCell ref="BB76:BB77"/>
    <mergeCell ref="BC76:BC77"/>
    <mergeCell ref="BD76:BD77"/>
    <mergeCell ref="BE76:BE77"/>
    <mergeCell ref="BF76:BF77"/>
    <mergeCell ref="BG76:BG77"/>
    <mergeCell ref="A78:A79"/>
    <mergeCell ref="B78:B79"/>
    <mergeCell ref="C78:C79"/>
    <mergeCell ref="D78:D79"/>
    <mergeCell ref="E78:E79"/>
    <mergeCell ref="F78:F79"/>
    <mergeCell ref="G78:G79"/>
    <mergeCell ref="H78:H79"/>
    <mergeCell ref="I78:I79"/>
    <mergeCell ref="J78:J79"/>
    <mergeCell ref="N78:N79"/>
    <mergeCell ref="Q78:Q79"/>
    <mergeCell ref="R78:R79"/>
    <mergeCell ref="U76:U77"/>
    <mergeCell ref="V76:V77"/>
    <mergeCell ref="W76:W77"/>
    <mergeCell ref="X76:X77"/>
    <mergeCell ref="Y76:Y77"/>
    <mergeCell ref="Z76:Z77"/>
    <mergeCell ref="AB76:AB77"/>
    <mergeCell ref="AC76:AC77"/>
    <mergeCell ref="AD76:AD77"/>
    <mergeCell ref="AE78:AE79"/>
    <mergeCell ref="Z73:Z74"/>
    <mergeCell ref="AQ76:AQ77"/>
    <mergeCell ref="AR76:AR77"/>
    <mergeCell ref="AG76:AG77"/>
    <mergeCell ref="AH76:AH77"/>
    <mergeCell ref="AI76:AI77"/>
    <mergeCell ref="AJ76:AJ77"/>
    <mergeCell ref="AK76:AK77"/>
    <mergeCell ref="AL76:AL77"/>
    <mergeCell ref="AD73:AD74"/>
    <mergeCell ref="AE73:AE74"/>
    <mergeCell ref="AF73:AF74"/>
    <mergeCell ref="AG73:AG74"/>
    <mergeCell ref="AH73:AH74"/>
    <mergeCell ref="AI73:AI74"/>
    <mergeCell ref="X73:X74"/>
    <mergeCell ref="AX76:AX77"/>
    <mergeCell ref="BB73:BB74"/>
    <mergeCell ref="AJ73:AJ74"/>
    <mergeCell ref="AK73:AK74"/>
    <mergeCell ref="AL73:AL74"/>
    <mergeCell ref="AM73:AM74"/>
    <mergeCell ref="AN73:AN74"/>
    <mergeCell ref="AO73:AO74"/>
    <mergeCell ref="A75:I75"/>
    <mergeCell ref="A76:A77"/>
    <mergeCell ref="B76:B77"/>
    <mergeCell ref="C76:C77"/>
    <mergeCell ref="D76:D77"/>
    <mergeCell ref="E76:E77"/>
    <mergeCell ref="F76:F77"/>
    <mergeCell ref="G76:G77"/>
    <mergeCell ref="H76:H77"/>
    <mergeCell ref="I76:I77"/>
    <mergeCell ref="J76:J77"/>
    <mergeCell ref="N76:N77"/>
    <mergeCell ref="Q76:Q77"/>
    <mergeCell ref="R76:R77"/>
    <mergeCell ref="S76:S77"/>
    <mergeCell ref="T76:T77"/>
    <mergeCell ref="BA73:BA74"/>
    <mergeCell ref="AP73:AP74"/>
    <mergeCell ref="AQ73:AQ74"/>
    <mergeCell ref="AR73:AR74"/>
    <mergeCell ref="AS73:AS74"/>
    <mergeCell ref="AT73:AT74"/>
    <mergeCell ref="AU73:AU74"/>
    <mergeCell ref="AA76:AA77"/>
    <mergeCell ref="Y73:Y74"/>
    <mergeCell ref="BF71:BF72"/>
    <mergeCell ref="BC73:BC74"/>
    <mergeCell ref="BD73:BD74"/>
    <mergeCell ref="BE73:BE74"/>
    <mergeCell ref="BF73:BF74"/>
    <mergeCell ref="BG73:BG74"/>
    <mergeCell ref="AV73:AV74"/>
    <mergeCell ref="AW73:AW74"/>
    <mergeCell ref="AX73:AX74"/>
    <mergeCell ref="AY73:AY74"/>
    <mergeCell ref="AZ73:AZ74"/>
    <mergeCell ref="A73:A74"/>
    <mergeCell ref="B73:B74"/>
    <mergeCell ref="C73:C74"/>
    <mergeCell ref="D73:D74"/>
    <mergeCell ref="E73:E74"/>
    <mergeCell ref="F73:F74"/>
    <mergeCell ref="G73:G74"/>
    <mergeCell ref="H73:H74"/>
    <mergeCell ref="I73:I74"/>
    <mergeCell ref="J73:J74"/>
    <mergeCell ref="N73:N74"/>
    <mergeCell ref="Q73:Q74"/>
    <mergeCell ref="AA73:AA74"/>
    <mergeCell ref="AB73:AB74"/>
    <mergeCell ref="AC73:AC74"/>
    <mergeCell ref="R73:R74"/>
    <mergeCell ref="S73:S74"/>
    <mergeCell ref="T73:T74"/>
    <mergeCell ref="U73:U74"/>
    <mergeCell ref="V73:V74"/>
    <mergeCell ref="W73:W74"/>
    <mergeCell ref="BG71:BG72"/>
    <mergeCell ref="X71:X72"/>
    <mergeCell ref="Y71:Y72"/>
    <mergeCell ref="Z71:Z72"/>
    <mergeCell ref="AA71:AA72"/>
    <mergeCell ref="AB71:AB72"/>
    <mergeCell ref="AC71:AC72"/>
    <mergeCell ref="AD71:AD72"/>
    <mergeCell ref="AE71:AE72"/>
    <mergeCell ref="AF71:AF72"/>
    <mergeCell ref="AG71:AG72"/>
    <mergeCell ref="AH71:AH72"/>
    <mergeCell ref="AI71:AI72"/>
    <mergeCell ref="AJ71:AJ72"/>
    <mergeCell ref="AK71:AK72"/>
    <mergeCell ref="AL71:AL72"/>
    <mergeCell ref="AM71:AM72"/>
    <mergeCell ref="AN71:AN72"/>
    <mergeCell ref="AO71:AO72"/>
    <mergeCell ref="AP71:AP72"/>
    <mergeCell ref="AQ71:AQ72"/>
    <mergeCell ref="AR71:AR72"/>
    <mergeCell ref="AS71:AS72"/>
    <mergeCell ref="AT71:AT72"/>
    <mergeCell ref="AU71:AU72"/>
    <mergeCell ref="AV71:AV72"/>
    <mergeCell ref="AW71:AW72"/>
    <mergeCell ref="AX71:AX72"/>
    <mergeCell ref="AY71:AY72"/>
    <mergeCell ref="AZ71:AZ72"/>
    <mergeCell ref="BA71:BA72"/>
    <mergeCell ref="BB71:BB72"/>
    <mergeCell ref="A71:A72"/>
    <mergeCell ref="B71:B72"/>
    <mergeCell ref="C71:C72"/>
    <mergeCell ref="D71:D72"/>
    <mergeCell ref="E71:E72"/>
    <mergeCell ref="F71:F72"/>
    <mergeCell ref="G71:G72"/>
    <mergeCell ref="H71:H72"/>
    <mergeCell ref="I71:I72"/>
    <mergeCell ref="J71:J72"/>
    <mergeCell ref="N71:N72"/>
    <mergeCell ref="Q71:Q72"/>
    <mergeCell ref="R71:R72"/>
    <mergeCell ref="S71:S72"/>
    <mergeCell ref="T71:T72"/>
    <mergeCell ref="U71:U72"/>
    <mergeCell ref="V71:V72"/>
    <mergeCell ref="W71:W72"/>
    <mergeCell ref="AP69:AP70"/>
    <mergeCell ref="AQ69:AQ70"/>
    <mergeCell ref="AR69:AR70"/>
    <mergeCell ref="AS69:AS70"/>
    <mergeCell ref="AT69:AT70"/>
    <mergeCell ref="AU69:AU70"/>
    <mergeCell ref="AV69:AV70"/>
    <mergeCell ref="AW69:AW70"/>
    <mergeCell ref="AX69:AX70"/>
    <mergeCell ref="AY69:AY70"/>
    <mergeCell ref="AZ69:AZ70"/>
    <mergeCell ref="BA69:BA70"/>
    <mergeCell ref="BB69:BB70"/>
    <mergeCell ref="BC69:BC70"/>
    <mergeCell ref="BD69:BD70"/>
    <mergeCell ref="BE69:BE70"/>
    <mergeCell ref="W69:W70"/>
    <mergeCell ref="BC71:BC72"/>
    <mergeCell ref="BD71:BD72"/>
    <mergeCell ref="BE71:BE72"/>
    <mergeCell ref="BG69:BG70"/>
    <mergeCell ref="X69:X70"/>
    <mergeCell ref="Y69:Y70"/>
    <mergeCell ref="Z69:Z70"/>
    <mergeCell ref="AA69:AA70"/>
    <mergeCell ref="AB69:AB70"/>
    <mergeCell ref="AC69:AC70"/>
    <mergeCell ref="AD69:AD70"/>
    <mergeCell ref="AE69:AE70"/>
    <mergeCell ref="AF69:AF70"/>
    <mergeCell ref="AG69:AG70"/>
    <mergeCell ref="AH69:AH70"/>
    <mergeCell ref="AI69:AI70"/>
    <mergeCell ref="AJ69:AJ70"/>
    <mergeCell ref="AK69:AK70"/>
    <mergeCell ref="AL69:AL70"/>
    <mergeCell ref="AM69:AM70"/>
    <mergeCell ref="AN69:AN70"/>
    <mergeCell ref="AO69:AO70"/>
    <mergeCell ref="BF67:BF68"/>
    <mergeCell ref="A69:A70"/>
    <mergeCell ref="B69:B70"/>
    <mergeCell ref="C69:C70"/>
    <mergeCell ref="D69:D70"/>
    <mergeCell ref="E69:E70"/>
    <mergeCell ref="F69:F70"/>
    <mergeCell ref="G69:G70"/>
    <mergeCell ref="H69:H70"/>
    <mergeCell ref="I69:I70"/>
    <mergeCell ref="J69:J70"/>
    <mergeCell ref="N69:N70"/>
    <mergeCell ref="Q69:Q70"/>
    <mergeCell ref="R69:R70"/>
    <mergeCell ref="S69:S70"/>
    <mergeCell ref="T69:T70"/>
    <mergeCell ref="U69:U70"/>
    <mergeCell ref="V69:V70"/>
    <mergeCell ref="BF69:BF70"/>
    <mergeCell ref="A67:A68"/>
    <mergeCell ref="B67:B68"/>
    <mergeCell ref="C67:C68"/>
    <mergeCell ref="D67:D68"/>
    <mergeCell ref="E67:E68"/>
    <mergeCell ref="F67:F68"/>
    <mergeCell ref="G67:G68"/>
    <mergeCell ref="H67:H68"/>
    <mergeCell ref="I67:I68"/>
    <mergeCell ref="J67:J68"/>
    <mergeCell ref="N67:N68"/>
    <mergeCell ref="Q67:Q68"/>
    <mergeCell ref="R67:R68"/>
    <mergeCell ref="BG67:BG68"/>
    <mergeCell ref="X67:X68"/>
    <mergeCell ref="Y67:Y68"/>
    <mergeCell ref="Z67:Z68"/>
    <mergeCell ref="AA67:AA68"/>
    <mergeCell ref="AB67:AB68"/>
    <mergeCell ref="AC67:AC68"/>
    <mergeCell ref="AD67:AD68"/>
    <mergeCell ref="AE67:AE68"/>
    <mergeCell ref="AF67:AF68"/>
    <mergeCell ref="AG67:AG68"/>
    <mergeCell ref="AH67:AH68"/>
    <mergeCell ref="AI67:AI68"/>
    <mergeCell ref="AJ67:AJ68"/>
    <mergeCell ref="AK67:AK68"/>
    <mergeCell ref="AL67:AL68"/>
    <mergeCell ref="AM67:AM68"/>
    <mergeCell ref="AN67:AN68"/>
    <mergeCell ref="AO67:AO68"/>
    <mergeCell ref="AP67:AP68"/>
    <mergeCell ref="AQ67:AQ68"/>
    <mergeCell ref="AR67:AR68"/>
    <mergeCell ref="AS67:AS68"/>
    <mergeCell ref="AT67:AT68"/>
    <mergeCell ref="AU67:AU68"/>
    <mergeCell ref="AV67:AV68"/>
    <mergeCell ref="AW67:AW68"/>
    <mergeCell ref="AX67:AX68"/>
    <mergeCell ref="AY67:AY68"/>
    <mergeCell ref="AZ67:AZ68"/>
    <mergeCell ref="BA67:BA68"/>
    <mergeCell ref="BB67:BB68"/>
    <mergeCell ref="S67:S68"/>
    <mergeCell ref="T67:T68"/>
    <mergeCell ref="U67:U68"/>
    <mergeCell ref="V67:V68"/>
    <mergeCell ref="W67:W68"/>
    <mergeCell ref="AP65:AP66"/>
    <mergeCell ref="AQ65:AQ66"/>
    <mergeCell ref="AR65:AR66"/>
    <mergeCell ref="AS65:AS66"/>
    <mergeCell ref="AT65:AT66"/>
    <mergeCell ref="AU65:AU66"/>
    <mergeCell ref="AV65:AV66"/>
    <mergeCell ref="AW65:AW66"/>
    <mergeCell ref="AX65:AX66"/>
    <mergeCell ref="AY65:AY66"/>
    <mergeCell ref="AZ65:AZ66"/>
    <mergeCell ref="BA65:BA66"/>
    <mergeCell ref="BC67:BC68"/>
    <mergeCell ref="BD67:BD68"/>
    <mergeCell ref="BE67:BE68"/>
    <mergeCell ref="AJ65:AJ66"/>
    <mergeCell ref="AK65:AK66"/>
    <mergeCell ref="AL65:AL66"/>
    <mergeCell ref="AO59:AO60"/>
    <mergeCell ref="AP59:AP60"/>
    <mergeCell ref="AQ59:AQ60"/>
    <mergeCell ref="AR59:AR60"/>
    <mergeCell ref="AS59:AS60"/>
    <mergeCell ref="AT59:AT60"/>
    <mergeCell ref="AU59:AU60"/>
    <mergeCell ref="AV59:AV60"/>
    <mergeCell ref="AW59:AW60"/>
    <mergeCell ref="AX59:AX60"/>
    <mergeCell ref="BA59:BA60"/>
    <mergeCell ref="BB59:BB60"/>
    <mergeCell ref="BC59:BC60"/>
    <mergeCell ref="BD59:BD60"/>
    <mergeCell ref="BE59:BE60"/>
    <mergeCell ref="AM59:AM60"/>
    <mergeCell ref="AN59:AN60"/>
    <mergeCell ref="AY59:AY60"/>
    <mergeCell ref="AZ59:AZ60"/>
    <mergeCell ref="AK59:AK60"/>
    <mergeCell ref="AL59:AL60"/>
    <mergeCell ref="BF65:BF66"/>
    <mergeCell ref="BG65:BG66"/>
    <mergeCell ref="X65:X66"/>
    <mergeCell ref="Y65:Y66"/>
    <mergeCell ref="Z65:Z66"/>
    <mergeCell ref="AA65:AA66"/>
    <mergeCell ref="AB65:AB66"/>
    <mergeCell ref="AC65:AC66"/>
    <mergeCell ref="AM65:AM66"/>
    <mergeCell ref="AN65:AN66"/>
    <mergeCell ref="AO65:AO66"/>
    <mergeCell ref="AD65:AD66"/>
    <mergeCell ref="AE65:AE66"/>
    <mergeCell ref="AF65:AF66"/>
    <mergeCell ref="AG65:AG66"/>
    <mergeCell ref="AH65:AH66"/>
    <mergeCell ref="AI65:AI66"/>
    <mergeCell ref="BB65:BB66"/>
    <mergeCell ref="BC65:BC66"/>
    <mergeCell ref="BD65:BD66"/>
    <mergeCell ref="BE65:BE66"/>
    <mergeCell ref="A62:I62"/>
    <mergeCell ref="A63:O63"/>
    <mergeCell ref="A64:O64"/>
    <mergeCell ref="S65:S66"/>
    <mergeCell ref="T65:T66"/>
    <mergeCell ref="U65:U66"/>
    <mergeCell ref="V65:V66"/>
    <mergeCell ref="W65:W66"/>
    <mergeCell ref="Q59:Q60"/>
    <mergeCell ref="R59:R60"/>
    <mergeCell ref="S59:S60"/>
    <mergeCell ref="T59:T60"/>
    <mergeCell ref="U59:U60"/>
    <mergeCell ref="V59:V60"/>
    <mergeCell ref="W59:W60"/>
    <mergeCell ref="X59:X60"/>
    <mergeCell ref="Y59:Y60"/>
    <mergeCell ref="F59:F60"/>
    <mergeCell ref="G59:G60"/>
    <mergeCell ref="H59:H60"/>
    <mergeCell ref="I59:I60"/>
    <mergeCell ref="J59:J60"/>
    <mergeCell ref="N59:N60"/>
    <mergeCell ref="BF59:BF60"/>
    <mergeCell ref="BG59:BG60"/>
    <mergeCell ref="A61:I61"/>
    <mergeCell ref="Z59:Z60"/>
    <mergeCell ref="AA59:AA60"/>
    <mergeCell ref="AB59:AB60"/>
    <mergeCell ref="AC59:AC60"/>
    <mergeCell ref="AD59:AD60"/>
    <mergeCell ref="AI59:AI60"/>
    <mergeCell ref="AJ59:AJ60"/>
    <mergeCell ref="AG59:AG60"/>
    <mergeCell ref="AH59:AH60"/>
    <mergeCell ref="BE57:BE58"/>
    <mergeCell ref="BF57:BF58"/>
    <mergeCell ref="BG57:BG58"/>
    <mergeCell ref="A59:A60"/>
    <mergeCell ref="B59:B60"/>
    <mergeCell ref="C59:C60"/>
    <mergeCell ref="D59:D60"/>
    <mergeCell ref="E59:E60"/>
    <mergeCell ref="S57:S58"/>
    <mergeCell ref="T57:T58"/>
    <mergeCell ref="U57:U58"/>
    <mergeCell ref="V57:V58"/>
    <mergeCell ref="W57:W58"/>
    <mergeCell ref="X57:X58"/>
    <mergeCell ref="Y57:Y58"/>
    <mergeCell ref="Z57:Z58"/>
    <mergeCell ref="AA57:AA58"/>
    <mergeCell ref="AB57:AB58"/>
    <mergeCell ref="AC57:AC58"/>
    <mergeCell ref="AE59:AE60"/>
    <mergeCell ref="AF59:AF60"/>
    <mergeCell ref="AF57:AF58"/>
    <mergeCell ref="AK57:AK58"/>
    <mergeCell ref="AL57:AL58"/>
    <mergeCell ref="AM57:AM58"/>
    <mergeCell ref="AN57:AN58"/>
    <mergeCell ref="AO57:AO58"/>
    <mergeCell ref="AP57:AP58"/>
    <mergeCell ref="AS55:AS56"/>
    <mergeCell ref="AT55:AT56"/>
    <mergeCell ref="AU55:AU56"/>
    <mergeCell ref="AV55:AV56"/>
    <mergeCell ref="AX57:AX58"/>
    <mergeCell ref="AY57:AY58"/>
    <mergeCell ref="AY55:AY56"/>
    <mergeCell ref="AI55:AI56"/>
    <mergeCell ref="AJ55:AJ56"/>
    <mergeCell ref="AK55:AK56"/>
    <mergeCell ref="AL55:AL56"/>
    <mergeCell ref="AO55:AO56"/>
    <mergeCell ref="AQ57:AQ58"/>
    <mergeCell ref="AR57:AR58"/>
    <mergeCell ref="AS57:AS58"/>
    <mergeCell ref="AT57:AT58"/>
    <mergeCell ref="AU57:AU58"/>
    <mergeCell ref="AV57:AV58"/>
    <mergeCell ref="AW57:AW58"/>
    <mergeCell ref="BD57:BD58"/>
    <mergeCell ref="BG55:BG56"/>
    <mergeCell ref="A57:A58"/>
    <mergeCell ref="B57:B58"/>
    <mergeCell ref="C57:C58"/>
    <mergeCell ref="D57:D58"/>
    <mergeCell ref="E57:E58"/>
    <mergeCell ref="F57:F58"/>
    <mergeCell ref="G57:G58"/>
    <mergeCell ref="H57:H58"/>
    <mergeCell ref="I57:I58"/>
    <mergeCell ref="J57:J58"/>
    <mergeCell ref="N57:N58"/>
    <mergeCell ref="Q57:Q58"/>
    <mergeCell ref="R57:R58"/>
    <mergeCell ref="AC55:AC56"/>
    <mergeCell ref="AD55:AD56"/>
    <mergeCell ref="AE55:AE56"/>
    <mergeCell ref="AF55:AF56"/>
    <mergeCell ref="U55:U56"/>
    <mergeCell ref="V55:V56"/>
    <mergeCell ref="AZ57:AZ58"/>
    <mergeCell ref="AD53:AD54"/>
    <mergeCell ref="AE53:AE54"/>
    <mergeCell ref="AF53:AF54"/>
    <mergeCell ref="AG53:AG54"/>
    <mergeCell ref="AG55:AG56"/>
    <mergeCell ref="AM53:AM54"/>
    <mergeCell ref="AN53:AN54"/>
    <mergeCell ref="AC53:AC54"/>
    <mergeCell ref="BF53:BF54"/>
    <mergeCell ref="W55:W56"/>
    <mergeCell ref="X55:X56"/>
    <mergeCell ref="AL53:AL54"/>
    <mergeCell ref="AD57:AD58"/>
    <mergeCell ref="AE57:AE58"/>
    <mergeCell ref="AH55:AH56"/>
    <mergeCell ref="AG57:AG58"/>
    <mergeCell ref="AH57:AH58"/>
    <mergeCell ref="AI57:AI58"/>
    <mergeCell ref="AJ57:AJ58"/>
    <mergeCell ref="AM55:AM56"/>
    <mergeCell ref="AN55:AN56"/>
    <mergeCell ref="AV53:AV54"/>
    <mergeCell ref="AW53:AW54"/>
    <mergeCell ref="AH53:AH54"/>
    <mergeCell ref="AW55:AW56"/>
    <mergeCell ref="AX55:AX56"/>
    <mergeCell ref="BA53:BA54"/>
    <mergeCell ref="Y55:Y56"/>
    <mergeCell ref="Z55:Z56"/>
    <mergeCell ref="BA57:BA58"/>
    <mergeCell ref="BB57:BB58"/>
    <mergeCell ref="BC57:BC58"/>
    <mergeCell ref="H51:H52"/>
    <mergeCell ref="I51:I52"/>
    <mergeCell ref="J51:J52"/>
    <mergeCell ref="N51:N52"/>
    <mergeCell ref="Q51:Q52"/>
    <mergeCell ref="R51:R52"/>
    <mergeCell ref="T51:T52"/>
    <mergeCell ref="AC51:AC52"/>
    <mergeCell ref="AD51:AD52"/>
    <mergeCell ref="AJ51:AJ52"/>
    <mergeCell ref="BB53:BB54"/>
    <mergeCell ref="BC53:BC54"/>
    <mergeCell ref="BD53:BD54"/>
    <mergeCell ref="BE53:BE54"/>
    <mergeCell ref="AZ55:AZ56"/>
    <mergeCell ref="BA55:BA56"/>
    <mergeCell ref="BB55:BB56"/>
    <mergeCell ref="BC55:BC56"/>
    <mergeCell ref="BD55:BD56"/>
    <mergeCell ref="BE55:BE56"/>
    <mergeCell ref="AP53:AP54"/>
    <mergeCell ref="AQ53:AQ54"/>
    <mergeCell ref="AR53:AR54"/>
    <mergeCell ref="AQ55:AQ56"/>
    <mergeCell ref="AR55:AR56"/>
    <mergeCell ref="BC51:BC52"/>
    <mergeCell ref="BD51:BD52"/>
    <mergeCell ref="BE51:BE52"/>
    <mergeCell ref="BA51:BA52"/>
    <mergeCell ref="BB51:BB52"/>
    <mergeCell ref="AQ51:AQ52"/>
    <mergeCell ref="AR51:AR52"/>
    <mergeCell ref="BG53:BG54"/>
    <mergeCell ref="A55:A56"/>
    <mergeCell ref="B55:B56"/>
    <mergeCell ref="C55:C56"/>
    <mergeCell ref="D55:D56"/>
    <mergeCell ref="E55:E56"/>
    <mergeCell ref="F55:F56"/>
    <mergeCell ref="G55:G56"/>
    <mergeCell ref="H55:H56"/>
    <mergeCell ref="I55:I56"/>
    <mergeCell ref="AB53:AB54"/>
    <mergeCell ref="J55:J56"/>
    <mergeCell ref="N55:N56"/>
    <mergeCell ref="Q55:Q56"/>
    <mergeCell ref="R55:R56"/>
    <mergeCell ref="S55:S56"/>
    <mergeCell ref="T55:T56"/>
    <mergeCell ref="AA55:AA56"/>
    <mergeCell ref="C53:C54"/>
    <mergeCell ref="D53:D54"/>
    <mergeCell ref="E53:E54"/>
    <mergeCell ref="AS53:AS54"/>
    <mergeCell ref="AT53:AT54"/>
    <mergeCell ref="AI53:AI54"/>
    <mergeCell ref="AJ53:AJ54"/>
    <mergeCell ref="AK53:AK54"/>
    <mergeCell ref="BF55:BF56"/>
    <mergeCell ref="AP55:AP56"/>
    <mergeCell ref="AX53:AX54"/>
    <mergeCell ref="AY53:AY54"/>
    <mergeCell ref="AZ53:AZ54"/>
    <mergeCell ref="AB55:AB56"/>
    <mergeCell ref="F53:F54"/>
    <mergeCell ref="AU53:AU54"/>
    <mergeCell ref="A53:A54"/>
    <mergeCell ref="B53:B54"/>
    <mergeCell ref="AO53:AO54"/>
    <mergeCell ref="BF51:BF52"/>
    <mergeCell ref="BG51:BG52"/>
    <mergeCell ref="AB51:AB52"/>
    <mergeCell ref="G53:G54"/>
    <mergeCell ref="H53:H54"/>
    <mergeCell ref="I53:I54"/>
    <mergeCell ref="J53:J54"/>
    <mergeCell ref="N53:N54"/>
    <mergeCell ref="Y51:Y52"/>
    <mergeCell ref="Z51:Z52"/>
    <mergeCell ref="AA51:AA52"/>
    <mergeCell ref="Q53:Q54"/>
    <mergeCell ref="R53:R54"/>
    <mergeCell ref="S53:S54"/>
    <mergeCell ref="T53:T54"/>
    <mergeCell ref="U53:U54"/>
    <mergeCell ref="V53:V54"/>
    <mergeCell ref="S51:S52"/>
    <mergeCell ref="U51:U52"/>
    <mergeCell ref="V51:V52"/>
    <mergeCell ref="W51:W52"/>
    <mergeCell ref="X51:X52"/>
    <mergeCell ref="W53:W54"/>
    <mergeCell ref="X53:X54"/>
    <mergeCell ref="Y53:Y54"/>
    <mergeCell ref="Z53:Z54"/>
    <mergeCell ref="AA53:AA54"/>
    <mergeCell ref="AX51:AX52"/>
    <mergeCell ref="AY51:AY52"/>
    <mergeCell ref="AZ51:AZ52"/>
    <mergeCell ref="AW51:AW52"/>
    <mergeCell ref="AV51:AV52"/>
    <mergeCell ref="AN49:AN50"/>
    <mergeCell ref="AO49:AO50"/>
    <mergeCell ref="AP49:AP50"/>
    <mergeCell ref="AQ49:AQ50"/>
    <mergeCell ref="AR49:AR50"/>
    <mergeCell ref="AG49:AG50"/>
    <mergeCell ref="AH49:AH50"/>
    <mergeCell ref="AI49:AI50"/>
    <mergeCell ref="AJ49:AJ50"/>
    <mergeCell ref="AS49:AS50"/>
    <mergeCell ref="AT49:AT50"/>
    <mergeCell ref="AU49:AU50"/>
    <mergeCell ref="AN51:AN52"/>
    <mergeCell ref="AO51:AO52"/>
    <mergeCell ref="AP51:AP52"/>
    <mergeCell ref="AI51:AI52"/>
    <mergeCell ref="AK49:AK50"/>
    <mergeCell ref="AL49:AL50"/>
    <mergeCell ref="AS51:AS52"/>
    <mergeCell ref="AT51:AT52"/>
    <mergeCell ref="AU51:AU52"/>
    <mergeCell ref="AK51:AK52"/>
    <mergeCell ref="AL51:AL52"/>
    <mergeCell ref="AM51:AM52"/>
    <mergeCell ref="BA49:BA50"/>
    <mergeCell ref="BB49:BB50"/>
    <mergeCell ref="AM49:AM50"/>
    <mergeCell ref="BC49:BC50"/>
    <mergeCell ref="BD49:BD50"/>
    <mergeCell ref="BE49:BE50"/>
    <mergeCell ref="BF49:BF50"/>
    <mergeCell ref="BG49:BG50"/>
    <mergeCell ref="A51:A52"/>
    <mergeCell ref="B51:B52"/>
    <mergeCell ref="C51:C52"/>
    <mergeCell ref="D51:D52"/>
    <mergeCell ref="E51:E52"/>
    <mergeCell ref="F51:F52"/>
    <mergeCell ref="G51:G52"/>
    <mergeCell ref="J49:J50"/>
    <mergeCell ref="N49:N50"/>
    <mergeCell ref="Q49:Q50"/>
    <mergeCell ref="R49:R50"/>
    <mergeCell ref="S49:S50"/>
    <mergeCell ref="T49:T50"/>
    <mergeCell ref="U49:U50"/>
    <mergeCell ref="V49:V50"/>
    <mergeCell ref="W49:W50"/>
    <mergeCell ref="X49:X50"/>
    <mergeCell ref="Y49:Y50"/>
    <mergeCell ref="Z49:Z50"/>
    <mergeCell ref="AA49:AA50"/>
    <mergeCell ref="AE51:AE52"/>
    <mergeCell ref="AF51:AF52"/>
    <mergeCell ref="AG51:AG52"/>
    <mergeCell ref="AH51:AH52"/>
    <mergeCell ref="BF46:BF47"/>
    <mergeCell ref="BG46:BG47"/>
    <mergeCell ref="A48:I48"/>
    <mergeCell ref="A49:A50"/>
    <mergeCell ref="B49:B50"/>
    <mergeCell ref="C49:C50"/>
    <mergeCell ref="D49:D50"/>
    <mergeCell ref="E49:E50"/>
    <mergeCell ref="F49:F50"/>
    <mergeCell ref="G49:G50"/>
    <mergeCell ref="H49:H50"/>
    <mergeCell ref="I49:I50"/>
    <mergeCell ref="R46:R47"/>
    <mergeCell ref="S46:S47"/>
    <mergeCell ref="T46:T47"/>
    <mergeCell ref="U46:U47"/>
    <mergeCell ref="V46:V47"/>
    <mergeCell ref="W46:W47"/>
    <mergeCell ref="X46:X47"/>
    <mergeCell ref="Y46:Y47"/>
    <mergeCell ref="Z46:Z47"/>
    <mergeCell ref="AA46:AA47"/>
    <mergeCell ref="AB46:AB47"/>
    <mergeCell ref="AC46:AC47"/>
    <mergeCell ref="AJ46:AJ47"/>
    <mergeCell ref="AK46:AK47"/>
    <mergeCell ref="AL46:AL47"/>
    <mergeCell ref="AV49:AV50"/>
    <mergeCell ref="AW49:AW50"/>
    <mergeCell ref="AX49:AX50"/>
    <mergeCell ref="AY49:AY50"/>
    <mergeCell ref="AZ49:AZ50"/>
    <mergeCell ref="AP46:AP47"/>
    <mergeCell ref="AN46:AN47"/>
    <mergeCell ref="AO46:AO47"/>
    <mergeCell ref="AD46:AD47"/>
    <mergeCell ref="AE46:AE47"/>
    <mergeCell ref="AF46:AF47"/>
    <mergeCell ref="AG46:AG47"/>
    <mergeCell ref="AH46:AH47"/>
    <mergeCell ref="AI46:AI47"/>
    <mergeCell ref="X44:X45"/>
    <mergeCell ref="Y44:Y45"/>
    <mergeCell ref="Z44:Z45"/>
    <mergeCell ref="AA44:AA45"/>
    <mergeCell ref="AB44:AB45"/>
    <mergeCell ref="AC44:AC45"/>
    <mergeCell ref="AD44:AD45"/>
    <mergeCell ref="AE44:AE45"/>
    <mergeCell ref="AF44:AF45"/>
    <mergeCell ref="AG44:AG45"/>
    <mergeCell ref="AH44:AH45"/>
    <mergeCell ref="AI44:AI45"/>
    <mergeCell ref="AO44:AO45"/>
    <mergeCell ref="AP44:AP45"/>
    <mergeCell ref="AB49:AB50"/>
    <mergeCell ref="AC49:AC50"/>
    <mergeCell ref="AD49:AD50"/>
    <mergeCell ref="AE49:AE50"/>
    <mergeCell ref="AF49:AF50"/>
    <mergeCell ref="F44:F45"/>
    <mergeCell ref="U44:U45"/>
    <mergeCell ref="V44:V45"/>
    <mergeCell ref="W44:W45"/>
    <mergeCell ref="G44:G45"/>
    <mergeCell ref="H44:H45"/>
    <mergeCell ref="I44:I45"/>
    <mergeCell ref="J44:J45"/>
    <mergeCell ref="N44:N45"/>
    <mergeCell ref="Q44:Q45"/>
    <mergeCell ref="BE44:BE45"/>
    <mergeCell ref="AZ46:AZ47"/>
    <mergeCell ref="BA46:BA47"/>
    <mergeCell ref="BB46:BB47"/>
    <mergeCell ref="BC46:BC47"/>
    <mergeCell ref="BD46:BD47"/>
    <mergeCell ref="BE46:BE47"/>
    <mergeCell ref="AQ46:AQ47"/>
    <mergeCell ref="AR46:AR47"/>
    <mergeCell ref="AS46:AS47"/>
    <mergeCell ref="AT46:AT47"/>
    <mergeCell ref="AU46:AU47"/>
    <mergeCell ref="AV46:AV47"/>
    <mergeCell ref="AW46:AW47"/>
    <mergeCell ref="AX46:AX47"/>
    <mergeCell ref="AY46:AY47"/>
    <mergeCell ref="AQ44:AQ45"/>
    <mergeCell ref="AR44:AR45"/>
    <mergeCell ref="AS44:AS45"/>
    <mergeCell ref="AT44:AT45"/>
    <mergeCell ref="AU44:AU45"/>
    <mergeCell ref="AM46:AM47"/>
    <mergeCell ref="AH42:AH43"/>
    <mergeCell ref="AI42:AI43"/>
    <mergeCell ref="AL42:AL43"/>
    <mergeCell ref="AM42:AM43"/>
    <mergeCell ref="AN42:AN43"/>
    <mergeCell ref="AO42:AO43"/>
    <mergeCell ref="AP42:AP43"/>
    <mergeCell ref="AQ42:AQ43"/>
    <mergeCell ref="AR42:AR43"/>
    <mergeCell ref="AS42:AS43"/>
    <mergeCell ref="A46:A47"/>
    <mergeCell ref="B46:B47"/>
    <mergeCell ref="C46:C47"/>
    <mergeCell ref="D46:D47"/>
    <mergeCell ref="E46:E47"/>
    <mergeCell ref="F46:F47"/>
    <mergeCell ref="G46:G47"/>
    <mergeCell ref="H46:H47"/>
    <mergeCell ref="I46:I47"/>
    <mergeCell ref="J46:J47"/>
    <mergeCell ref="N46:N47"/>
    <mergeCell ref="Q46:Q47"/>
    <mergeCell ref="AJ44:AJ45"/>
    <mergeCell ref="AK44:AK45"/>
    <mergeCell ref="AL44:AL45"/>
    <mergeCell ref="AM44:AM45"/>
    <mergeCell ref="AN44:AN45"/>
    <mergeCell ref="A44:A45"/>
    <mergeCell ref="B44:B45"/>
    <mergeCell ref="C44:C45"/>
    <mergeCell ref="D44:D45"/>
    <mergeCell ref="E44:E45"/>
    <mergeCell ref="BE42:BE43"/>
    <mergeCell ref="BF42:BF43"/>
    <mergeCell ref="BG42:BG43"/>
    <mergeCell ref="AV42:AV43"/>
    <mergeCell ref="AW42:AW43"/>
    <mergeCell ref="AX42:AX43"/>
    <mergeCell ref="AY42:AY43"/>
    <mergeCell ref="AZ42:AZ43"/>
    <mergeCell ref="BA42:BA43"/>
    <mergeCell ref="BG44:BG45"/>
    <mergeCell ref="AV44:AV45"/>
    <mergeCell ref="AW44:AW45"/>
    <mergeCell ref="AX44:AX45"/>
    <mergeCell ref="AY44:AY45"/>
    <mergeCell ref="AZ44:AZ45"/>
    <mergeCell ref="BA44:BA45"/>
    <mergeCell ref="BB44:BB45"/>
    <mergeCell ref="BC44:BC45"/>
    <mergeCell ref="BD44:BD45"/>
    <mergeCell ref="BB42:BB43"/>
    <mergeCell ref="BC42:BC43"/>
    <mergeCell ref="BF44:BF45"/>
    <mergeCell ref="A42:A43"/>
    <mergeCell ref="B42:B43"/>
    <mergeCell ref="C42:C43"/>
    <mergeCell ref="D42:D43"/>
    <mergeCell ref="E42:E43"/>
    <mergeCell ref="BC39:BC40"/>
    <mergeCell ref="BD39:BD40"/>
    <mergeCell ref="AC39:AC40"/>
    <mergeCell ref="AD39:AD40"/>
    <mergeCell ref="S39:S40"/>
    <mergeCell ref="T39:T40"/>
    <mergeCell ref="U39:U40"/>
    <mergeCell ref="V39:V40"/>
    <mergeCell ref="W39:W40"/>
    <mergeCell ref="X39:X40"/>
    <mergeCell ref="AE39:AE40"/>
    <mergeCell ref="AF39:AF40"/>
    <mergeCell ref="AG39:AG40"/>
    <mergeCell ref="AH39:AH40"/>
    <mergeCell ref="R44:R45"/>
    <mergeCell ref="AJ42:AJ43"/>
    <mergeCell ref="AK42:AK43"/>
    <mergeCell ref="S44:S45"/>
    <mergeCell ref="T44:T45"/>
    <mergeCell ref="AT42:AT43"/>
    <mergeCell ref="AU42:AU43"/>
    <mergeCell ref="BD42:BD43"/>
    <mergeCell ref="AA42:AA43"/>
    <mergeCell ref="AB42:AB43"/>
    <mergeCell ref="AC42:AC43"/>
    <mergeCell ref="R42:R43"/>
    <mergeCell ref="S42:S43"/>
    <mergeCell ref="T42:T43"/>
    <mergeCell ref="AD42:AD43"/>
    <mergeCell ref="AE42:AE43"/>
    <mergeCell ref="AF42:AF43"/>
    <mergeCell ref="AG42:AG43"/>
    <mergeCell ref="F42:F43"/>
    <mergeCell ref="G42:G43"/>
    <mergeCell ref="H42:H43"/>
    <mergeCell ref="I42:I43"/>
    <mergeCell ref="J42:J43"/>
    <mergeCell ref="N42:N43"/>
    <mergeCell ref="Q42:Q43"/>
    <mergeCell ref="Y39:Y40"/>
    <mergeCell ref="Z39:Z40"/>
    <mergeCell ref="AA39:AA40"/>
    <mergeCell ref="AB39:AB40"/>
    <mergeCell ref="U42:U43"/>
    <mergeCell ref="V42:V43"/>
    <mergeCell ref="W42:W43"/>
    <mergeCell ref="X42:X43"/>
    <mergeCell ref="Y42:Y43"/>
    <mergeCell ref="Z42:Z43"/>
    <mergeCell ref="H39:H40"/>
    <mergeCell ref="I39:I40"/>
    <mergeCell ref="J39:J40"/>
    <mergeCell ref="N39:N40"/>
    <mergeCell ref="Q39:Q40"/>
    <mergeCell ref="R39:R40"/>
    <mergeCell ref="BB35:BB36"/>
    <mergeCell ref="BC35:BC36"/>
    <mergeCell ref="BD35:BD36"/>
    <mergeCell ref="BE35:BE36"/>
    <mergeCell ref="BF35:BF36"/>
    <mergeCell ref="AI39:AI40"/>
    <mergeCell ref="AJ39:AJ40"/>
    <mergeCell ref="AK39:AK40"/>
    <mergeCell ref="AL39:AL40"/>
    <mergeCell ref="AM39:AM40"/>
    <mergeCell ref="AN39:AN40"/>
    <mergeCell ref="AO39:AO40"/>
    <mergeCell ref="AP39:AP40"/>
    <mergeCell ref="BG39:BG40"/>
    <mergeCell ref="A41:I41"/>
    <mergeCell ref="AW39:AW40"/>
    <mergeCell ref="AX39:AX40"/>
    <mergeCell ref="AY39:AY40"/>
    <mergeCell ref="AZ39:AZ40"/>
    <mergeCell ref="BA39:BA40"/>
    <mergeCell ref="BB39:BB40"/>
    <mergeCell ref="AQ39:AQ40"/>
    <mergeCell ref="AR39:AR40"/>
    <mergeCell ref="U37:U38"/>
    <mergeCell ref="V37:V38"/>
    <mergeCell ref="Z35:Z36"/>
    <mergeCell ref="AA35:AA36"/>
    <mergeCell ref="AB35:AB36"/>
    <mergeCell ref="AC35:AC36"/>
    <mergeCell ref="AD35:AD36"/>
    <mergeCell ref="AE35:AE36"/>
    <mergeCell ref="AF35:AF36"/>
    <mergeCell ref="AM35:AM36"/>
    <mergeCell ref="AN35:AN36"/>
    <mergeCell ref="AO35:AO36"/>
    <mergeCell ref="AP35:AP36"/>
    <mergeCell ref="AQ35:AQ36"/>
    <mergeCell ref="AR35:AR36"/>
    <mergeCell ref="AS35:AS36"/>
    <mergeCell ref="AT35:AT36"/>
    <mergeCell ref="AU35:AU36"/>
    <mergeCell ref="AV35:AV36"/>
    <mergeCell ref="AW35:AW36"/>
    <mergeCell ref="AX35:AX36"/>
    <mergeCell ref="AY35:AY36"/>
    <mergeCell ref="AZ35:AZ36"/>
    <mergeCell ref="BA35:BA36"/>
    <mergeCell ref="AK35:AK36"/>
    <mergeCell ref="AL35:AL36"/>
    <mergeCell ref="AY33:AY34"/>
    <mergeCell ref="BG35:BG36"/>
    <mergeCell ref="A39:A40"/>
    <mergeCell ref="B39:B40"/>
    <mergeCell ref="C39:C40"/>
    <mergeCell ref="D39:D40"/>
    <mergeCell ref="E39:E40"/>
    <mergeCell ref="F39:F40"/>
    <mergeCell ref="G39:G40"/>
    <mergeCell ref="J35:J36"/>
    <mergeCell ref="N35:N36"/>
    <mergeCell ref="Q35:Q36"/>
    <mergeCell ref="R35:R36"/>
    <mergeCell ref="S35:S36"/>
    <mergeCell ref="T35:T36"/>
    <mergeCell ref="U35:U36"/>
    <mergeCell ref="V35:V36"/>
    <mergeCell ref="W35:W36"/>
    <mergeCell ref="X35:X36"/>
    <mergeCell ref="Y35:Y36"/>
    <mergeCell ref="AZ33:AZ34"/>
    <mergeCell ref="BA33:BA34"/>
    <mergeCell ref="AG35:AG36"/>
    <mergeCell ref="AH35:AH36"/>
    <mergeCell ref="AI35:AI36"/>
    <mergeCell ref="AJ35:AJ36"/>
    <mergeCell ref="BE39:BE40"/>
    <mergeCell ref="BF39:BF40"/>
    <mergeCell ref="AS39:AS40"/>
    <mergeCell ref="AT39:AT40"/>
    <mergeCell ref="AU39:AU40"/>
    <mergeCell ref="AV39:AV40"/>
    <mergeCell ref="BB33:BB34"/>
    <mergeCell ref="BC33:BC34"/>
    <mergeCell ref="BD33:BD34"/>
    <mergeCell ref="BE33:BE34"/>
    <mergeCell ref="BF33:BF34"/>
    <mergeCell ref="BG33:BG34"/>
    <mergeCell ref="A35:A36"/>
    <mergeCell ref="B35:B36"/>
    <mergeCell ref="C35:C36"/>
    <mergeCell ref="D35:D36"/>
    <mergeCell ref="E35:E36"/>
    <mergeCell ref="F35:F36"/>
    <mergeCell ref="G35:G36"/>
    <mergeCell ref="H35:H36"/>
    <mergeCell ref="I35:I36"/>
    <mergeCell ref="Q33:Q34"/>
    <mergeCell ref="R33:R34"/>
    <mergeCell ref="S33:S34"/>
    <mergeCell ref="T33:T34"/>
    <mergeCell ref="U33:U34"/>
    <mergeCell ref="V33:V34"/>
    <mergeCell ref="W33:W34"/>
    <mergeCell ref="X33:X34"/>
    <mergeCell ref="Y33:Y34"/>
    <mergeCell ref="Z33:Z34"/>
    <mergeCell ref="AA33:AA34"/>
    <mergeCell ref="AB33:AB34"/>
    <mergeCell ref="AC33:AC34"/>
    <mergeCell ref="AD33:AD34"/>
    <mergeCell ref="AE33:AE34"/>
    <mergeCell ref="AF33:AF34"/>
    <mergeCell ref="AG33:AG34"/>
    <mergeCell ref="AH33:AH34"/>
    <mergeCell ref="AK31:AK32"/>
    <mergeCell ref="AL31:AL32"/>
    <mergeCell ref="AM31:AM32"/>
    <mergeCell ref="AN31:AN32"/>
    <mergeCell ref="AM33:AM34"/>
    <mergeCell ref="AN33:AN34"/>
    <mergeCell ref="AQ31:AQ32"/>
    <mergeCell ref="AR31:AR32"/>
    <mergeCell ref="AS31:AS32"/>
    <mergeCell ref="AT31:AT32"/>
    <mergeCell ref="AU31:AU32"/>
    <mergeCell ref="AV31:AV32"/>
    <mergeCell ref="AW31:AW32"/>
    <mergeCell ref="AX31:AX32"/>
    <mergeCell ref="AI33:AI34"/>
    <mergeCell ref="AJ33:AJ34"/>
    <mergeCell ref="AK33:AK34"/>
    <mergeCell ref="AL33:AL34"/>
    <mergeCell ref="AO33:AO34"/>
    <mergeCell ref="AP33:AP34"/>
    <mergeCell ref="AQ33:AQ34"/>
    <mergeCell ref="AR33:AR34"/>
    <mergeCell ref="AS33:AS34"/>
    <mergeCell ref="AT33:AT34"/>
    <mergeCell ref="AU33:AU34"/>
    <mergeCell ref="AV33:AV34"/>
    <mergeCell ref="AW33:AW34"/>
    <mergeCell ref="AX33:AX34"/>
    <mergeCell ref="AY31:AY32"/>
    <mergeCell ref="AZ31:AZ32"/>
    <mergeCell ref="BA31:BA32"/>
    <mergeCell ref="BB31:BB32"/>
    <mergeCell ref="BC31:BC32"/>
    <mergeCell ref="BD31:BD32"/>
    <mergeCell ref="BE31:BE32"/>
    <mergeCell ref="BF31:BF32"/>
    <mergeCell ref="BG31:BG32"/>
    <mergeCell ref="A33:A34"/>
    <mergeCell ref="B33:B34"/>
    <mergeCell ref="C33:C34"/>
    <mergeCell ref="D33:D34"/>
    <mergeCell ref="E33:E34"/>
    <mergeCell ref="F33:F34"/>
    <mergeCell ref="G33:G34"/>
    <mergeCell ref="H33:H34"/>
    <mergeCell ref="I33:I34"/>
    <mergeCell ref="J33:J34"/>
    <mergeCell ref="N33:N34"/>
    <mergeCell ref="S31:S32"/>
    <mergeCell ref="T31:T32"/>
    <mergeCell ref="U31:U32"/>
    <mergeCell ref="V31:V32"/>
    <mergeCell ref="W31:W32"/>
    <mergeCell ref="X31:X32"/>
    <mergeCell ref="Y31:Y32"/>
    <mergeCell ref="Z31:Z32"/>
    <mergeCell ref="AA31:AA32"/>
    <mergeCell ref="AB31:AB32"/>
    <mergeCell ref="AC31:AC32"/>
    <mergeCell ref="AD31:AD32"/>
    <mergeCell ref="AE31:AE32"/>
    <mergeCell ref="AF31:AF32"/>
    <mergeCell ref="AG31:AG32"/>
    <mergeCell ref="AH31:AH32"/>
    <mergeCell ref="AI31:AI32"/>
    <mergeCell ref="AJ31:AJ32"/>
    <mergeCell ref="AM29:AM30"/>
    <mergeCell ref="AN29:AN30"/>
    <mergeCell ref="AO29:AO30"/>
    <mergeCell ref="AP29:AP30"/>
    <mergeCell ref="AO31:AO32"/>
    <mergeCell ref="AP31:AP32"/>
    <mergeCell ref="AS29:AS30"/>
    <mergeCell ref="AT29:AT30"/>
    <mergeCell ref="AU29:AU30"/>
    <mergeCell ref="AV29:AV30"/>
    <mergeCell ref="AW29:AW30"/>
    <mergeCell ref="AX29:AX30"/>
    <mergeCell ref="AY29:AY30"/>
    <mergeCell ref="AZ29:AZ30"/>
    <mergeCell ref="BA29:BA30"/>
    <mergeCell ref="BB29:BB30"/>
    <mergeCell ref="BC29:BC30"/>
    <mergeCell ref="BD29:BD30"/>
    <mergeCell ref="BE29:BE30"/>
    <mergeCell ref="BF29:BF30"/>
    <mergeCell ref="BG29:BG30"/>
    <mergeCell ref="A31:A32"/>
    <mergeCell ref="B31:B32"/>
    <mergeCell ref="C31:C32"/>
    <mergeCell ref="D31:D32"/>
    <mergeCell ref="E31:E32"/>
    <mergeCell ref="F31:F32"/>
    <mergeCell ref="G31:G32"/>
    <mergeCell ref="H31:H32"/>
    <mergeCell ref="I31:I32"/>
    <mergeCell ref="J31:J32"/>
    <mergeCell ref="N31:N32"/>
    <mergeCell ref="Q31:Q32"/>
    <mergeCell ref="R31:R32"/>
    <mergeCell ref="U29:U30"/>
    <mergeCell ref="V29:V30"/>
    <mergeCell ref="W29:W30"/>
    <mergeCell ref="X29:X30"/>
    <mergeCell ref="Y29:Y30"/>
    <mergeCell ref="Z29:Z30"/>
    <mergeCell ref="AA29:AA30"/>
    <mergeCell ref="AB29:AB30"/>
    <mergeCell ref="AC29:AC30"/>
    <mergeCell ref="AD29:AD30"/>
    <mergeCell ref="AE29:AE30"/>
    <mergeCell ref="AF29:AF30"/>
    <mergeCell ref="V27:V28"/>
    <mergeCell ref="W27:W28"/>
    <mergeCell ref="AQ29:AQ30"/>
    <mergeCell ref="AR29:AR30"/>
    <mergeCell ref="AG29:AG30"/>
    <mergeCell ref="AH29:AH30"/>
    <mergeCell ref="AI29:AI30"/>
    <mergeCell ref="AJ29:AJ30"/>
    <mergeCell ref="AK29:AK30"/>
    <mergeCell ref="AL29:AL30"/>
    <mergeCell ref="AL27:AL28"/>
    <mergeCell ref="AA27:AA28"/>
    <mergeCell ref="AB27:AB28"/>
    <mergeCell ref="AC27:AC28"/>
    <mergeCell ref="AD27:AD28"/>
    <mergeCell ref="AE27:AE28"/>
    <mergeCell ref="AF27:AF28"/>
    <mergeCell ref="G29:G30"/>
    <mergeCell ref="H29:H30"/>
    <mergeCell ref="I29:I30"/>
    <mergeCell ref="BE27:BE28"/>
    <mergeCell ref="BF27:BF28"/>
    <mergeCell ref="AG27:AG28"/>
    <mergeCell ref="AH27:AH28"/>
    <mergeCell ref="AI27:AI28"/>
    <mergeCell ref="AJ27:AJ28"/>
    <mergeCell ref="AK27:AK28"/>
    <mergeCell ref="A29:A30"/>
    <mergeCell ref="B29:B30"/>
    <mergeCell ref="C29:C30"/>
    <mergeCell ref="D29:D30"/>
    <mergeCell ref="E29:E30"/>
    <mergeCell ref="F29:F30"/>
    <mergeCell ref="J29:J30"/>
    <mergeCell ref="N29:N30"/>
    <mergeCell ref="Q29:Q30"/>
    <mergeCell ref="R29:R30"/>
    <mergeCell ref="S29:S30"/>
    <mergeCell ref="T29:T30"/>
    <mergeCell ref="AM27:AM28"/>
    <mergeCell ref="AN27:AN28"/>
    <mergeCell ref="AO27:AO28"/>
    <mergeCell ref="AP27:AP28"/>
    <mergeCell ref="AQ27:AQ28"/>
    <mergeCell ref="AR27:AR28"/>
    <mergeCell ref="AS27:AS28"/>
    <mergeCell ref="AT27:AT28"/>
    <mergeCell ref="AU27:AU28"/>
    <mergeCell ref="AV27:AV28"/>
    <mergeCell ref="AW27:AW28"/>
    <mergeCell ref="AX27:AX28"/>
    <mergeCell ref="G27:G28"/>
    <mergeCell ref="H27:H28"/>
    <mergeCell ref="I27:I28"/>
    <mergeCell ref="BG27:BG28"/>
    <mergeCell ref="AY27:AY28"/>
    <mergeCell ref="AZ27:AZ28"/>
    <mergeCell ref="BA27:BA28"/>
    <mergeCell ref="BB27:BB28"/>
    <mergeCell ref="BC27:BC28"/>
    <mergeCell ref="BD27:BD28"/>
    <mergeCell ref="A27:A28"/>
    <mergeCell ref="B27:B28"/>
    <mergeCell ref="C27:C28"/>
    <mergeCell ref="D27:D28"/>
    <mergeCell ref="E27:E28"/>
    <mergeCell ref="F27:F28"/>
    <mergeCell ref="X27:X28"/>
    <mergeCell ref="Y27:Y28"/>
    <mergeCell ref="Z27:Z28"/>
    <mergeCell ref="J27:J28"/>
    <mergeCell ref="N27:N28"/>
    <mergeCell ref="Q27:Q28"/>
    <mergeCell ref="R27:R28"/>
    <mergeCell ref="S27:S28"/>
    <mergeCell ref="T27:T28"/>
    <mergeCell ref="U27:U28"/>
    <mergeCell ref="BB23:BB24"/>
    <mergeCell ref="AQ23:AQ24"/>
    <mergeCell ref="AR23:AR24"/>
    <mergeCell ref="AS23:AS24"/>
    <mergeCell ref="AT23:AT24"/>
    <mergeCell ref="AU23:AU24"/>
    <mergeCell ref="AV23:AV24"/>
    <mergeCell ref="BC23:BC24"/>
    <mergeCell ref="BD23:BD24"/>
    <mergeCell ref="BE23:BE24"/>
    <mergeCell ref="BF23:BF24"/>
    <mergeCell ref="BG23:BG24"/>
    <mergeCell ref="AW23:AW24"/>
    <mergeCell ref="AX23:AX24"/>
    <mergeCell ref="AY23:AY24"/>
    <mergeCell ref="AZ23:AZ24"/>
    <mergeCell ref="BA23:BA24"/>
    <mergeCell ref="AJ23:AJ24"/>
    <mergeCell ref="AS17:AS18"/>
    <mergeCell ref="AT17:AT18"/>
    <mergeCell ref="AU17:AU18"/>
    <mergeCell ref="AV17:AV18"/>
    <mergeCell ref="AK23:AK24"/>
    <mergeCell ref="AL23:AL24"/>
    <mergeCell ref="AM23:AM24"/>
    <mergeCell ref="AN23:AN24"/>
    <mergeCell ref="AO23:AO24"/>
    <mergeCell ref="AP23:AP24"/>
    <mergeCell ref="AE17:AE18"/>
    <mergeCell ref="AF17:AF18"/>
    <mergeCell ref="AG17:AG18"/>
    <mergeCell ref="AH17:AH18"/>
    <mergeCell ref="AI17:AI18"/>
    <mergeCell ref="AJ17:AJ18"/>
    <mergeCell ref="AK17:AK18"/>
    <mergeCell ref="AL17:AL18"/>
    <mergeCell ref="AP17:AP18"/>
    <mergeCell ref="AQ17:AQ18"/>
    <mergeCell ref="AR17:AR18"/>
    <mergeCell ref="AA17:AA18"/>
    <mergeCell ref="AB17:AB18"/>
    <mergeCell ref="AC17:AC18"/>
    <mergeCell ref="AD17:AD18"/>
    <mergeCell ref="Y23:Y24"/>
    <mergeCell ref="Z23:Z24"/>
    <mergeCell ref="AA23:AA24"/>
    <mergeCell ref="AB23:AB24"/>
    <mergeCell ref="AC23:AC24"/>
    <mergeCell ref="AD23:AD24"/>
    <mergeCell ref="AE23:AE24"/>
    <mergeCell ref="AF23:AF24"/>
    <mergeCell ref="AG23:AG24"/>
    <mergeCell ref="AH23:AH24"/>
    <mergeCell ref="AI23:AI24"/>
    <mergeCell ref="W21:W22"/>
    <mergeCell ref="A23:A24"/>
    <mergeCell ref="B23:B24"/>
    <mergeCell ref="C23:C24"/>
    <mergeCell ref="D23:D24"/>
    <mergeCell ref="E23:E24"/>
    <mergeCell ref="F23:F24"/>
    <mergeCell ref="G23:G24"/>
    <mergeCell ref="H23:H24"/>
    <mergeCell ref="I23:I24"/>
    <mergeCell ref="J23:J24"/>
    <mergeCell ref="N23:N24"/>
    <mergeCell ref="Q23:Q24"/>
    <mergeCell ref="R23:R24"/>
    <mergeCell ref="S23:S24"/>
    <mergeCell ref="T23:T24"/>
    <mergeCell ref="U23:U24"/>
    <mergeCell ref="BA15:BA16"/>
    <mergeCell ref="BB15:BB16"/>
    <mergeCell ref="BC15:BC16"/>
    <mergeCell ref="BD15:BD16"/>
    <mergeCell ref="BE15:BE16"/>
    <mergeCell ref="BF15:BF16"/>
    <mergeCell ref="BG15:BG16"/>
    <mergeCell ref="AZ15:AZ16"/>
    <mergeCell ref="AY17:AY18"/>
    <mergeCell ref="AZ17:AZ18"/>
    <mergeCell ref="BA17:BA18"/>
    <mergeCell ref="BB17:BB18"/>
    <mergeCell ref="BC17:BC18"/>
    <mergeCell ref="BD17:BD18"/>
    <mergeCell ref="BE17:BE18"/>
    <mergeCell ref="BF17:BF18"/>
    <mergeCell ref="BG17:BG18"/>
    <mergeCell ref="A17:A18"/>
    <mergeCell ref="B17:B18"/>
    <mergeCell ref="C17:C18"/>
    <mergeCell ref="D17:D18"/>
    <mergeCell ref="E17:E18"/>
    <mergeCell ref="F17:F18"/>
    <mergeCell ref="G17:G18"/>
    <mergeCell ref="H17:H18"/>
    <mergeCell ref="I17:I18"/>
    <mergeCell ref="J17:J18"/>
    <mergeCell ref="N17:N18"/>
    <mergeCell ref="Q17:Q18"/>
    <mergeCell ref="R17:R18"/>
    <mergeCell ref="S17:S18"/>
    <mergeCell ref="T17:T18"/>
    <mergeCell ref="U17:U18"/>
    <mergeCell ref="V17:V18"/>
    <mergeCell ref="W17:W18"/>
    <mergeCell ref="X17:X18"/>
    <mergeCell ref="Y17:Y18"/>
    <mergeCell ref="Z17:Z18"/>
    <mergeCell ref="AC15:AC16"/>
    <mergeCell ref="AD15:AD16"/>
    <mergeCell ref="AE15:AE16"/>
    <mergeCell ref="AF15:AF16"/>
    <mergeCell ref="AG15:AG16"/>
    <mergeCell ref="AH15:AH16"/>
    <mergeCell ref="AI15:AI16"/>
    <mergeCell ref="AJ15:AJ16"/>
    <mergeCell ref="AK15:AK16"/>
    <mergeCell ref="AL15:AL16"/>
    <mergeCell ref="AM15:AM16"/>
    <mergeCell ref="AN15:AN16"/>
    <mergeCell ref="AY15:AY16"/>
    <mergeCell ref="AO15:AO16"/>
    <mergeCell ref="AP15:AP16"/>
    <mergeCell ref="AQ15:AQ16"/>
    <mergeCell ref="AR15:AR16"/>
    <mergeCell ref="AS15:AS16"/>
    <mergeCell ref="AT15:AT16"/>
    <mergeCell ref="AU15:AU16"/>
    <mergeCell ref="AV15:AV16"/>
    <mergeCell ref="AW15:AW16"/>
    <mergeCell ref="AX15:AX16"/>
    <mergeCell ref="AW17:AW18"/>
    <mergeCell ref="AX17:AX18"/>
    <mergeCell ref="AM17:AM18"/>
    <mergeCell ref="AN17:AN18"/>
    <mergeCell ref="AO17:AO18"/>
    <mergeCell ref="AP13:AP14"/>
    <mergeCell ref="AQ13:AQ14"/>
    <mergeCell ref="F15:F16"/>
    <mergeCell ref="G15:G16"/>
    <mergeCell ref="H15:H16"/>
    <mergeCell ref="I15:I16"/>
    <mergeCell ref="J15:J16"/>
    <mergeCell ref="N15:N16"/>
    <mergeCell ref="Q15:Q16"/>
    <mergeCell ref="R15:R16"/>
    <mergeCell ref="S15:S16"/>
    <mergeCell ref="T15:T16"/>
    <mergeCell ref="U15:U16"/>
    <mergeCell ref="V15:V16"/>
    <mergeCell ref="AE13:AE14"/>
    <mergeCell ref="AF13:AF14"/>
    <mergeCell ref="AG13:AG14"/>
    <mergeCell ref="AH13:AH14"/>
    <mergeCell ref="W15:W16"/>
    <mergeCell ref="X15:X16"/>
    <mergeCell ref="Y15:Y16"/>
    <mergeCell ref="Z15:Z16"/>
    <mergeCell ref="AA15:AA16"/>
    <mergeCell ref="AB15:AB16"/>
    <mergeCell ref="BB11:BB12"/>
    <mergeCell ref="BC11:BC12"/>
    <mergeCell ref="BF13:BF14"/>
    <mergeCell ref="BG13:BG14"/>
    <mergeCell ref="A15:A16"/>
    <mergeCell ref="B15:B16"/>
    <mergeCell ref="C15:C16"/>
    <mergeCell ref="D15:D16"/>
    <mergeCell ref="E15:E16"/>
    <mergeCell ref="H13:H14"/>
    <mergeCell ref="I13:I14"/>
    <mergeCell ref="J13:J14"/>
    <mergeCell ref="N13:N14"/>
    <mergeCell ref="Q13:Q14"/>
    <mergeCell ref="R13:R14"/>
    <mergeCell ref="S13:S14"/>
    <mergeCell ref="T13:T14"/>
    <mergeCell ref="U13:U14"/>
    <mergeCell ref="V13:V14"/>
    <mergeCell ref="W13:W14"/>
    <mergeCell ref="X13:X14"/>
    <mergeCell ref="Y13:Y14"/>
    <mergeCell ref="Z13:Z14"/>
    <mergeCell ref="AA13:AA14"/>
    <mergeCell ref="AB13:AB14"/>
    <mergeCell ref="AC13:AC14"/>
    <mergeCell ref="AD13:AD14"/>
    <mergeCell ref="AK13:AK14"/>
    <mergeCell ref="AL13:AL14"/>
    <mergeCell ref="AM13:AM14"/>
    <mergeCell ref="AN13:AN14"/>
    <mergeCell ref="AO13:AO14"/>
    <mergeCell ref="BG9:BG10"/>
    <mergeCell ref="A11:A12"/>
    <mergeCell ref="B11:B12"/>
    <mergeCell ref="C11:C12"/>
    <mergeCell ref="AE11:AE12"/>
    <mergeCell ref="AF11:AF12"/>
    <mergeCell ref="AI13:AI14"/>
    <mergeCell ref="AJ13:AJ14"/>
    <mergeCell ref="AM11:AM12"/>
    <mergeCell ref="AN11:AN12"/>
    <mergeCell ref="AO11:AO12"/>
    <mergeCell ref="AP11:AP12"/>
    <mergeCell ref="AQ11:AQ12"/>
    <mergeCell ref="AR11:AR12"/>
    <mergeCell ref="AS11:AS12"/>
    <mergeCell ref="AT11:AT12"/>
    <mergeCell ref="AU11:AU12"/>
    <mergeCell ref="AV11:AV12"/>
    <mergeCell ref="AW11:AW12"/>
    <mergeCell ref="BB13:BB14"/>
    <mergeCell ref="BC13:BC14"/>
    <mergeCell ref="AX11:AX12"/>
    <mergeCell ref="AH11:AH12"/>
    <mergeCell ref="AI11:AI12"/>
    <mergeCell ref="AJ11:AJ12"/>
    <mergeCell ref="BD13:BD14"/>
    <mergeCell ref="BE13:BE14"/>
    <mergeCell ref="AR13:AR14"/>
    <mergeCell ref="AS13:AS14"/>
    <mergeCell ref="AT13:AT14"/>
    <mergeCell ref="AU13:AU14"/>
    <mergeCell ref="AV13:AV14"/>
    <mergeCell ref="BG11:BG12"/>
    <mergeCell ref="A13:A14"/>
    <mergeCell ref="B13:B14"/>
    <mergeCell ref="C13:C14"/>
    <mergeCell ref="D13:D14"/>
    <mergeCell ref="E13:E14"/>
    <mergeCell ref="F13:F14"/>
    <mergeCell ref="G13:G14"/>
    <mergeCell ref="J11:J12"/>
    <mergeCell ref="N11:N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G11:AG12"/>
    <mergeCell ref="AW13:AW14"/>
    <mergeCell ref="AX13:AX14"/>
    <mergeCell ref="AY13:AY14"/>
    <mergeCell ref="AZ13:AZ14"/>
    <mergeCell ref="BA13:BA14"/>
    <mergeCell ref="AY11:AY12"/>
    <mergeCell ref="AZ11:AZ12"/>
    <mergeCell ref="BA11:BA12"/>
    <mergeCell ref="D11:D12"/>
    <mergeCell ref="E11:E12"/>
    <mergeCell ref="F11:F12"/>
    <mergeCell ref="G11:G12"/>
    <mergeCell ref="H11:H12"/>
    <mergeCell ref="I11:I12"/>
    <mergeCell ref="Q9:Q10"/>
    <mergeCell ref="R9:R10"/>
    <mergeCell ref="S9:S10"/>
    <mergeCell ref="T9:T10"/>
    <mergeCell ref="U9:U10"/>
    <mergeCell ref="V9:V10"/>
    <mergeCell ref="W9:W10"/>
    <mergeCell ref="X9:X10"/>
    <mergeCell ref="Y9:Y10"/>
    <mergeCell ref="Z9:Z10"/>
    <mergeCell ref="AA9:AA10"/>
    <mergeCell ref="BC9:BC10"/>
    <mergeCell ref="BD9:BD10"/>
    <mergeCell ref="BE9:BE10"/>
    <mergeCell ref="BF9:BF10"/>
    <mergeCell ref="AQ9:AQ10"/>
    <mergeCell ref="AR9:AR10"/>
    <mergeCell ref="AS9:AS10"/>
    <mergeCell ref="AT9:AT10"/>
    <mergeCell ref="AU9:AU10"/>
    <mergeCell ref="AV9:AV10"/>
    <mergeCell ref="BF7:BF8"/>
    <mergeCell ref="AB9:AB10"/>
    <mergeCell ref="AD11:AD12"/>
    <mergeCell ref="AD9:AD10"/>
    <mergeCell ref="AI9:AI10"/>
    <mergeCell ref="AJ9:AJ10"/>
    <mergeCell ref="AK9:AK10"/>
    <mergeCell ref="AL9:AL10"/>
    <mergeCell ref="AK11:AK12"/>
    <mergeCell ref="AL11:AL12"/>
    <mergeCell ref="AO9:AO10"/>
    <mergeCell ref="AP9:AP10"/>
    <mergeCell ref="AM9:AM10"/>
    <mergeCell ref="AN9:AN10"/>
    <mergeCell ref="AQ7:AQ8"/>
    <mergeCell ref="AR7:AR8"/>
    <mergeCell ref="AS7:AS8"/>
    <mergeCell ref="AT7:AT8"/>
    <mergeCell ref="AX9:AX10"/>
    <mergeCell ref="BD11:BD12"/>
    <mergeCell ref="BE11:BE12"/>
    <mergeCell ref="BF11:BF12"/>
    <mergeCell ref="AC9:AC10"/>
    <mergeCell ref="AC7:AC8"/>
    <mergeCell ref="AE9:AE10"/>
    <mergeCell ref="AF9:AF10"/>
    <mergeCell ref="AG9:AG10"/>
    <mergeCell ref="AH9:AH10"/>
    <mergeCell ref="AK7:AK8"/>
    <mergeCell ref="AL7:AL8"/>
    <mergeCell ref="AM7:AM8"/>
    <mergeCell ref="AN7:AN8"/>
    <mergeCell ref="AU7:AU8"/>
    <mergeCell ref="AW9:AW10"/>
    <mergeCell ref="AW7:AW8"/>
    <mergeCell ref="AY9:AY10"/>
    <mergeCell ref="AZ9:AZ10"/>
    <mergeCell ref="BA9:BA10"/>
    <mergeCell ref="BB9:BB10"/>
    <mergeCell ref="A9:A10"/>
    <mergeCell ref="B9:B10"/>
    <mergeCell ref="C9:C10"/>
    <mergeCell ref="D9:D10"/>
    <mergeCell ref="E9:E10"/>
    <mergeCell ref="F9:F10"/>
    <mergeCell ref="G9:G10"/>
    <mergeCell ref="H9:H10"/>
    <mergeCell ref="I9:I10"/>
    <mergeCell ref="J9:J10"/>
    <mergeCell ref="N9:N10"/>
    <mergeCell ref="S7:S8"/>
    <mergeCell ref="T7:T8"/>
    <mergeCell ref="U7:U8"/>
    <mergeCell ref="V7:V8"/>
    <mergeCell ref="W7:W8"/>
    <mergeCell ref="X7:X8"/>
    <mergeCell ref="BG3:BG4"/>
    <mergeCell ref="Z5:Z6"/>
    <mergeCell ref="AB7:AB8"/>
    <mergeCell ref="AR5:AR6"/>
    <mergeCell ref="AD7:AD8"/>
    <mergeCell ref="AE7:AE8"/>
    <mergeCell ref="AF7:AF8"/>
    <mergeCell ref="AG7:AG8"/>
    <mergeCell ref="AH7:AH8"/>
    <mergeCell ref="AI7:AI8"/>
    <mergeCell ref="AJ7:AJ8"/>
    <mergeCell ref="AM5:AM6"/>
    <mergeCell ref="AN5:AN6"/>
    <mergeCell ref="AO5:AO6"/>
    <mergeCell ref="AP5:AP6"/>
    <mergeCell ref="AO7:AO8"/>
    <mergeCell ref="AP7:AP8"/>
    <mergeCell ref="AS5:AS6"/>
    <mergeCell ref="AT5:AT6"/>
    <mergeCell ref="AV7:AV8"/>
    <mergeCell ref="AV5:AV6"/>
    <mergeCell ref="AG5:AG6"/>
    <mergeCell ref="AH5:AH6"/>
    <mergeCell ref="AI5:AI6"/>
    <mergeCell ref="AJ5:AJ6"/>
    <mergeCell ref="AK5:AK6"/>
    <mergeCell ref="AL5:AL6"/>
    <mergeCell ref="AX7:AX8"/>
    <mergeCell ref="AY7:AY8"/>
    <mergeCell ref="AZ7:AZ8"/>
    <mergeCell ref="BA7:BA8"/>
    <mergeCell ref="BB7:BB8"/>
    <mergeCell ref="BG5:BG6"/>
    <mergeCell ref="A7:A8"/>
    <mergeCell ref="B7:B8"/>
    <mergeCell ref="C7:C8"/>
    <mergeCell ref="D7:D8"/>
    <mergeCell ref="E7:E8"/>
    <mergeCell ref="F7:F8"/>
    <mergeCell ref="G7:G8"/>
    <mergeCell ref="H7:H8"/>
    <mergeCell ref="I7:I8"/>
    <mergeCell ref="J7:J8"/>
    <mergeCell ref="N7:N8"/>
    <mergeCell ref="Q7:Q8"/>
    <mergeCell ref="R7:R8"/>
    <mergeCell ref="U5:U6"/>
    <mergeCell ref="V5:V6"/>
    <mergeCell ref="W5:W6"/>
    <mergeCell ref="X5:X6"/>
    <mergeCell ref="Y5:Y6"/>
    <mergeCell ref="BC7:BC8"/>
    <mergeCell ref="BD7:BD8"/>
    <mergeCell ref="BE7:BE8"/>
    <mergeCell ref="AU5:AU6"/>
    <mergeCell ref="BG7:BG8"/>
    <mergeCell ref="Y7:Y8"/>
    <mergeCell ref="Z7:Z8"/>
    <mergeCell ref="AA7:AA8"/>
    <mergeCell ref="R5:R6"/>
    <mergeCell ref="S5:S6"/>
    <mergeCell ref="T5:T6"/>
    <mergeCell ref="W3:W4"/>
    <mergeCell ref="X3:X4"/>
    <mergeCell ref="AO3:AO4"/>
    <mergeCell ref="AP3:AP4"/>
    <mergeCell ref="AW5:AW6"/>
    <mergeCell ref="AX5:AX6"/>
    <mergeCell ref="AY5:AY6"/>
    <mergeCell ref="AZ5:AZ6"/>
    <mergeCell ref="BA5:BA6"/>
    <mergeCell ref="BB5:BB6"/>
    <mergeCell ref="BC5:BC6"/>
    <mergeCell ref="BD5:BD6"/>
    <mergeCell ref="BE5:BE6"/>
    <mergeCell ref="BF5:BF6"/>
    <mergeCell ref="Y3:Y4"/>
    <mergeCell ref="Z3:Z4"/>
    <mergeCell ref="AA3:AA4"/>
    <mergeCell ref="AA5:AA6"/>
    <mergeCell ref="AB5:AB6"/>
    <mergeCell ref="AC5:AC6"/>
    <mergeCell ref="AD5:AD6"/>
    <mergeCell ref="AE5:AE6"/>
    <mergeCell ref="AF5:AF6"/>
    <mergeCell ref="AQ3:AQ4"/>
    <mergeCell ref="AR3:AR4"/>
    <mergeCell ref="AQ5:AQ6"/>
    <mergeCell ref="AU3:AU4"/>
    <mergeCell ref="AB3:AB4"/>
    <mergeCell ref="AV3:AV4"/>
    <mergeCell ref="AW3:AW4"/>
    <mergeCell ref="AX3:AX4"/>
    <mergeCell ref="AY3:AY4"/>
    <mergeCell ref="A1:O1"/>
    <mergeCell ref="A2:O2"/>
    <mergeCell ref="S3:S4"/>
    <mergeCell ref="T3:T4"/>
    <mergeCell ref="U3:U4"/>
    <mergeCell ref="V3:V4"/>
    <mergeCell ref="A5:A6"/>
    <mergeCell ref="B5:B6"/>
    <mergeCell ref="C5:C6"/>
    <mergeCell ref="D5:D6"/>
    <mergeCell ref="E5:E6"/>
    <mergeCell ref="F5:F6"/>
    <mergeCell ref="G5:G6"/>
    <mergeCell ref="H5:H6"/>
    <mergeCell ref="I5:I6"/>
    <mergeCell ref="J5:J6"/>
    <mergeCell ref="N5:N6"/>
    <mergeCell ref="Q5:Q6"/>
    <mergeCell ref="AZ3:AZ4"/>
    <mergeCell ref="BA3:BA4"/>
    <mergeCell ref="BB3:BB4"/>
    <mergeCell ref="BC3:BC4"/>
    <mergeCell ref="BD3:BD4"/>
    <mergeCell ref="BE3:BE4"/>
    <mergeCell ref="BF3:BF4"/>
    <mergeCell ref="AC3:AC4"/>
    <mergeCell ref="AD3:AD4"/>
    <mergeCell ref="AE3:AE4"/>
    <mergeCell ref="AF3:AF4"/>
    <mergeCell ref="AG3:AG4"/>
    <mergeCell ref="AH3:AH4"/>
    <mergeCell ref="AS3:AS4"/>
    <mergeCell ref="AT3:AT4"/>
    <mergeCell ref="AI3:AI4"/>
    <mergeCell ref="AJ3:AJ4"/>
    <mergeCell ref="AK3:AK4"/>
    <mergeCell ref="AL3:AL4"/>
    <mergeCell ref="AM3:AM4"/>
    <mergeCell ref="AN3:AN4"/>
  </mergeCells>
  <phoneticPr fontId="61" type="noConversion"/>
  <pageMargins left="0" right="0" top="0" bottom="0" header="0" footer="0"/>
  <pageSetup paperSize="9" scale="6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96"/>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3" sqref="A3"/>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45264</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0" si="0">L5-M5</f>
        <v>0</v>
      </c>
      <c r="P5" s="27">
        <v>0</v>
      </c>
      <c r="Q5" s="99">
        <f>+L6-P6</f>
        <v>36</v>
      </c>
      <c r="R5" s="85" t="s">
        <v>64</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f>
        <v>2194</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45264</v>
      </c>
      <c r="B7" s="87" t="s">
        <v>37</v>
      </c>
      <c r="C7" s="89">
        <v>1</v>
      </c>
      <c r="D7" s="91" t="s">
        <v>38</v>
      </c>
      <c r="E7" s="89">
        <v>84217</v>
      </c>
      <c r="F7" s="89" t="s">
        <v>49</v>
      </c>
      <c r="G7" s="93" t="s">
        <v>61</v>
      </c>
      <c r="H7" s="90" t="s">
        <v>41</v>
      </c>
      <c r="I7" s="90">
        <v>1883</v>
      </c>
      <c r="J7" s="90">
        <v>1883</v>
      </c>
      <c r="K7" s="20">
        <v>0</v>
      </c>
      <c r="L7" s="20">
        <v>311</v>
      </c>
      <c r="M7" s="20">
        <v>90</v>
      </c>
      <c r="N7" s="97">
        <f>O8/L8</f>
        <v>0.75730217737652683</v>
      </c>
      <c r="O7" s="21">
        <f t="shared" si="0"/>
        <v>221</v>
      </c>
      <c r="P7" s="27">
        <v>244</v>
      </c>
      <c r="Q7" s="99">
        <f>+L8-P8</f>
        <v>318</v>
      </c>
      <c r="R7" s="85"/>
      <c r="S7" s="96"/>
      <c r="T7" s="96"/>
      <c r="U7" s="96">
        <v>79</v>
      </c>
      <c r="V7" s="96">
        <v>9</v>
      </c>
      <c r="W7" s="96"/>
      <c r="X7" s="96"/>
      <c r="Y7" s="96"/>
      <c r="Z7" s="96"/>
      <c r="AA7" s="96"/>
      <c r="AB7" s="96"/>
      <c r="AC7" s="96">
        <v>63</v>
      </c>
      <c r="AD7" s="96"/>
      <c r="AE7" s="96">
        <v>8</v>
      </c>
      <c r="AF7" s="96"/>
      <c r="AG7" s="96"/>
      <c r="AH7" s="96">
        <v>49</v>
      </c>
      <c r="AI7" s="96"/>
      <c r="AJ7" s="96"/>
      <c r="AK7" s="96"/>
      <c r="AL7" s="96">
        <v>13</v>
      </c>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197+105+183+94+214+167+177+130+264+162+127+63</f>
        <v>1883</v>
      </c>
      <c r="L8" s="18">
        <f>197+105+183+30+30+262+272+188+20+20+10+255+311</f>
        <v>1883</v>
      </c>
      <c r="M8" s="18">
        <f>20+34+27+8+72+93+39+5+4+65+90</f>
        <v>457</v>
      </c>
      <c r="N8" s="98"/>
      <c r="O8" s="19">
        <f t="shared" si="0"/>
        <v>1426</v>
      </c>
      <c r="P8" s="22">
        <f>20+138+161+8+180+320+119+34+33+127+181+244</f>
        <v>1565</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5.75" customHeight="1">
      <c r="A9" s="108">
        <v>45264</v>
      </c>
      <c r="B9" s="87" t="s">
        <v>37</v>
      </c>
      <c r="C9" s="89">
        <v>1</v>
      </c>
      <c r="D9" s="91" t="s">
        <v>38</v>
      </c>
      <c r="E9" s="89">
        <v>84217</v>
      </c>
      <c r="F9" s="89" t="s">
        <v>49</v>
      </c>
      <c r="G9" s="93" t="s">
        <v>63</v>
      </c>
      <c r="H9" s="90" t="s">
        <v>47</v>
      </c>
      <c r="I9" s="90">
        <v>2103</v>
      </c>
      <c r="J9" s="90">
        <v>2103</v>
      </c>
      <c r="K9" s="20">
        <v>8</v>
      </c>
      <c r="L9" s="20">
        <v>662</v>
      </c>
      <c r="M9" s="20">
        <v>246</v>
      </c>
      <c r="N9" s="97">
        <f>O10/L10</f>
        <v>0.57694140066698429</v>
      </c>
      <c r="O9" s="21">
        <f t="shared" si="0"/>
        <v>416</v>
      </c>
      <c r="P9" s="27">
        <v>760</v>
      </c>
      <c r="Q9" s="99">
        <f>+L10-P10</f>
        <v>436</v>
      </c>
      <c r="R9" s="85"/>
      <c r="S9" s="96"/>
      <c r="T9" s="96">
        <v>282</v>
      </c>
      <c r="U9" s="96"/>
      <c r="V9" s="96"/>
      <c r="W9" s="96"/>
      <c r="X9" s="96"/>
      <c r="Y9" s="96"/>
      <c r="Z9" s="96"/>
      <c r="AA9" s="96"/>
      <c r="AB9" s="96"/>
      <c r="AC9" s="96">
        <v>12</v>
      </c>
      <c r="AD9" s="96"/>
      <c r="AE9" s="96">
        <v>12</v>
      </c>
      <c r="AF9" s="96">
        <v>14</v>
      </c>
      <c r="AG9" s="96">
        <v>15</v>
      </c>
      <c r="AH9" s="96">
        <v>16</v>
      </c>
      <c r="AI9" s="96"/>
      <c r="AJ9" s="96"/>
      <c r="AK9" s="96"/>
      <c r="AL9" s="96">
        <v>65</v>
      </c>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646+325+235+397+185+288+15+8</f>
        <v>2099</v>
      </c>
      <c r="L10" s="18">
        <f>180+224+270+114+100+89+460+662</f>
        <v>2099</v>
      </c>
      <c r="M10" s="18">
        <f>49+99+127+52+44+48+223+246</f>
        <v>888</v>
      </c>
      <c r="N10" s="98"/>
      <c r="O10" s="19">
        <f t="shared" si="0"/>
        <v>1211</v>
      </c>
      <c r="P10" s="22">
        <f>49+102+165+80+231+48+228+760</f>
        <v>1663</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5.75" customHeight="1">
      <c r="A11" s="108">
        <v>45264</v>
      </c>
      <c r="B11" s="87" t="s">
        <v>37</v>
      </c>
      <c r="C11" s="89">
        <v>1</v>
      </c>
      <c r="D11" s="91" t="s">
        <v>38</v>
      </c>
      <c r="E11" s="89">
        <v>84217</v>
      </c>
      <c r="F11" s="89" t="s">
        <v>49</v>
      </c>
      <c r="G11" s="93" t="s">
        <v>63</v>
      </c>
      <c r="H11" s="90" t="s">
        <v>39</v>
      </c>
      <c r="I11" s="90">
        <v>4965</v>
      </c>
      <c r="J11" s="90">
        <v>965</v>
      </c>
      <c r="K11" s="20">
        <v>45</v>
      </c>
      <c r="L11" s="20">
        <v>150</v>
      </c>
      <c r="M11" s="20">
        <v>40</v>
      </c>
      <c r="N11" s="97">
        <f>O12/L12</f>
        <v>0.80519480519480524</v>
      </c>
      <c r="O11" s="21">
        <f t="shared" si="0"/>
        <v>110</v>
      </c>
      <c r="P11" s="27">
        <v>38</v>
      </c>
      <c r="Q11" s="99">
        <f>+L12-P12</f>
        <v>190</v>
      </c>
      <c r="R11" s="85"/>
      <c r="S11" s="96"/>
      <c r="T11" s="96">
        <v>5</v>
      </c>
      <c r="U11" s="96">
        <v>9</v>
      </c>
      <c r="V11" s="96"/>
      <c r="W11" s="96"/>
      <c r="X11" s="96"/>
      <c r="Y11" s="96"/>
      <c r="Z11" s="96"/>
      <c r="AA11" s="96"/>
      <c r="AB11" s="96"/>
      <c r="AC11" s="96">
        <v>24</v>
      </c>
      <c r="AD11" s="96">
        <v>5</v>
      </c>
      <c r="AE11" s="96"/>
      <c r="AF11" s="96">
        <v>8</v>
      </c>
      <c r="AG11" s="96"/>
      <c r="AH11" s="96">
        <v>38</v>
      </c>
      <c r="AI11" s="96"/>
      <c r="AJ11" s="96">
        <v>21</v>
      </c>
      <c r="AK11" s="96"/>
      <c r="AL11" s="96"/>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5+13+70+100+67+52+57+45</f>
        <v>409</v>
      </c>
      <c r="L12" s="18">
        <f>5+13+60+10+10+10+50+150</f>
        <v>308</v>
      </c>
      <c r="M12" s="18">
        <f>10+10+40</f>
        <v>60</v>
      </c>
      <c r="N12" s="98"/>
      <c r="O12" s="19">
        <f t="shared" si="0"/>
        <v>248</v>
      </c>
      <c r="P12" s="22">
        <f>10+30+30+10+38</f>
        <v>118</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45264</v>
      </c>
      <c r="B13" s="87" t="s">
        <v>37</v>
      </c>
      <c r="C13" s="89">
        <v>1</v>
      </c>
      <c r="D13" s="91" t="s">
        <v>38</v>
      </c>
      <c r="E13" s="89">
        <v>84217</v>
      </c>
      <c r="F13" s="89" t="s">
        <v>49</v>
      </c>
      <c r="G13" s="93" t="s">
        <v>63</v>
      </c>
      <c r="H13" s="90" t="s">
        <v>41</v>
      </c>
      <c r="I13" s="90">
        <v>1219</v>
      </c>
      <c r="J13" s="90">
        <v>1219</v>
      </c>
      <c r="K13" s="20">
        <v>39</v>
      </c>
      <c r="L13" s="20">
        <v>164</v>
      </c>
      <c r="M13" s="20">
        <v>106</v>
      </c>
      <c r="N13" s="97">
        <f>O14/L14</f>
        <v>0.45173745173745172</v>
      </c>
      <c r="O13" s="21">
        <f t="shared" si="0"/>
        <v>58</v>
      </c>
      <c r="P13" s="27">
        <v>96</v>
      </c>
      <c r="Q13" s="99">
        <f>+L14-P14</f>
        <v>107</v>
      </c>
      <c r="R13" s="85"/>
      <c r="S13" s="96"/>
      <c r="T13" s="96">
        <v>20</v>
      </c>
      <c r="U13" s="96">
        <v>3</v>
      </c>
      <c r="V13" s="96"/>
      <c r="W13" s="96"/>
      <c r="X13" s="96">
        <v>2</v>
      </c>
      <c r="Y13" s="96"/>
      <c r="Z13" s="96"/>
      <c r="AA13" s="96"/>
      <c r="AB13" s="96"/>
      <c r="AC13" s="96">
        <v>10</v>
      </c>
      <c r="AD13" s="96"/>
      <c r="AE13" s="96"/>
      <c r="AF13" s="96">
        <v>5</v>
      </c>
      <c r="AG13" s="96"/>
      <c r="AH13" s="96">
        <v>10</v>
      </c>
      <c r="AI13" s="96"/>
      <c r="AJ13" s="96"/>
      <c r="AK13" s="96"/>
      <c r="AL13" s="96">
        <v>8</v>
      </c>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103+85+198+61+57+39</f>
        <v>543</v>
      </c>
      <c r="L14" s="18">
        <f>9+46+10+10+10+10+164</f>
        <v>259</v>
      </c>
      <c r="M14" s="18">
        <f>9+17+10+106</f>
        <v>142</v>
      </c>
      <c r="N14" s="98"/>
      <c r="O14" s="19">
        <f t="shared" si="0"/>
        <v>117</v>
      </c>
      <c r="P14" s="22">
        <f>9+17+10+10+10+96</f>
        <v>152</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45264</v>
      </c>
      <c r="B15" s="87" t="s">
        <v>37</v>
      </c>
      <c r="C15" s="89">
        <v>1</v>
      </c>
      <c r="D15" s="91" t="s">
        <v>38</v>
      </c>
      <c r="E15" s="89">
        <v>84217</v>
      </c>
      <c r="F15" s="89" t="s">
        <v>49</v>
      </c>
      <c r="G15" s="93" t="s">
        <v>63</v>
      </c>
      <c r="H15" s="90" t="s">
        <v>73</v>
      </c>
      <c r="I15" s="90">
        <v>760</v>
      </c>
      <c r="J15" s="90">
        <v>760</v>
      </c>
      <c r="K15" s="20">
        <v>265</v>
      </c>
      <c r="L15" s="20">
        <v>0</v>
      </c>
      <c r="M15" s="20">
        <v>0</v>
      </c>
      <c r="N15" s="97" t="e">
        <f>O16/L16</f>
        <v>#DIV/0!</v>
      </c>
      <c r="O15" s="21">
        <f t="shared" si="0"/>
        <v>0</v>
      </c>
      <c r="P15" s="27">
        <v>0</v>
      </c>
      <c r="Q15" s="99">
        <f>+L16-P16</f>
        <v>0</v>
      </c>
      <c r="R15" s="85"/>
      <c r="S15" s="96"/>
      <c r="T15" s="96"/>
      <c r="U15" s="96"/>
      <c r="V15" s="96"/>
      <c r="W15" s="96"/>
      <c r="X15" s="96"/>
      <c r="Y15" s="96"/>
      <c r="Z15" s="96"/>
      <c r="AA15" s="96"/>
      <c r="AB15" s="96"/>
      <c r="AC15" s="96"/>
      <c r="AD15" s="96"/>
      <c r="AE15" s="96"/>
      <c r="AF15" s="96"/>
      <c r="AG15" s="96"/>
      <c r="AH15" s="96"/>
      <c r="AI15" s="96"/>
      <c r="AJ15" s="96"/>
      <c r="AK15" s="96"/>
      <c r="AL15" s="96"/>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535</f>
        <v>535</v>
      </c>
      <c r="L16" s="18">
        <v>0</v>
      </c>
      <c r="M16" s="18">
        <v>0</v>
      </c>
      <c r="N16" s="98"/>
      <c r="O16" s="19">
        <f t="shared" si="0"/>
        <v>0</v>
      </c>
      <c r="P16" s="22">
        <v>0</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45264</v>
      </c>
      <c r="B17" s="87" t="s">
        <v>37</v>
      </c>
      <c r="C17" s="89">
        <v>1</v>
      </c>
      <c r="D17" s="91" t="s">
        <v>38</v>
      </c>
      <c r="E17" s="89">
        <v>84212</v>
      </c>
      <c r="F17" s="89" t="s">
        <v>49</v>
      </c>
      <c r="G17" s="93" t="s">
        <v>55</v>
      </c>
      <c r="H17" s="90" t="s">
        <v>62</v>
      </c>
      <c r="I17" s="90">
        <v>2248</v>
      </c>
      <c r="J17" s="90">
        <v>608</v>
      </c>
      <c r="K17" s="20">
        <v>0</v>
      </c>
      <c r="L17" s="20">
        <v>0</v>
      </c>
      <c r="M17" s="20">
        <v>0</v>
      </c>
      <c r="N17" s="97">
        <f>O18/L18</f>
        <v>0.76470588235294112</v>
      </c>
      <c r="O17" s="21">
        <f t="shared" si="0"/>
        <v>0</v>
      </c>
      <c r="P17" s="27">
        <v>115</v>
      </c>
      <c r="Q17" s="99">
        <f>+L18-P18</f>
        <v>30</v>
      </c>
      <c r="R17" s="85"/>
      <c r="S17" s="96"/>
      <c r="T17" s="96"/>
      <c r="U17" s="96"/>
      <c r="V17" s="96"/>
      <c r="W17" s="96"/>
      <c r="X17" s="96"/>
      <c r="Y17" s="96"/>
      <c r="Z17" s="96"/>
      <c r="AA17" s="96"/>
      <c r="AB17" s="96"/>
      <c r="AC17" s="96"/>
      <c r="AD17" s="96"/>
      <c r="AE17" s="96"/>
      <c r="AF17" s="96"/>
      <c r="AG17" s="96"/>
      <c r="AH17" s="96"/>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63+36+60+117+70+60+110+60+19</f>
        <v>595</v>
      </c>
      <c r="L18" s="18">
        <f>63+36+20+10+141+94+102+10+10+10+99</f>
        <v>595</v>
      </c>
      <c r="M18" s="18">
        <f>13+7+34+21+22+4+39</f>
        <v>140</v>
      </c>
      <c r="N18" s="98"/>
      <c r="O18" s="19">
        <f t="shared" si="0"/>
        <v>455</v>
      </c>
      <c r="P18" s="22">
        <f>13+52+71+138+116+10+4+46+115</f>
        <v>565</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45264</v>
      </c>
      <c r="B19" s="87" t="s">
        <v>37</v>
      </c>
      <c r="C19" s="89">
        <v>1</v>
      </c>
      <c r="D19" s="91" t="s">
        <v>38</v>
      </c>
      <c r="E19" s="89">
        <v>84212</v>
      </c>
      <c r="F19" s="89" t="s">
        <v>49</v>
      </c>
      <c r="G19" s="93" t="s">
        <v>55</v>
      </c>
      <c r="H19" s="90" t="s">
        <v>59</v>
      </c>
      <c r="I19" s="90">
        <v>708</v>
      </c>
      <c r="J19" s="90">
        <v>708</v>
      </c>
      <c r="K19" s="20">
        <v>0</v>
      </c>
      <c r="L19" s="20">
        <v>80</v>
      </c>
      <c r="M19" s="20">
        <v>15</v>
      </c>
      <c r="N19" s="97">
        <f>O20/L20</f>
        <v>0.76666666666666672</v>
      </c>
      <c r="O19" s="21">
        <f t="shared" si="0"/>
        <v>65</v>
      </c>
      <c r="P19" s="27">
        <v>15</v>
      </c>
      <c r="Q19" s="99">
        <f>+L20-P20</f>
        <v>215</v>
      </c>
      <c r="R19" s="85"/>
      <c r="S19" s="96"/>
      <c r="T19" s="96">
        <v>32</v>
      </c>
      <c r="U19" s="96">
        <v>2</v>
      </c>
      <c r="V19" s="96"/>
      <c r="W19" s="96"/>
      <c r="X19" s="96"/>
      <c r="Y19" s="96">
        <v>1</v>
      </c>
      <c r="Z19" s="96"/>
      <c r="AA19" s="96"/>
      <c r="AB19" s="96"/>
      <c r="AC19" s="96">
        <v>4</v>
      </c>
      <c r="AD19" s="96"/>
      <c r="AE19" s="96">
        <v>1</v>
      </c>
      <c r="AF19" s="96">
        <v>2</v>
      </c>
      <c r="AG19" s="96">
        <v>22</v>
      </c>
      <c r="AH19" s="96">
        <v>1</v>
      </c>
      <c r="AI19" s="96"/>
      <c r="AJ19" s="96"/>
      <c r="AK19" s="96"/>
      <c r="AL19" s="96"/>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105+109+70+77+65+110+122</f>
        <v>658</v>
      </c>
      <c r="L20" s="18">
        <f>25+50+65+80+80</f>
        <v>300</v>
      </c>
      <c r="M20" s="18">
        <f>15+20+20+15</f>
        <v>70</v>
      </c>
      <c r="N20" s="98"/>
      <c r="O20" s="19">
        <f t="shared" si="0"/>
        <v>230</v>
      </c>
      <c r="P20" s="22">
        <f>15+20+35+15</f>
        <v>85</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45264</v>
      </c>
      <c r="B21" s="87" t="s">
        <v>37</v>
      </c>
      <c r="C21" s="89">
        <v>1</v>
      </c>
      <c r="D21" s="91" t="s">
        <v>38</v>
      </c>
      <c r="E21" s="89">
        <v>84212</v>
      </c>
      <c r="F21" s="89" t="s">
        <v>49</v>
      </c>
      <c r="G21" s="93" t="s">
        <v>55</v>
      </c>
      <c r="H21" s="90" t="s">
        <v>67</v>
      </c>
      <c r="I21" s="90">
        <v>1813</v>
      </c>
      <c r="J21" s="90">
        <v>1813</v>
      </c>
      <c r="K21" s="20">
        <v>145</v>
      </c>
      <c r="L21" s="20">
        <v>110</v>
      </c>
      <c r="M21" s="20">
        <v>10</v>
      </c>
      <c r="N21" s="97">
        <f>O22/L22</f>
        <v>0.8928571428571429</v>
      </c>
      <c r="O21" s="21">
        <f t="shared" si="0"/>
        <v>100</v>
      </c>
      <c r="P21" s="27">
        <v>10</v>
      </c>
      <c r="Q21" s="99">
        <f>+L22-P22</f>
        <v>125</v>
      </c>
      <c r="R21" s="85"/>
      <c r="S21" s="96"/>
      <c r="T21" s="96">
        <v>10</v>
      </c>
      <c r="U21" s="96">
        <v>8</v>
      </c>
      <c r="V21" s="96"/>
      <c r="W21" s="96"/>
      <c r="X21" s="96"/>
      <c r="Y21" s="96"/>
      <c r="Z21" s="96"/>
      <c r="AA21" s="96"/>
      <c r="AB21" s="96"/>
      <c r="AC21" s="96">
        <v>15</v>
      </c>
      <c r="AD21" s="96"/>
      <c r="AE21" s="96">
        <v>2</v>
      </c>
      <c r="AF21" s="96"/>
      <c r="AG21" s="96">
        <v>38</v>
      </c>
      <c r="AH21" s="96">
        <v>27</v>
      </c>
      <c r="AI21" s="96"/>
      <c r="AJ21" s="96"/>
      <c r="AK21" s="96"/>
      <c r="AL21" s="96"/>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272+145</f>
        <v>417</v>
      </c>
      <c r="L22" s="18">
        <f>30+110</f>
        <v>140</v>
      </c>
      <c r="M22" s="18">
        <f>5+10</f>
        <v>15</v>
      </c>
      <c r="N22" s="98"/>
      <c r="O22" s="19">
        <f t="shared" si="0"/>
        <v>125</v>
      </c>
      <c r="P22" s="22">
        <f>5+10</f>
        <v>15</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45264</v>
      </c>
      <c r="B23" s="87" t="s">
        <v>37</v>
      </c>
      <c r="C23" s="89">
        <v>1</v>
      </c>
      <c r="D23" s="91" t="s">
        <v>38</v>
      </c>
      <c r="E23" s="89">
        <v>84212</v>
      </c>
      <c r="F23" s="89" t="s">
        <v>49</v>
      </c>
      <c r="G23" s="93" t="s">
        <v>55</v>
      </c>
      <c r="H23" s="90" t="s">
        <v>62</v>
      </c>
      <c r="I23" s="90">
        <v>2218</v>
      </c>
      <c r="J23" s="90">
        <v>1640</v>
      </c>
      <c r="K23" s="20">
        <v>95</v>
      </c>
      <c r="L23" s="20">
        <v>40</v>
      </c>
      <c r="M23" s="20">
        <v>14</v>
      </c>
      <c r="N23" s="97">
        <f>O24/L24</f>
        <v>0.75</v>
      </c>
      <c r="O23" s="21">
        <f t="shared" si="0"/>
        <v>26</v>
      </c>
      <c r="P23" s="27">
        <v>14</v>
      </c>
      <c r="Q23" s="99">
        <f>+L24-P24</f>
        <v>60</v>
      </c>
      <c r="R23" s="85"/>
      <c r="S23" s="96"/>
      <c r="T23" s="96">
        <v>8</v>
      </c>
      <c r="U23" s="96"/>
      <c r="V23" s="96"/>
      <c r="W23" s="96"/>
      <c r="X23" s="96">
        <v>1</v>
      </c>
      <c r="Y23" s="96"/>
      <c r="Z23" s="96"/>
      <c r="AA23" s="96"/>
      <c r="AB23" s="96"/>
      <c r="AC23" s="96">
        <v>4</v>
      </c>
      <c r="AD23" s="96"/>
      <c r="AE23" s="96">
        <v>1</v>
      </c>
      <c r="AF23" s="96"/>
      <c r="AG23" s="96">
        <v>2</v>
      </c>
      <c r="AH23" s="96">
        <v>10</v>
      </c>
      <c r="AI23" s="96"/>
      <c r="AJ23" s="96"/>
      <c r="AK23" s="96"/>
      <c r="AL23" s="96"/>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166+95</f>
        <v>261</v>
      </c>
      <c r="L24" s="18">
        <f>40+40</f>
        <v>80</v>
      </c>
      <c r="M24" s="18">
        <f>6+14</f>
        <v>20</v>
      </c>
      <c r="N24" s="98"/>
      <c r="O24" s="19">
        <f t="shared" si="0"/>
        <v>60</v>
      </c>
      <c r="P24" s="22">
        <f>6+14</f>
        <v>20</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45264</v>
      </c>
      <c r="B25" s="87" t="s">
        <v>37</v>
      </c>
      <c r="C25" s="89">
        <v>1</v>
      </c>
      <c r="D25" s="91" t="s">
        <v>38</v>
      </c>
      <c r="E25" s="89">
        <v>84212</v>
      </c>
      <c r="F25" s="89" t="s">
        <v>49</v>
      </c>
      <c r="G25" s="93" t="s">
        <v>61</v>
      </c>
      <c r="H25" s="89" t="s">
        <v>65</v>
      </c>
      <c r="I25" s="89">
        <v>533</v>
      </c>
      <c r="J25" s="89">
        <v>533</v>
      </c>
      <c r="K25" s="20">
        <v>0</v>
      </c>
      <c r="L25" s="20">
        <v>110</v>
      </c>
      <c r="M25" s="20">
        <v>30</v>
      </c>
      <c r="N25" s="146">
        <f>O26/L26</f>
        <v>0.76923076923076927</v>
      </c>
      <c r="O25" s="21">
        <f t="shared" si="0"/>
        <v>80</v>
      </c>
      <c r="P25" s="27">
        <v>50</v>
      </c>
      <c r="Q25" s="99">
        <f>+L26-P26</f>
        <v>80</v>
      </c>
      <c r="R25" s="108"/>
      <c r="S25" s="149">
        <v>10</v>
      </c>
      <c r="T25" s="149">
        <v>15</v>
      </c>
      <c r="U25" s="149">
        <v>10</v>
      </c>
      <c r="V25" s="149"/>
      <c r="W25" s="149"/>
      <c r="X25" s="149"/>
      <c r="Y25" s="149"/>
      <c r="Z25" s="149"/>
      <c r="AA25" s="149"/>
      <c r="AB25" s="149"/>
      <c r="AC25" s="149">
        <v>22</v>
      </c>
      <c r="AD25" s="149"/>
      <c r="AE25" s="149">
        <v>3</v>
      </c>
      <c r="AF25" s="149">
        <v>10</v>
      </c>
      <c r="AG25" s="149">
        <v>10</v>
      </c>
      <c r="AH25" s="149"/>
      <c r="AI25" s="149"/>
      <c r="AJ25" s="149"/>
      <c r="AK25" s="149"/>
      <c r="AL25" s="149"/>
      <c r="AM25" s="163"/>
      <c r="AN25" s="163"/>
      <c r="AO25" s="163"/>
      <c r="AP25" s="163"/>
      <c r="AQ25" s="163"/>
      <c r="AR25" s="163"/>
      <c r="AS25" s="163"/>
      <c r="AT25" s="163"/>
      <c r="AU25" s="163"/>
      <c r="AV25" s="163"/>
      <c r="AW25" s="163"/>
      <c r="AX25" s="163"/>
      <c r="AY25" s="167"/>
      <c r="AZ25" s="167"/>
      <c r="BA25" s="167"/>
      <c r="BB25" s="167"/>
      <c r="BC25" s="167"/>
      <c r="BD25" s="167"/>
      <c r="BE25" s="163"/>
      <c r="BF25" s="165"/>
      <c r="BG25" s="165"/>
    </row>
    <row r="26" spans="1:59" s="17" customFormat="1" ht="15.75" customHeight="1">
      <c r="A26" s="85"/>
      <c r="B26" s="88"/>
      <c r="C26" s="90"/>
      <c r="D26" s="92"/>
      <c r="E26" s="90"/>
      <c r="F26" s="90"/>
      <c r="G26" s="94"/>
      <c r="H26" s="90"/>
      <c r="I26" s="90"/>
      <c r="J26" s="90"/>
      <c r="K26" s="22">
        <f>81+92</f>
        <v>173</v>
      </c>
      <c r="L26" s="18">
        <f>10+10+110</f>
        <v>130</v>
      </c>
      <c r="M26" s="18">
        <f>30</f>
        <v>30</v>
      </c>
      <c r="N26" s="147"/>
      <c r="O26" s="19">
        <f t="shared" si="0"/>
        <v>100</v>
      </c>
      <c r="P26" s="22">
        <f>50</f>
        <v>50</v>
      </c>
      <c r="Q26" s="100"/>
      <c r="R26" s="85"/>
      <c r="S26" s="150"/>
      <c r="T26" s="150"/>
      <c r="U26" s="150"/>
      <c r="V26" s="150"/>
      <c r="W26" s="150"/>
      <c r="X26" s="150"/>
      <c r="Y26" s="150"/>
      <c r="Z26" s="150"/>
      <c r="AA26" s="150"/>
      <c r="AB26" s="150"/>
      <c r="AC26" s="150"/>
      <c r="AD26" s="150"/>
      <c r="AE26" s="150"/>
      <c r="AF26" s="150"/>
      <c r="AG26" s="150"/>
      <c r="AH26" s="150"/>
      <c r="AI26" s="150"/>
      <c r="AJ26" s="150"/>
      <c r="AK26" s="150"/>
      <c r="AL26" s="150"/>
      <c r="AM26" s="164"/>
      <c r="AN26" s="164"/>
      <c r="AO26" s="164"/>
      <c r="AP26" s="164"/>
      <c r="AQ26" s="164"/>
      <c r="AR26" s="164"/>
      <c r="AS26" s="164"/>
      <c r="AT26" s="164"/>
      <c r="AU26" s="164"/>
      <c r="AV26" s="164"/>
      <c r="AW26" s="164"/>
      <c r="AX26" s="164"/>
      <c r="AY26" s="168"/>
      <c r="AZ26" s="168"/>
      <c r="BA26" s="168"/>
      <c r="BB26" s="168"/>
      <c r="BC26" s="168"/>
      <c r="BD26" s="168"/>
      <c r="BE26" s="164"/>
      <c r="BF26" s="166"/>
      <c r="BG26" s="166"/>
    </row>
    <row r="27" spans="1:59" s="17" customFormat="1" ht="15.75" customHeight="1">
      <c r="A27" s="108">
        <v>45264</v>
      </c>
      <c r="B27" s="87" t="s">
        <v>37</v>
      </c>
      <c r="C27" s="89">
        <v>1</v>
      </c>
      <c r="D27" s="91" t="s">
        <v>38</v>
      </c>
      <c r="E27" s="89">
        <v>84426</v>
      </c>
      <c r="F27" s="89" t="s">
        <v>49</v>
      </c>
      <c r="G27" s="93" t="s">
        <v>55</v>
      </c>
      <c r="H27" s="90" t="s">
        <v>58</v>
      </c>
      <c r="I27" s="90">
        <v>549</v>
      </c>
      <c r="J27" s="90">
        <v>549</v>
      </c>
      <c r="K27" s="20">
        <v>0</v>
      </c>
      <c r="L27" s="20">
        <v>0</v>
      </c>
      <c r="M27" s="20">
        <v>0</v>
      </c>
      <c r="N27" s="97">
        <f>O28/L28</f>
        <v>0.81238615664845171</v>
      </c>
      <c r="O27" s="21">
        <f t="shared" si="0"/>
        <v>0</v>
      </c>
      <c r="P27" s="27">
        <v>0</v>
      </c>
      <c r="Q27" s="99">
        <f>+L28-P28</f>
        <v>3</v>
      </c>
      <c r="R27" s="108"/>
      <c r="S27" s="96"/>
      <c r="T27" s="96"/>
      <c r="U27" s="96"/>
      <c r="V27" s="96"/>
      <c r="W27" s="96"/>
      <c r="X27" s="96"/>
      <c r="Y27" s="96"/>
      <c r="Z27" s="96"/>
      <c r="AA27" s="96"/>
      <c r="AB27" s="96"/>
      <c r="AC27" s="96"/>
      <c r="AD27" s="96"/>
      <c r="AE27" s="96"/>
      <c r="AF27" s="96"/>
      <c r="AG27" s="96"/>
      <c r="AH27" s="96"/>
      <c r="AI27" s="96"/>
      <c r="AJ27" s="96"/>
      <c r="AK27" s="96"/>
      <c r="AL27" s="96"/>
      <c r="AM27" s="103"/>
      <c r="AN27" s="103"/>
      <c r="AO27" s="103"/>
      <c r="AP27" s="103"/>
      <c r="AQ27" s="103"/>
      <c r="AR27" s="103"/>
      <c r="AS27" s="103"/>
      <c r="AT27" s="103"/>
      <c r="AU27" s="103"/>
      <c r="AV27" s="103"/>
      <c r="AW27" s="103"/>
      <c r="AX27" s="103"/>
      <c r="AY27" s="106"/>
      <c r="AZ27" s="106"/>
      <c r="BA27" s="106"/>
      <c r="BB27" s="106"/>
      <c r="BC27" s="106"/>
      <c r="BD27" s="106"/>
      <c r="BE27" s="103"/>
      <c r="BF27" s="104"/>
      <c r="BG27" s="104"/>
    </row>
    <row r="28" spans="1:59" s="17" customFormat="1" ht="15.75" customHeight="1">
      <c r="A28" s="85"/>
      <c r="B28" s="88"/>
      <c r="C28" s="90"/>
      <c r="D28" s="92"/>
      <c r="E28" s="90"/>
      <c r="F28" s="90"/>
      <c r="G28" s="94"/>
      <c r="H28" s="95"/>
      <c r="I28" s="95"/>
      <c r="J28" s="95"/>
      <c r="K28" s="22">
        <f>483+66</f>
        <v>549</v>
      </c>
      <c r="L28" s="18">
        <f>483+66</f>
        <v>549</v>
      </c>
      <c r="M28" s="18">
        <f>86+17</f>
        <v>103</v>
      </c>
      <c r="N28" s="98"/>
      <c r="O28" s="19">
        <f t="shared" si="0"/>
        <v>446</v>
      </c>
      <c r="P28" s="22">
        <f>453+80+11+2</f>
        <v>546</v>
      </c>
      <c r="Q28" s="100"/>
      <c r="R28" s="85"/>
      <c r="S28" s="96"/>
      <c r="T28" s="96"/>
      <c r="U28" s="96"/>
      <c r="V28" s="96"/>
      <c r="W28" s="96"/>
      <c r="X28" s="96"/>
      <c r="Y28" s="96"/>
      <c r="Z28" s="96"/>
      <c r="AA28" s="96"/>
      <c r="AB28" s="96"/>
      <c r="AC28" s="96"/>
      <c r="AD28" s="96"/>
      <c r="AE28" s="96"/>
      <c r="AF28" s="96"/>
      <c r="AG28" s="96"/>
      <c r="AH28" s="96"/>
      <c r="AI28" s="96"/>
      <c r="AJ28" s="96"/>
      <c r="AK28" s="96"/>
      <c r="AL28" s="96"/>
      <c r="AM28" s="103"/>
      <c r="AN28" s="103"/>
      <c r="AO28" s="103"/>
      <c r="AP28" s="103"/>
      <c r="AQ28" s="103"/>
      <c r="AR28" s="103"/>
      <c r="AS28" s="103"/>
      <c r="AT28" s="103"/>
      <c r="AU28" s="103"/>
      <c r="AV28" s="103"/>
      <c r="AW28" s="103"/>
      <c r="AX28" s="103"/>
      <c r="AY28" s="107"/>
      <c r="AZ28" s="107"/>
      <c r="BA28" s="107"/>
      <c r="BB28" s="107"/>
      <c r="BC28" s="107"/>
      <c r="BD28" s="107"/>
      <c r="BE28" s="103"/>
      <c r="BF28" s="105"/>
      <c r="BG28" s="105"/>
    </row>
    <row r="29" spans="1:59" s="17" customFormat="1" ht="15.75" customHeight="1">
      <c r="A29" s="108">
        <v>45264</v>
      </c>
      <c r="B29" s="87" t="s">
        <v>37</v>
      </c>
      <c r="C29" s="89">
        <v>1</v>
      </c>
      <c r="D29" s="91" t="s">
        <v>38</v>
      </c>
      <c r="E29" s="89">
        <v>84352</v>
      </c>
      <c r="F29" s="89" t="s">
        <v>49</v>
      </c>
      <c r="G29" s="93" t="s">
        <v>55</v>
      </c>
      <c r="H29" s="109" t="s">
        <v>39</v>
      </c>
      <c r="I29" s="90">
        <v>1050</v>
      </c>
      <c r="J29" s="90">
        <v>1053</v>
      </c>
      <c r="K29" s="20">
        <f>112+125</f>
        <v>237</v>
      </c>
      <c r="L29" s="20">
        <v>235</v>
      </c>
      <c r="M29" s="20">
        <f>25+50</f>
        <v>75</v>
      </c>
      <c r="N29" s="97">
        <f>O30/L30</f>
        <v>0.71698113207547165</v>
      </c>
      <c r="O29" s="21">
        <f t="shared" si="0"/>
        <v>160</v>
      </c>
      <c r="P29" s="27">
        <f>55+50</f>
        <v>105</v>
      </c>
      <c r="Q29" s="99">
        <f>+L30-P30</f>
        <v>160</v>
      </c>
      <c r="R29" s="85"/>
      <c r="S29" s="96">
        <v>2</v>
      </c>
      <c r="T29" s="96"/>
      <c r="U29" s="96">
        <v>16</v>
      </c>
      <c r="V29" s="96"/>
      <c r="W29" s="96"/>
      <c r="X29" s="96">
        <v>2</v>
      </c>
      <c r="Y29" s="96">
        <v>1</v>
      </c>
      <c r="Z29" s="96"/>
      <c r="AA29" s="96"/>
      <c r="AB29" s="96"/>
      <c r="AC29" s="96">
        <v>12</v>
      </c>
      <c r="AD29" s="96"/>
      <c r="AE29" s="96">
        <v>9</v>
      </c>
      <c r="AF29" s="96">
        <v>16</v>
      </c>
      <c r="AG29" s="96">
        <v>7</v>
      </c>
      <c r="AH29" s="96">
        <f>18+4</f>
        <v>22</v>
      </c>
      <c r="AI29" s="96"/>
      <c r="AJ29" s="96"/>
      <c r="AK29" s="96"/>
      <c r="AL29" s="96">
        <v>73</v>
      </c>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5"/>
      <c r="B30" s="88"/>
      <c r="C30" s="90"/>
      <c r="D30" s="92"/>
      <c r="E30" s="90"/>
      <c r="F30" s="90"/>
      <c r="G30" s="94"/>
      <c r="H30" s="95"/>
      <c r="I30" s="95"/>
      <c r="J30" s="95"/>
      <c r="K30" s="22">
        <f>84+24+237</f>
        <v>345</v>
      </c>
      <c r="L30" s="18">
        <f>10+10+10+235</f>
        <v>265</v>
      </c>
      <c r="M30" s="18">
        <f>75</f>
        <v>75</v>
      </c>
      <c r="N30" s="98"/>
      <c r="O30" s="19">
        <f t="shared" si="0"/>
        <v>190</v>
      </c>
      <c r="P30" s="22">
        <f>105</f>
        <v>105</v>
      </c>
      <c r="Q30" s="100"/>
      <c r="R30" s="86"/>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108">
        <v>45264</v>
      </c>
      <c r="B31" s="87" t="s">
        <v>37</v>
      </c>
      <c r="C31" s="89">
        <v>1</v>
      </c>
      <c r="D31" s="91" t="s">
        <v>38</v>
      </c>
      <c r="E31" s="89">
        <v>84031</v>
      </c>
      <c r="F31" s="89" t="s">
        <v>49</v>
      </c>
      <c r="G31" s="93" t="s">
        <v>53</v>
      </c>
      <c r="H31" s="90" t="s">
        <v>57</v>
      </c>
      <c r="I31" s="90">
        <v>563</v>
      </c>
      <c r="J31" s="90">
        <v>563</v>
      </c>
      <c r="K31" s="20">
        <v>0</v>
      </c>
      <c r="L31" s="20">
        <v>0</v>
      </c>
      <c r="M31" s="20">
        <v>0</v>
      </c>
      <c r="N31" s="97">
        <f>O32/L32</f>
        <v>0.85343228200371057</v>
      </c>
      <c r="O31" s="21">
        <f t="shared" si="0"/>
        <v>0</v>
      </c>
      <c r="P31" s="27">
        <v>0</v>
      </c>
      <c r="Q31" s="99">
        <f>+L32-P32</f>
        <v>0</v>
      </c>
      <c r="R31" s="85" t="s">
        <v>68</v>
      </c>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22">
        <f>516+20+3</f>
        <v>539</v>
      </c>
      <c r="L32" s="18">
        <f>516+20+3</f>
        <v>539</v>
      </c>
      <c r="M32" s="18">
        <f>74+2+3</f>
        <v>79</v>
      </c>
      <c r="N32" s="98"/>
      <c r="O32" s="19">
        <f t="shared" si="0"/>
        <v>460</v>
      </c>
      <c r="P32" s="22">
        <f>516+20+3</f>
        <v>539</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45264</v>
      </c>
      <c r="B33" s="87" t="s">
        <v>37</v>
      </c>
      <c r="C33" s="89">
        <v>1</v>
      </c>
      <c r="D33" s="91" t="s">
        <v>38</v>
      </c>
      <c r="E33" s="89">
        <v>84031</v>
      </c>
      <c r="F33" s="89" t="s">
        <v>49</v>
      </c>
      <c r="G33" s="93" t="s">
        <v>53</v>
      </c>
      <c r="H33" s="90" t="s">
        <v>39</v>
      </c>
      <c r="I33" s="90">
        <v>623</v>
      </c>
      <c r="J33" s="90">
        <v>623</v>
      </c>
      <c r="K33" s="20">
        <v>0</v>
      </c>
      <c r="L33" s="20">
        <v>0</v>
      </c>
      <c r="M33" s="20">
        <v>0</v>
      </c>
      <c r="N33" s="97">
        <f>O34/L34</f>
        <v>0.79710144927536231</v>
      </c>
      <c r="O33" s="21">
        <f t="shared" si="0"/>
        <v>0</v>
      </c>
      <c r="P33" s="27">
        <v>0</v>
      </c>
      <c r="Q33" s="99">
        <f>+L34-P34</f>
        <v>0</v>
      </c>
      <c r="R33" s="85" t="s">
        <v>68</v>
      </c>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22">
        <f>574+9+30+5+3</f>
        <v>621</v>
      </c>
      <c r="L34" s="18">
        <f>574+9+30+5+3</f>
        <v>621</v>
      </c>
      <c r="M34" s="18">
        <f>109+9+5+3</f>
        <v>126</v>
      </c>
      <c r="N34" s="98"/>
      <c r="O34" s="19">
        <f t="shared" si="0"/>
        <v>495</v>
      </c>
      <c r="P34" s="22">
        <f>574+9+30+5+3</f>
        <v>621</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45264</v>
      </c>
      <c r="B35" s="87" t="s">
        <v>37</v>
      </c>
      <c r="C35" s="89">
        <v>1</v>
      </c>
      <c r="D35" s="91" t="s">
        <v>38</v>
      </c>
      <c r="E35" s="89">
        <v>61363</v>
      </c>
      <c r="F35" s="89" t="s">
        <v>49</v>
      </c>
      <c r="G35" s="93" t="s">
        <v>55</v>
      </c>
      <c r="H35" s="90" t="s">
        <v>60</v>
      </c>
      <c r="I35" s="90">
        <v>590</v>
      </c>
      <c r="J35" s="90">
        <v>590</v>
      </c>
      <c r="K35" s="20">
        <v>0</v>
      </c>
      <c r="L35" s="20">
        <v>0</v>
      </c>
      <c r="M35" s="20">
        <v>0</v>
      </c>
      <c r="N35" s="97">
        <f>O36/L36</f>
        <v>0.6767676767676768</v>
      </c>
      <c r="O35" s="21">
        <f t="shared" si="0"/>
        <v>0</v>
      </c>
      <c r="P35" s="27">
        <v>56</v>
      </c>
      <c r="Q35" s="99">
        <f>+L36-P36</f>
        <v>0</v>
      </c>
      <c r="R35" s="85"/>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131+82+189+117+75</f>
        <v>594</v>
      </c>
      <c r="L36" s="18">
        <f>131+82+149+98+134</f>
        <v>594</v>
      </c>
      <c r="M36" s="18">
        <f>41+20+59+28+44</f>
        <v>192</v>
      </c>
      <c r="N36" s="98"/>
      <c r="O36" s="19">
        <f t="shared" si="0"/>
        <v>402</v>
      </c>
      <c r="P36" s="22">
        <f>41+110+192+19+28+148+56</f>
        <v>594</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85">
        <v>45264</v>
      </c>
      <c r="B37" s="87" t="s">
        <v>37</v>
      </c>
      <c r="C37" s="89">
        <v>1</v>
      </c>
      <c r="D37" s="91" t="s">
        <v>38</v>
      </c>
      <c r="E37" s="89">
        <v>20785</v>
      </c>
      <c r="F37" s="89" t="s">
        <v>72</v>
      </c>
      <c r="G37" s="93" t="s">
        <v>71</v>
      </c>
      <c r="H37" s="90" t="s">
        <v>70</v>
      </c>
      <c r="I37" s="90">
        <v>1475</v>
      </c>
      <c r="J37" s="90">
        <v>1475</v>
      </c>
      <c r="K37" s="20">
        <v>26</v>
      </c>
      <c r="L37" s="20">
        <v>26</v>
      </c>
      <c r="M37" s="20">
        <v>0</v>
      </c>
      <c r="N37" s="97">
        <f>O38/L38</f>
        <v>1</v>
      </c>
      <c r="O37" s="21">
        <f t="shared" si="0"/>
        <v>26</v>
      </c>
      <c r="P37" s="27">
        <v>0</v>
      </c>
      <c r="Q37" s="99">
        <f>+L38-P38</f>
        <v>26</v>
      </c>
      <c r="R37" s="110"/>
      <c r="S37" s="96"/>
      <c r="T37" s="96"/>
      <c r="U37" s="96"/>
      <c r="V37" s="96"/>
      <c r="W37" s="96"/>
      <c r="X37" s="96">
        <v>1</v>
      </c>
      <c r="Y37" s="96"/>
      <c r="Z37" s="96"/>
      <c r="AA37" s="96"/>
      <c r="AB37" s="96"/>
      <c r="AC37" s="96">
        <v>5</v>
      </c>
      <c r="AD37" s="96"/>
      <c r="AE37" s="96"/>
      <c r="AF37" s="96">
        <v>5</v>
      </c>
      <c r="AG37" s="96">
        <v>4</v>
      </c>
      <c r="AH37" s="96">
        <v>3</v>
      </c>
      <c r="AI37" s="96"/>
      <c r="AJ37" s="96"/>
      <c r="AK37" s="96"/>
      <c r="AL37" s="96">
        <v>8</v>
      </c>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6"/>
      <c r="B38" s="88"/>
      <c r="C38" s="90"/>
      <c r="D38" s="92"/>
      <c r="E38" s="90"/>
      <c r="F38" s="90"/>
      <c r="G38" s="94"/>
      <c r="H38" s="95"/>
      <c r="I38" s="95"/>
      <c r="J38" s="95"/>
      <c r="K38" s="22">
        <f>26</f>
        <v>26</v>
      </c>
      <c r="L38" s="18">
        <f>26</f>
        <v>26</v>
      </c>
      <c r="M38" s="18">
        <v>0</v>
      </c>
      <c r="N38" s="98"/>
      <c r="O38" s="19">
        <f t="shared" si="0"/>
        <v>26</v>
      </c>
      <c r="P38" s="22">
        <v>0</v>
      </c>
      <c r="Q38" s="100"/>
      <c r="R38" s="102"/>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45264</v>
      </c>
      <c r="B39" s="87" t="s">
        <v>37</v>
      </c>
      <c r="C39" s="89">
        <v>1</v>
      </c>
      <c r="D39" s="91" t="s">
        <v>38</v>
      </c>
      <c r="E39" s="89">
        <v>61363</v>
      </c>
      <c r="F39" s="89" t="s">
        <v>49</v>
      </c>
      <c r="G39" s="93" t="s">
        <v>55</v>
      </c>
      <c r="H39" s="90" t="s">
        <v>66</v>
      </c>
      <c r="I39" s="90">
        <v>590</v>
      </c>
      <c r="J39" s="90">
        <v>590</v>
      </c>
      <c r="K39" s="20">
        <v>29</v>
      </c>
      <c r="L39" s="20">
        <v>352</v>
      </c>
      <c r="M39" s="20">
        <v>152</v>
      </c>
      <c r="N39" s="97">
        <f>O40/L40</f>
        <v>0.604982206405694</v>
      </c>
      <c r="O39" s="21">
        <f t="shared" si="0"/>
        <v>200</v>
      </c>
      <c r="P39" s="27">
        <v>304</v>
      </c>
      <c r="Q39" s="99">
        <f>+L40-P40</f>
        <v>128</v>
      </c>
      <c r="R39" s="85"/>
      <c r="S39" s="96"/>
      <c r="T39" s="96">
        <v>120</v>
      </c>
      <c r="U39" s="96"/>
      <c r="V39" s="96"/>
      <c r="W39" s="96"/>
      <c r="X39" s="96"/>
      <c r="Y39" s="96"/>
      <c r="Z39" s="96"/>
      <c r="AA39" s="96"/>
      <c r="AB39" s="96"/>
      <c r="AC39" s="96">
        <f>17+20</f>
        <v>37</v>
      </c>
      <c r="AD39" s="96"/>
      <c r="AE39" s="96"/>
      <c r="AF39" s="96"/>
      <c r="AG39" s="96"/>
      <c r="AH39" s="96">
        <v>5</v>
      </c>
      <c r="AI39" s="96"/>
      <c r="AJ39" s="96"/>
      <c r="AK39" s="96"/>
      <c r="AL39" s="96">
        <v>38</v>
      </c>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563+29</f>
        <v>592</v>
      </c>
      <c r="L40" s="18">
        <f>210+352</f>
        <v>562</v>
      </c>
      <c r="M40" s="18">
        <f>70+152</f>
        <v>222</v>
      </c>
      <c r="N40" s="98"/>
      <c r="O40" s="19">
        <f t="shared" si="0"/>
        <v>340</v>
      </c>
      <c r="P40" s="22">
        <f>130+304</f>
        <v>434</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ht="24.75" customHeight="1">
      <c r="A41" s="111" t="s">
        <v>15</v>
      </c>
      <c r="B41" s="112"/>
      <c r="C41" s="112"/>
      <c r="D41" s="112"/>
      <c r="E41" s="112"/>
      <c r="F41" s="112"/>
      <c r="G41" s="112"/>
      <c r="H41" s="112"/>
      <c r="I41" s="113"/>
      <c r="J41" s="5">
        <f>SUM(J5:J40)</f>
        <v>19933</v>
      </c>
      <c r="K41" s="5">
        <f>+SUMPRODUCT(((MOD(ROW(K5:K40),2)=1)*(K5:K40)))</f>
        <v>889</v>
      </c>
      <c r="L41" s="5">
        <f>+SUMPRODUCT(((MOD(ROW(L5:L40),2)=1)*(L5:L40)))</f>
        <v>2240</v>
      </c>
      <c r="M41" s="5">
        <f>+SUMPRODUCT(((MOD(ROW(M5:M40),2)=1)*(M5:M40)))</f>
        <v>778</v>
      </c>
      <c r="N41" s="23">
        <f>O41/L41</f>
        <v>0.65267857142857144</v>
      </c>
      <c r="O41" s="5">
        <f>+SUMPRODUCT(((MOD(ROW(O5:O40),2)=1)*(O5:O40)))</f>
        <v>1462</v>
      </c>
      <c r="P41" s="5">
        <f>+SUMPRODUCT(((MOD(ROW(P5:P40),2)=1)*(P5:P40)))</f>
        <v>1807</v>
      </c>
      <c r="Q41" s="5">
        <f>+SUMPRODUCT(((MOD(ROW(Q5:Q40),2)=1)*(Q5:Q40)))</f>
        <v>1914</v>
      </c>
      <c r="R41" s="29"/>
      <c r="S41" s="5">
        <f t="shared" ref="S41:BG41" si="1">SUM(S5:S40)</f>
        <v>12</v>
      </c>
      <c r="T41" s="5">
        <f t="shared" si="1"/>
        <v>492</v>
      </c>
      <c r="U41" s="5">
        <f t="shared" si="1"/>
        <v>127</v>
      </c>
      <c r="V41" s="5">
        <f t="shared" si="1"/>
        <v>9</v>
      </c>
      <c r="W41" s="5">
        <f t="shared" si="1"/>
        <v>0</v>
      </c>
      <c r="X41" s="5">
        <f t="shared" si="1"/>
        <v>6</v>
      </c>
      <c r="Y41" s="5">
        <f t="shared" si="1"/>
        <v>2</v>
      </c>
      <c r="Z41" s="5">
        <f t="shared" si="1"/>
        <v>0</v>
      </c>
      <c r="AA41" s="5">
        <f t="shared" si="1"/>
        <v>0</v>
      </c>
      <c r="AB41" s="5">
        <f t="shared" si="1"/>
        <v>0</v>
      </c>
      <c r="AC41" s="5">
        <f t="shared" si="1"/>
        <v>208</v>
      </c>
      <c r="AD41" s="5">
        <f t="shared" si="1"/>
        <v>5</v>
      </c>
      <c r="AE41" s="5">
        <f t="shared" si="1"/>
        <v>36</v>
      </c>
      <c r="AF41" s="5">
        <f t="shared" si="1"/>
        <v>60</v>
      </c>
      <c r="AG41" s="5">
        <f t="shared" si="1"/>
        <v>98</v>
      </c>
      <c r="AH41" s="5">
        <f t="shared" si="1"/>
        <v>181</v>
      </c>
      <c r="AI41" s="5">
        <f t="shared" si="1"/>
        <v>0</v>
      </c>
      <c r="AJ41" s="5">
        <f t="shared" si="1"/>
        <v>21</v>
      </c>
      <c r="AK41" s="5">
        <f t="shared" si="1"/>
        <v>0</v>
      </c>
      <c r="AL41" s="5">
        <f t="shared" si="1"/>
        <v>205</v>
      </c>
      <c r="AM41" s="5">
        <f t="shared" si="1"/>
        <v>0</v>
      </c>
      <c r="AN41" s="5">
        <f t="shared" si="1"/>
        <v>0</v>
      </c>
      <c r="AO41" s="5">
        <f t="shared" si="1"/>
        <v>0</v>
      </c>
      <c r="AP41" s="5">
        <f t="shared" si="1"/>
        <v>0</v>
      </c>
      <c r="AQ41" s="5">
        <f t="shared" si="1"/>
        <v>0</v>
      </c>
      <c r="AR41" s="5">
        <f t="shared" si="1"/>
        <v>0</v>
      </c>
      <c r="AS41" s="5">
        <f t="shared" si="1"/>
        <v>0</v>
      </c>
      <c r="AT41" s="5">
        <f t="shared" si="1"/>
        <v>0</v>
      </c>
      <c r="AU41" s="5">
        <f t="shared" si="1"/>
        <v>0</v>
      </c>
      <c r="AV41" s="5">
        <f t="shared" si="1"/>
        <v>0</v>
      </c>
      <c r="AW41" s="5">
        <f t="shared" si="1"/>
        <v>0</v>
      </c>
      <c r="AX41" s="5">
        <f t="shared" si="1"/>
        <v>0</v>
      </c>
      <c r="AY41" s="5">
        <f t="shared" si="1"/>
        <v>0</v>
      </c>
      <c r="AZ41" s="5">
        <f t="shared" si="1"/>
        <v>0</v>
      </c>
      <c r="BA41" s="5">
        <f t="shared" si="1"/>
        <v>0</v>
      </c>
      <c r="BB41" s="5">
        <f t="shared" si="1"/>
        <v>0</v>
      </c>
      <c r="BC41" s="5">
        <f t="shared" si="1"/>
        <v>0</v>
      </c>
      <c r="BD41" s="5">
        <f t="shared" si="1"/>
        <v>0</v>
      </c>
      <c r="BE41" s="5">
        <f t="shared" si="1"/>
        <v>0</v>
      </c>
      <c r="BF41" s="5">
        <f t="shared" si="1"/>
        <v>0</v>
      </c>
      <c r="BG41" s="5">
        <f t="shared" si="1"/>
        <v>0</v>
      </c>
    </row>
    <row r="42" spans="1:59" s="17" customFormat="1" ht="15.75" hidden="1" customHeight="1">
      <c r="A42" s="85"/>
      <c r="B42" s="87"/>
      <c r="C42" s="89"/>
      <c r="D42" s="91"/>
      <c r="E42" s="89"/>
      <c r="F42" s="89"/>
      <c r="G42" s="93"/>
      <c r="H42" s="90"/>
      <c r="I42" s="90"/>
      <c r="J42" s="90"/>
      <c r="K42" s="20"/>
      <c r="L42" s="20"/>
      <c r="M42" s="20"/>
      <c r="N42" s="97" t="e">
        <f>O43/L43</f>
        <v>#DIV/0!</v>
      </c>
      <c r="O42" s="21">
        <f>+L42-M42</f>
        <v>0</v>
      </c>
      <c r="P42" s="27">
        <v>0</v>
      </c>
      <c r="Q42" s="99">
        <f>+L43-P43</f>
        <v>0</v>
      </c>
      <c r="R42" s="169"/>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6"/>
      <c r="AZ42" s="106"/>
      <c r="BA42" s="106"/>
      <c r="BB42" s="106"/>
      <c r="BC42" s="106"/>
      <c r="BD42" s="106"/>
      <c r="BE42" s="103"/>
      <c r="BF42" s="104"/>
      <c r="BG42" s="104"/>
    </row>
    <row r="43" spans="1:59" s="17" customFormat="1" ht="15.75" hidden="1" customHeight="1">
      <c r="A43" s="86"/>
      <c r="B43" s="88"/>
      <c r="C43" s="90"/>
      <c r="D43" s="92"/>
      <c r="E43" s="90"/>
      <c r="F43" s="90"/>
      <c r="G43" s="94"/>
      <c r="H43" s="95"/>
      <c r="I43" s="95"/>
      <c r="J43" s="95"/>
      <c r="K43" s="22"/>
      <c r="L43" s="18"/>
      <c r="M43" s="18"/>
      <c r="N43" s="98"/>
      <c r="O43" s="19">
        <f>+L43-M43</f>
        <v>0</v>
      </c>
      <c r="P43" s="22">
        <v>0</v>
      </c>
      <c r="Q43" s="100"/>
      <c r="R43" s="86"/>
      <c r="S43" s="96"/>
      <c r="T43" s="96"/>
      <c r="U43" s="96"/>
      <c r="V43" s="96"/>
      <c r="W43" s="96"/>
      <c r="X43" s="96"/>
      <c r="Y43" s="96"/>
      <c r="Z43" s="96"/>
      <c r="AA43" s="96"/>
      <c r="AB43" s="96"/>
      <c r="AC43" s="96"/>
      <c r="AD43" s="96"/>
      <c r="AE43" s="96"/>
      <c r="AF43" s="96"/>
      <c r="AG43" s="96"/>
      <c r="AH43" s="96"/>
      <c r="AI43" s="96"/>
      <c r="AJ43" s="96"/>
      <c r="AK43" s="96"/>
      <c r="AL43" s="96"/>
      <c r="AM43" s="103"/>
      <c r="AN43" s="103"/>
      <c r="AO43" s="103"/>
      <c r="AP43" s="103"/>
      <c r="AQ43" s="103"/>
      <c r="AR43" s="103"/>
      <c r="AS43" s="103"/>
      <c r="AT43" s="103"/>
      <c r="AU43" s="103"/>
      <c r="AV43" s="103"/>
      <c r="AW43" s="103"/>
      <c r="AX43" s="103"/>
      <c r="AY43" s="107"/>
      <c r="AZ43" s="107"/>
      <c r="BA43" s="107"/>
      <c r="BB43" s="107"/>
      <c r="BC43" s="107"/>
      <c r="BD43" s="107"/>
      <c r="BE43" s="103"/>
      <c r="BF43" s="105"/>
      <c r="BG43" s="105"/>
    </row>
    <row r="44" spans="1:59" s="17" customFormat="1" ht="15.75" hidden="1" customHeight="1">
      <c r="A44" s="101"/>
      <c r="B44" s="114"/>
      <c r="C44" s="116"/>
      <c r="D44" s="118"/>
      <c r="E44" s="116"/>
      <c r="F44" s="116"/>
      <c r="G44" s="120"/>
      <c r="H44" s="90"/>
      <c r="I44" s="90"/>
      <c r="J44" s="90"/>
      <c r="K44" s="20"/>
      <c r="L44" s="20"/>
      <c r="M44" s="20"/>
      <c r="N44" s="97"/>
      <c r="O44" s="21"/>
      <c r="P44" s="27"/>
      <c r="Q44" s="99"/>
      <c r="R44" s="110"/>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6"/>
      <c r="AZ44" s="106"/>
      <c r="BA44" s="106"/>
      <c r="BB44" s="106"/>
      <c r="BC44" s="106"/>
      <c r="BD44" s="106"/>
      <c r="BE44" s="103"/>
      <c r="BF44" s="104"/>
      <c r="BG44" s="104"/>
    </row>
    <row r="45" spans="1:59" s="17" customFormat="1" ht="15.75" hidden="1" customHeight="1">
      <c r="A45" s="102"/>
      <c r="B45" s="115"/>
      <c r="C45" s="117"/>
      <c r="D45" s="119"/>
      <c r="E45" s="117"/>
      <c r="F45" s="117"/>
      <c r="G45" s="121"/>
      <c r="H45" s="95"/>
      <c r="I45" s="95"/>
      <c r="J45" s="95"/>
      <c r="K45" s="22"/>
      <c r="L45" s="18"/>
      <c r="M45" s="18"/>
      <c r="N45" s="98"/>
      <c r="O45" s="19"/>
      <c r="P45" s="22"/>
      <c r="Q45" s="100"/>
      <c r="R45" s="102"/>
      <c r="S45" s="96"/>
      <c r="T45" s="96"/>
      <c r="U45" s="96"/>
      <c r="V45" s="96"/>
      <c r="W45" s="96"/>
      <c r="X45" s="96"/>
      <c r="Y45" s="96"/>
      <c r="Z45" s="96"/>
      <c r="AA45" s="96"/>
      <c r="AB45" s="96"/>
      <c r="AC45" s="96"/>
      <c r="AD45" s="96"/>
      <c r="AE45" s="96"/>
      <c r="AF45" s="96"/>
      <c r="AG45" s="96"/>
      <c r="AH45" s="96"/>
      <c r="AI45" s="96"/>
      <c r="AJ45" s="96"/>
      <c r="AK45" s="96"/>
      <c r="AL45" s="96"/>
      <c r="AM45" s="103"/>
      <c r="AN45" s="103"/>
      <c r="AO45" s="103"/>
      <c r="AP45" s="103"/>
      <c r="AQ45" s="103"/>
      <c r="AR45" s="103"/>
      <c r="AS45" s="103"/>
      <c r="AT45" s="103"/>
      <c r="AU45" s="103"/>
      <c r="AV45" s="103"/>
      <c r="AW45" s="103"/>
      <c r="AX45" s="103"/>
      <c r="AY45" s="107"/>
      <c r="AZ45" s="107"/>
      <c r="BA45" s="107"/>
      <c r="BB45" s="107"/>
      <c r="BC45" s="107"/>
      <c r="BD45" s="107"/>
      <c r="BE45" s="103"/>
      <c r="BF45" s="105"/>
      <c r="BG45" s="105"/>
    </row>
    <row r="46" spans="1:59" s="17" customFormat="1" ht="15.75" hidden="1" customHeight="1">
      <c r="A46" s="101"/>
      <c r="B46" s="114"/>
      <c r="C46" s="116"/>
      <c r="D46" s="118"/>
      <c r="E46" s="116"/>
      <c r="F46" s="116"/>
      <c r="G46" s="120"/>
      <c r="H46" s="90"/>
      <c r="I46" s="90"/>
      <c r="J46" s="90"/>
      <c r="K46" s="20"/>
      <c r="L46" s="20"/>
      <c r="M46" s="20"/>
      <c r="N46" s="97"/>
      <c r="O46" s="21"/>
      <c r="P46" s="27"/>
      <c r="Q46" s="99"/>
      <c r="R46" s="110"/>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6"/>
      <c r="AZ46" s="106"/>
      <c r="BA46" s="106"/>
      <c r="BB46" s="106"/>
      <c r="BC46" s="106"/>
      <c r="BD46" s="106"/>
      <c r="BE46" s="103"/>
      <c r="BF46" s="104"/>
      <c r="BG46" s="104"/>
    </row>
    <row r="47" spans="1:59" s="17" customFormat="1" ht="15.75" hidden="1" customHeight="1">
      <c r="A47" s="102"/>
      <c r="B47" s="115"/>
      <c r="C47" s="117"/>
      <c r="D47" s="119"/>
      <c r="E47" s="117"/>
      <c r="F47" s="117"/>
      <c r="G47" s="121"/>
      <c r="H47" s="95"/>
      <c r="I47" s="95"/>
      <c r="J47" s="95"/>
      <c r="K47" s="22"/>
      <c r="L47" s="18"/>
      <c r="M47" s="18"/>
      <c r="N47" s="98"/>
      <c r="O47" s="19"/>
      <c r="P47" s="22"/>
      <c r="Q47" s="100"/>
      <c r="R47" s="102"/>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7"/>
      <c r="AZ47" s="107"/>
      <c r="BA47" s="107"/>
      <c r="BB47" s="107"/>
      <c r="BC47" s="107"/>
      <c r="BD47" s="107"/>
      <c r="BE47" s="103"/>
      <c r="BF47" s="105"/>
      <c r="BG47" s="105"/>
    </row>
    <row r="48" spans="1:59" ht="24.75" hidden="1" customHeight="1">
      <c r="A48" s="111" t="s">
        <v>48</v>
      </c>
      <c r="B48" s="112"/>
      <c r="C48" s="112"/>
      <c r="D48" s="112"/>
      <c r="E48" s="112"/>
      <c r="F48" s="112"/>
      <c r="G48" s="112"/>
      <c r="H48" s="112"/>
      <c r="I48" s="113"/>
      <c r="J48" s="5">
        <f>SUM(J42:J47)</f>
        <v>0</v>
      </c>
      <c r="K48" s="5">
        <f>+SUMPRODUCT(((MOD(ROW(K42:K47),2)=0)*(K42:K47)))</f>
        <v>0</v>
      </c>
      <c r="L48" s="5">
        <f>+SUMPRODUCT(((MOD(ROW(L42:L47),2)=0)*(L42:L47)))</f>
        <v>0</v>
      </c>
      <c r="M48" s="5">
        <f>+SUMPRODUCT(((MOD(ROW(M42:M47),2)=0)*(M42:M47)))</f>
        <v>0</v>
      </c>
      <c r="N48" s="23" t="e">
        <f>O48/L48</f>
        <v>#DIV/0!</v>
      </c>
      <c r="O48" s="5">
        <f>+SUMPRODUCT(((MOD(ROW(O42:O47),2)=0)*(O42:O47)))</f>
        <v>0</v>
      </c>
      <c r="P48" s="5">
        <f>+SUMPRODUCT(((MOD(ROW(P42:P47),2)=0)*(P42:P47)))</f>
        <v>0</v>
      </c>
      <c r="Q48" s="29">
        <f>SUM(Q42:Q47)</f>
        <v>0</v>
      </c>
      <c r="R48" s="29"/>
      <c r="S48" s="5">
        <f t="shared" ref="S48:BG48" si="2">SUM(S42:S47)</f>
        <v>0</v>
      </c>
      <c r="T48" s="5">
        <f t="shared" si="2"/>
        <v>0</v>
      </c>
      <c r="U48" s="5">
        <f t="shared" si="2"/>
        <v>0</v>
      </c>
      <c r="V48" s="5">
        <f t="shared" si="2"/>
        <v>0</v>
      </c>
      <c r="W48" s="5">
        <f t="shared" si="2"/>
        <v>0</v>
      </c>
      <c r="X48" s="5">
        <f t="shared" si="2"/>
        <v>0</v>
      </c>
      <c r="Y48" s="5">
        <f t="shared" si="2"/>
        <v>0</v>
      </c>
      <c r="Z48" s="5">
        <f t="shared" si="2"/>
        <v>0</v>
      </c>
      <c r="AA48" s="5">
        <f t="shared" si="2"/>
        <v>0</v>
      </c>
      <c r="AB48" s="5">
        <f t="shared" si="2"/>
        <v>0</v>
      </c>
      <c r="AC48" s="5">
        <f t="shared" si="2"/>
        <v>0</v>
      </c>
      <c r="AD48" s="5">
        <f t="shared" si="2"/>
        <v>0</v>
      </c>
      <c r="AE48" s="5">
        <f t="shared" si="2"/>
        <v>0</v>
      </c>
      <c r="AF48" s="5">
        <f t="shared" si="2"/>
        <v>0</v>
      </c>
      <c r="AG48" s="5">
        <f t="shared" si="2"/>
        <v>0</v>
      </c>
      <c r="AH48" s="5">
        <f t="shared" si="2"/>
        <v>0</v>
      </c>
      <c r="AI48" s="5">
        <f t="shared" si="2"/>
        <v>0</v>
      </c>
      <c r="AJ48" s="5">
        <f t="shared" si="2"/>
        <v>0</v>
      </c>
      <c r="AK48" s="5">
        <f t="shared" si="2"/>
        <v>0</v>
      </c>
      <c r="AL48" s="5">
        <f t="shared" si="2"/>
        <v>0</v>
      </c>
      <c r="AM48" s="5">
        <f t="shared" si="2"/>
        <v>0</v>
      </c>
      <c r="AN48" s="5">
        <f t="shared" si="2"/>
        <v>0</v>
      </c>
      <c r="AO48" s="5">
        <f t="shared" si="2"/>
        <v>0</v>
      </c>
      <c r="AP48" s="5">
        <f t="shared" si="2"/>
        <v>0</v>
      </c>
      <c r="AQ48" s="5">
        <f t="shared" si="2"/>
        <v>0</v>
      </c>
      <c r="AR48" s="5">
        <f t="shared" si="2"/>
        <v>0</v>
      </c>
      <c r="AS48" s="5">
        <f t="shared" si="2"/>
        <v>0</v>
      </c>
      <c r="AT48" s="5">
        <f t="shared" si="2"/>
        <v>0</v>
      </c>
      <c r="AU48" s="5">
        <f t="shared" si="2"/>
        <v>0</v>
      </c>
      <c r="AV48" s="5">
        <f t="shared" si="2"/>
        <v>0</v>
      </c>
      <c r="AW48" s="5">
        <f t="shared" si="2"/>
        <v>0</v>
      </c>
      <c r="AX48" s="5">
        <f t="shared" si="2"/>
        <v>0</v>
      </c>
      <c r="AY48" s="5">
        <f t="shared" si="2"/>
        <v>0</v>
      </c>
      <c r="AZ48" s="5">
        <f t="shared" si="2"/>
        <v>0</v>
      </c>
      <c r="BA48" s="5">
        <f t="shared" si="2"/>
        <v>0</v>
      </c>
      <c r="BB48" s="5">
        <f t="shared" si="2"/>
        <v>0</v>
      </c>
      <c r="BC48" s="5">
        <f t="shared" si="2"/>
        <v>0</v>
      </c>
      <c r="BD48" s="5">
        <f t="shared" si="2"/>
        <v>0</v>
      </c>
      <c r="BE48" s="5">
        <f t="shared" si="2"/>
        <v>0</v>
      </c>
      <c r="BF48" s="5">
        <f t="shared" si="2"/>
        <v>0</v>
      </c>
      <c r="BG48" s="5">
        <f t="shared" si="2"/>
        <v>0</v>
      </c>
    </row>
    <row r="49" spans="1:59" ht="24.75" customHeight="1">
      <c r="A49" s="122" t="s">
        <v>5</v>
      </c>
      <c r="B49" s="122"/>
      <c r="C49" s="122"/>
      <c r="D49" s="122"/>
      <c r="E49" s="122"/>
      <c r="F49" s="122"/>
      <c r="G49" s="122"/>
      <c r="H49" s="122"/>
      <c r="I49" s="122"/>
      <c r="J49" s="30">
        <f t="shared" ref="J49:Q49" si="3">J41</f>
        <v>19933</v>
      </c>
      <c r="K49" s="30">
        <f t="shared" si="3"/>
        <v>889</v>
      </c>
      <c r="L49" s="30">
        <f t="shared" si="3"/>
        <v>2240</v>
      </c>
      <c r="M49" s="30">
        <f t="shared" si="3"/>
        <v>778</v>
      </c>
      <c r="N49" s="32">
        <f t="shared" si="3"/>
        <v>0.65267857142857144</v>
      </c>
      <c r="O49" s="30">
        <f t="shared" si="3"/>
        <v>1462</v>
      </c>
      <c r="P49" s="30">
        <f t="shared" si="3"/>
        <v>1807</v>
      </c>
      <c r="Q49" s="30">
        <f t="shared" si="3"/>
        <v>1914</v>
      </c>
      <c r="R49" s="39"/>
      <c r="S49" s="30">
        <f t="shared" ref="S49:BG49" si="4">S41</f>
        <v>12</v>
      </c>
      <c r="T49" s="30">
        <f t="shared" si="4"/>
        <v>492</v>
      </c>
      <c r="U49" s="30">
        <f t="shared" si="4"/>
        <v>127</v>
      </c>
      <c r="V49" s="30">
        <f t="shared" si="4"/>
        <v>9</v>
      </c>
      <c r="W49" s="30">
        <f t="shared" si="4"/>
        <v>0</v>
      </c>
      <c r="X49" s="30">
        <f t="shared" si="4"/>
        <v>6</v>
      </c>
      <c r="Y49" s="30">
        <f t="shared" si="4"/>
        <v>2</v>
      </c>
      <c r="Z49" s="30">
        <f t="shared" si="4"/>
        <v>0</v>
      </c>
      <c r="AA49" s="30">
        <f t="shared" si="4"/>
        <v>0</v>
      </c>
      <c r="AB49" s="30">
        <f t="shared" si="4"/>
        <v>0</v>
      </c>
      <c r="AC49" s="30">
        <f t="shared" si="4"/>
        <v>208</v>
      </c>
      <c r="AD49" s="30">
        <f t="shared" si="4"/>
        <v>5</v>
      </c>
      <c r="AE49" s="30">
        <f t="shared" si="4"/>
        <v>36</v>
      </c>
      <c r="AF49" s="30">
        <f t="shared" si="4"/>
        <v>60</v>
      </c>
      <c r="AG49" s="30">
        <f t="shared" si="4"/>
        <v>98</v>
      </c>
      <c r="AH49" s="30">
        <f t="shared" si="4"/>
        <v>181</v>
      </c>
      <c r="AI49" s="30">
        <f t="shared" si="4"/>
        <v>0</v>
      </c>
      <c r="AJ49" s="30">
        <f t="shared" si="4"/>
        <v>21</v>
      </c>
      <c r="AK49" s="30">
        <f t="shared" si="4"/>
        <v>0</v>
      </c>
      <c r="AL49" s="30">
        <f t="shared" si="4"/>
        <v>205</v>
      </c>
      <c r="AM49" s="30">
        <f t="shared" si="4"/>
        <v>0</v>
      </c>
      <c r="AN49" s="30">
        <f t="shared" si="4"/>
        <v>0</v>
      </c>
      <c r="AO49" s="30">
        <f t="shared" si="4"/>
        <v>0</v>
      </c>
      <c r="AP49" s="30">
        <f t="shared" si="4"/>
        <v>0</v>
      </c>
      <c r="AQ49" s="30">
        <f t="shared" si="4"/>
        <v>0</v>
      </c>
      <c r="AR49" s="30">
        <f t="shared" si="4"/>
        <v>0</v>
      </c>
      <c r="AS49" s="30">
        <f t="shared" si="4"/>
        <v>0</v>
      </c>
      <c r="AT49" s="30">
        <f t="shared" si="4"/>
        <v>0</v>
      </c>
      <c r="AU49" s="30">
        <f t="shared" si="4"/>
        <v>0</v>
      </c>
      <c r="AV49" s="30">
        <f t="shared" si="4"/>
        <v>0</v>
      </c>
      <c r="AW49" s="30">
        <f t="shared" si="4"/>
        <v>0</v>
      </c>
      <c r="AX49" s="30">
        <f t="shared" si="4"/>
        <v>0</v>
      </c>
      <c r="AY49" s="30">
        <f t="shared" si="4"/>
        <v>0</v>
      </c>
      <c r="AZ49" s="30">
        <f t="shared" si="4"/>
        <v>0</v>
      </c>
      <c r="BA49" s="30">
        <f t="shared" si="4"/>
        <v>0</v>
      </c>
      <c r="BB49" s="30">
        <f t="shared" si="4"/>
        <v>0</v>
      </c>
      <c r="BC49" s="30">
        <f t="shared" si="4"/>
        <v>0</v>
      </c>
      <c r="BD49" s="30">
        <f t="shared" si="4"/>
        <v>0</v>
      </c>
      <c r="BE49" s="30">
        <f t="shared" si="4"/>
        <v>0</v>
      </c>
      <c r="BF49" s="30">
        <f t="shared" si="4"/>
        <v>0</v>
      </c>
      <c r="BG49" s="30">
        <f t="shared" si="4"/>
        <v>0</v>
      </c>
    </row>
    <row r="50" spans="1:59" ht="31.8">
      <c r="A50" s="81" t="s">
        <v>36</v>
      </c>
      <c r="B50" s="81"/>
      <c r="C50" s="81"/>
      <c r="D50" s="81"/>
      <c r="E50" s="81"/>
      <c r="F50" s="81"/>
      <c r="G50" s="81"/>
      <c r="H50" s="81"/>
      <c r="I50" s="81"/>
      <c r="J50" s="81"/>
      <c r="K50" s="81"/>
      <c r="L50" s="81"/>
      <c r="M50" s="81"/>
      <c r="N50" s="81"/>
      <c r="O50" s="81"/>
      <c r="P50" s="24"/>
      <c r="Q50" s="24"/>
      <c r="R50" s="24"/>
      <c r="AM50" s="34"/>
      <c r="AN50" s="34"/>
      <c r="AO50" s="34"/>
      <c r="AP50" s="34"/>
      <c r="AQ50" s="34"/>
      <c r="AR50" s="34"/>
      <c r="AS50" s="34"/>
      <c r="AT50" s="34"/>
      <c r="AU50" s="34"/>
      <c r="AV50" s="34"/>
      <c r="AW50" s="34"/>
      <c r="AX50" s="34"/>
      <c r="AY50" s="34"/>
      <c r="AZ50" s="34"/>
      <c r="BA50" s="34"/>
      <c r="BB50" s="34"/>
      <c r="BC50" s="34"/>
      <c r="BD50" s="34"/>
      <c r="BE50" s="34"/>
      <c r="BF50" s="34"/>
      <c r="BG50" s="34"/>
    </row>
    <row r="51" spans="1:59" ht="33.75" customHeight="1">
      <c r="A51" s="82" t="s">
        <v>13</v>
      </c>
      <c r="B51" s="82"/>
      <c r="C51" s="82"/>
      <c r="D51" s="82"/>
      <c r="E51" s="82"/>
      <c r="F51" s="82"/>
      <c r="G51" s="82"/>
      <c r="H51" s="82"/>
      <c r="I51" s="82"/>
      <c r="J51" s="82"/>
      <c r="K51" s="82"/>
      <c r="L51" s="82"/>
      <c r="M51" s="82"/>
      <c r="N51" s="82"/>
      <c r="O51" s="82"/>
      <c r="AM51" s="34"/>
      <c r="AN51" s="34"/>
      <c r="AO51" s="34"/>
      <c r="AP51" s="34"/>
      <c r="AQ51" s="34"/>
      <c r="AR51" s="34"/>
      <c r="AS51" s="34"/>
      <c r="AT51" s="34"/>
      <c r="AU51" s="34"/>
      <c r="AV51" s="34"/>
      <c r="AW51" s="34"/>
      <c r="AX51" s="34"/>
      <c r="AY51" s="34"/>
      <c r="AZ51" s="34"/>
      <c r="BA51" s="34"/>
      <c r="BB51" s="34"/>
      <c r="BC51" s="34"/>
      <c r="BD51" s="34"/>
      <c r="BE51" s="34"/>
      <c r="BF51" s="34"/>
      <c r="BG51" s="34"/>
    </row>
    <row r="52" spans="1:59" ht="62.4">
      <c r="A52" s="9" t="s">
        <v>0</v>
      </c>
      <c r="B52" s="10" t="s">
        <v>34</v>
      </c>
      <c r="C52" s="11" t="s">
        <v>7</v>
      </c>
      <c r="D52" s="12" t="s">
        <v>1</v>
      </c>
      <c r="E52" s="13" t="s">
        <v>4</v>
      </c>
      <c r="F52" s="13" t="s">
        <v>2</v>
      </c>
      <c r="G52" s="13" t="s">
        <v>3</v>
      </c>
      <c r="H52" s="11" t="s">
        <v>6</v>
      </c>
      <c r="I52" s="14" t="s">
        <v>8</v>
      </c>
      <c r="J52" s="14" t="s">
        <v>17</v>
      </c>
      <c r="K52" s="12" t="s">
        <v>9</v>
      </c>
      <c r="L52" s="15" t="s">
        <v>10</v>
      </c>
      <c r="M52" s="15" t="s">
        <v>11</v>
      </c>
      <c r="N52" s="15" t="s">
        <v>12</v>
      </c>
      <c r="O52" s="15" t="s">
        <v>14</v>
      </c>
      <c r="P52" s="26" t="s">
        <v>16</v>
      </c>
      <c r="Q52" s="15" t="s">
        <v>42</v>
      </c>
      <c r="R52" s="15" t="s">
        <v>44</v>
      </c>
      <c r="S52" s="83">
        <v>101</v>
      </c>
      <c r="T52" s="83">
        <v>102</v>
      </c>
      <c r="U52" s="80">
        <v>106</v>
      </c>
      <c r="V52" s="80">
        <v>108</v>
      </c>
      <c r="W52" s="80">
        <v>109</v>
      </c>
      <c r="X52" s="80">
        <v>113</v>
      </c>
      <c r="Y52" s="80">
        <v>114</v>
      </c>
      <c r="Z52" s="80">
        <v>115</v>
      </c>
      <c r="AA52" s="80">
        <v>116</v>
      </c>
      <c r="AB52" s="80">
        <v>199</v>
      </c>
      <c r="AC52" s="80">
        <v>201</v>
      </c>
      <c r="AD52" s="80">
        <v>202</v>
      </c>
      <c r="AE52" s="80">
        <v>203</v>
      </c>
      <c r="AF52" s="80">
        <v>205</v>
      </c>
      <c r="AG52" s="80">
        <v>206</v>
      </c>
      <c r="AH52" s="79">
        <v>209</v>
      </c>
      <c r="AI52" s="79">
        <v>212</v>
      </c>
      <c r="AJ52" s="79">
        <v>216</v>
      </c>
      <c r="AK52" s="79">
        <v>217</v>
      </c>
      <c r="AL52" s="79">
        <v>299</v>
      </c>
      <c r="AM52" s="79">
        <v>301</v>
      </c>
      <c r="AN52" s="79">
        <v>302</v>
      </c>
      <c r="AO52" s="79">
        <v>399</v>
      </c>
      <c r="AP52" s="79">
        <v>401</v>
      </c>
      <c r="AQ52" s="79">
        <v>402</v>
      </c>
      <c r="AR52" s="79">
        <v>411</v>
      </c>
      <c r="AS52" s="79">
        <v>412</v>
      </c>
      <c r="AT52" s="79">
        <v>413</v>
      </c>
      <c r="AU52" s="79">
        <v>499</v>
      </c>
      <c r="AV52" s="79">
        <v>501</v>
      </c>
      <c r="AW52" s="79">
        <v>502</v>
      </c>
      <c r="AX52" s="79">
        <v>599</v>
      </c>
      <c r="AY52" s="79">
        <v>604</v>
      </c>
      <c r="AZ52" s="79">
        <v>605</v>
      </c>
      <c r="BA52" s="79">
        <v>699</v>
      </c>
      <c r="BB52" s="79">
        <v>701</v>
      </c>
      <c r="BC52" s="79">
        <v>702</v>
      </c>
      <c r="BD52" s="79">
        <v>703</v>
      </c>
      <c r="BE52" s="79">
        <v>704</v>
      </c>
      <c r="BF52" s="79">
        <v>799</v>
      </c>
      <c r="BG52" s="84">
        <v>999</v>
      </c>
    </row>
    <row r="53" spans="1:59" ht="62.25" customHeight="1">
      <c r="A53" s="10" t="s">
        <v>18</v>
      </c>
      <c r="B53" s="10" t="s">
        <v>19</v>
      </c>
      <c r="C53" s="13" t="s">
        <v>20</v>
      </c>
      <c r="D53" s="12" t="s">
        <v>21</v>
      </c>
      <c r="E53" s="13" t="s">
        <v>22</v>
      </c>
      <c r="F53" s="13" t="s">
        <v>23</v>
      </c>
      <c r="G53" s="13" t="s">
        <v>25</v>
      </c>
      <c r="H53" s="13" t="s">
        <v>24</v>
      </c>
      <c r="I53" s="14" t="s">
        <v>26</v>
      </c>
      <c r="J53" s="14" t="s">
        <v>27</v>
      </c>
      <c r="K53" s="15" t="s">
        <v>28</v>
      </c>
      <c r="L53" s="15" t="s">
        <v>29</v>
      </c>
      <c r="M53" s="15" t="s">
        <v>30</v>
      </c>
      <c r="N53" s="15" t="s">
        <v>32</v>
      </c>
      <c r="O53" s="15" t="s">
        <v>31</v>
      </c>
      <c r="P53" s="26" t="s">
        <v>33</v>
      </c>
      <c r="Q53" s="15" t="s">
        <v>43</v>
      </c>
      <c r="R53" s="15" t="s">
        <v>45</v>
      </c>
      <c r="S53" s="83"/>
      <c r="T53" s="83"/>
      <c r="U53" s="80"/>
      <c r="V53" s="80"/>
      <c r="W53" s="80"/>
      <c r="X53" s="80"/>
      <c r="Y53" s="80"/>
      <c r="Z53" s="80"/>
      <c r="AA53" s="80"/>
      <c r="AB53" s="80"/>
      <c r="AC53" s="80"/>
      <c r="AD53" s="80"/>
      <c r="AE53" s="80"/>
      <c r="AF53" s="80"/>
      <c r="AG53" s="80"/>
      <c r="AH53" s="79"/>
      <c r="AI53" s="79"/>
      <c r="AJ53" s="79"/>
      <c r="AK53" s="79"/>
      <c r="AL53" s="79"/>
      <c r="AM53" s="79"/>
      <c r="AN53" s="79"/>
      <c r="AO53" s="79"/>
      <c r="AP53" s="79"/>
      <c r="AQ53" s="79"/>
      <c r="AR53" s="79"/>
      <c r="AS53" s="79"/>
      <c r="AT53" s="79"/>
      <c r="AU53" s="79"/>
      <c r="AV53" s="79"/>
      <c r="AW53" s="79"/>
      <c r="AX53" s="79"/>
      <c r="AY53" s="79"/>
      <c r="AZ53" s="79"/>
      <c r="BA53" s="79"/>
      <c r="BB53" s="79"/>
      <c r="BC53" s="79"/>
      <c r="BD53" s="79"/>
      <c r="BE53" s="79"/>
      <c r="BF53" s="79"/>
      <c r="BG53" s="84"/>
    </row>
    <row r="54" spans="1:59" s="17" customFormat="1" ht="15.75" customHeight="1">
      <c r="A54" s="85">
        <v>45264</v>
      </c>
      <c r="B54" s="87" t="s">
        <v>37</v>
      </c>
      <c r="C54" s="89" t="s">
        <v>56</v>
      </c>
      <c r="D54" s="91" t="s">
        <v>38</v>
      </c>
      <c r="E54" s="89">
        <v>84217</v>
      </c>
      <c r="F54" s="89" t="s">
        <v>49</v>
      </c>
      <c r="G54" s="93" t="s">
        <v>53</v>
      </c>
      <c r="H54" s="90" t="s">
        <v>39</v>
      </c>
      <c r="I54" s="90">
        <v>3008</v>
      </c>
      <c r="J54" s="90">
        <v>3008</v>
      </c>
      <c r="K54" s="20">
        <v>0</v>
      </c>
      <c r="L54" s="20">
        <v>0</v>
      </c>
      <c r="M54" s="20">
        <v>0</v>
      </c>
      <c r="N54" s="97">
        <f>O55/L55</f>
        <v>0.78514323784143902</v>
      </c>
      <c r="O54" s="21">
        <f t="shared" ref="O54:O59" si="5">L54-M54</f>
        <v>0</v>
      </c>
      <c r="P54" s="27">
        <v>80</v>
      </c>
      <c r="Q54" s="99">
        <f>+L55-P55</f>
        <v>0</v>
      </c>
      <c r="R54" s="85"/>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6"/>
      <c r="AZ54" s="106"/>
      <c r="BA54" s="106"/>
      <c r="BB54" s="106"/>
      <c r="BC54" s="106"/>
      <c r="BD54" s="123"/>
      <c r="BE54" s="103"/>
      <c r="BF54" s="104"/>
      <c r="BG54" s="104"/>
    </row>
    <row r="55" spans="1:59" s="17" customFormat="1" ht="15.75" customHeight="1">
      <c r="A55" s="86"/>
      <c r="B55" s="88"/>
      <c r="C55" s="90"/>
      <c r="D55" s="92"/>
      <c r="E55" s="90"/>
      <c r="F55" s="90"/>
      <c r="G55" s="94"/>
      <c r="H55" s="95"/>
      <c r="I55" s="95"/>
      <c r="J55" s="95"/>
      <c r="K55" s="22">
        <f>2718+210+44+20+10</f>
        <v>3002</v>
      </c>
      <c r="L55" s="18">
        <f>2528+60+50+180+44+140</f>
        <v>3002</v>
      </c>
      <c r="M55" s="18">
        <f>35+162+30+26+20+30+60+20+90+20+10+30+8+40+44+20</f>
        <v>645</v>
      </c>
      <c r="N55" s="98"/>
      <c r="O55" s="19">
        <f t="shared" si="5"/>
        <v>2357</v>
      </c>
      <c r="P55" s="22">
        <f>2870+52+80</f>
        <v>3002</v>
      </c>
      <c r="Q55" s="100"/>
      <c r="R55" s="86"/>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7"/>
      <c r="AZ55" s="107"/>
      <c r="BA55" s="107"/>
      <c r="BB55" s="107"/>
      <c r="BC55" s="107"/>
      <c r="BD55" s="124"/>
      <c r="BE55" s="103"/>
      <c r="BF55" s="105"/>
      <c r="BG55" s="105"/>
    </row>
    <row r="56" spans="1:59" s="17" customFormat="1" ht="18" customHeight="1">
      <c r="A56" s="85">
        <v>45264</v>
      </c>
      <c r="B56" s="158" t="s">
        <v>37</v>
      </c>
      <c r="C56" s="89" t="s">
        <v>56</v>
      </c>
      <c r="D56" s="91" t="s">
        <v>38</v>
      </c>
      <c r="E56" s="89">
        <v>84217</v>
      </c>
      <c r="F56" s="89" t="s">
        <v>49</v>
      </c>
      <c r="G56" s="159" t="s">
        <v>55</v>
      </c>
      <c r="H56" s="89" t="s">
        <v>39</v>
      </c>
      <c r="I56" s="89">
        <v>4918</v>
      </c>
      <c r="J56" s="89">
        <v>4918</v>
      </c>
      <c r="K56" s="20">
        <v>0</v>
      </c>
      <c r="L56" s="20">
        <v>0</v>
      </c>
      <c r="M56" s="20">
        <v>0</v>
      </c>
      <c r="N56" s="146">
        <f>O57/L57</f>
        <v>0.62088581877285653</v>
      </c>
      <c r="O56" s="21">
        <f t="shared" si="5"/>
        <v>0</v>
      </c>
      <c r="P56" s="27">
        <v>5</v>
      </c>
      <c r="Q56" s="99">
        <f>+L57-P57</f>
        <v>0</v>
      </c>
      <c r="R56" s="85" t="s">
        <v>64</v>
      </c>
      <c r="S56" s="149"/>
      <c r="T56" s="149"/>
      <c r="U56" s="149"/>
      <c r="V56" s="149"/>
      <c r="W56" s="149"/>
      <c r="X56" s="149"/>
      <c r="Y56" s="149"/>
      <c r="Z56" s="149"/>
      <c r="AA56" s="149"/>
      <c r="AB56" s="149"/>
      <c r="AC56" s="149"/>
      <c r="AD56" s="149"/>
      <c r="AE56" s="149"/>
      <c r="AF56" s="149"/>
      <c r="AG56" s="149"/>
      <c r="AH56" s="149"/>
      <c r="AI56" s="149"/>
      <c r="AJ56" s="149"/>
      <c r="AK56" s="149"/>
      <c r="AL56" s="149"/>
      <c r="AM56" s="163"/>
      <c r="AN56" s="163"/>
      <c r="AO56" s="163"/>
      <c r="AP56" s="163"/>
      <c r="AQ56" s="163"/>
      <c r="AR56" s="163"/>
      <c r="AS56" s="163"/>
      <c r="AT56" s="163"/>
      <c r="AU56" s="163"/>
      <c r="AV56" s="163"/>
      <c r="AW56" s="163"/>
      <c r="AX56" s="163"/>
      <c r="AY56" s="161"/>
      <c r="AZ56" s="161"/>
      <c r="BA56" s="161"/>
      <c r="BB56" s="161"/>
      <c r="BC56" s="161"/>
      <c r="BD56" s="161"/>
      <c r="BE56" s="161"/>
      <c r="BF56" s="161"/>
      <c r="BG56" s="161"/>
    </row>
    <row r="57" spans="1:59" s="17" customFormat="1" ht="17.25" customHeight="1">
      <c r="A57" s="86"/>
      <c r="B57" s="138"/>
      <c r="C57" s="90"/>
      <c r="D57" s="92"/>
      <c r="E57" s="90"/>
      <c r="F57" s="90"/>
      <c r="G57" s="160"/>
      <c r="H57" s="90"/>
      <c r="I57" s="90"/>
      <c r="J57" s="90"/>
      <c r="K57" s="18">
        <f>4762+128+32</f>
        <v>4922</v>
      </c>
      <c r="L57" s="18">
        <f>4762+128+32</f>
        <v>4922</v>
      </c>
      <c r="M57" s="18">
        <f>1804+56+6</f>
        <v>1866</v>
      </c>
      <c r="N57" s="147"/>
      <c r="O57" s="19">
        <f t="shared" si="5"/>
        <v>3056</v>
      </c>
      <c r="P57" s="22">
        <f>4811+43+6+26+13+18+5</f>
        <v>4922</v>
      </c>
      <c r="Q57" s="100"/>
      <c r="R57" s="86"/>
      <c r="S57" s="150"/>
      <c r="T57" s="150"/>
      <c r="U57" s="150"/>
      <c r="V57" s="150"/>
      <c r="W57" s="150"/>
      <c r="X57" s="150"/>
      <c r="Y57" s="150"/>
      <c r="Z57" s="150"/>
      <c r="AA57" s="150"/>
      <c r="AB57" s="150"/>
      <c r="AC57" s="150"/>
      <c r="AD57" s="150"/>
      <c r="AE57" s="150"/>
      <c r="AF57" s="150"/>
      <c r="AG57" s="150"/>
      <c r="AH57" s="150"/>
      <c r="AI57" s="150"/>
      <c r="AJ57" s="150"/>
      <c r="AK57" s="150"/>
      <c r="AL57" s="150"/>
      <c r="AM57" s="164"/>
      <c r="AN57" s="164"/>
      <c r="AO57" s="164"/>
      <c r="AP57" s="164"/>
      <c r="AQ57" s="164"/>
      <c r="AR57" s="164"/>
      <c r="AS57" s="164"/>
      <c r="AT57" s="164"/>
      <c r="AU57" s="164"/>
      <c r="AV57" s="164"/>
      <c r="AW57" s="164"/>
      <c r="AX57" s="164"/>
      <c r="AY57" s="162"/>
      <c r="AZ57" s="162"/>
      <c r="BA57" s="162"/>
      <c r="BB57" s="162"/>
      <c r="BC57" s="162"/>
      <c r="BD57" s="162"/>
      <c r="BE57" s="162"/>
      <c r="BF57" s="162"/>
      <c r="BG57" s="162"/>
    </row>
    <row r="58" spans="1:59" s="17" customFormat="1" ht="18" customHeight="1">
      <c r="A58" s="85">
        <v>45264</v>
      </c>
      <c r="B58" s="138" t="s">
        <v>37</v>
      </c>
      <c r="C58" s="90" t="s">
        <v>56</v>
      </c>
      <c r="D58" s="91" t="s">
        <v>38</v>
      </c>
      <c r="E58" s="89">
        <v>84217</v>
      </c>
      <c r="F58" s="89" t="s">
        <v>49</v>
      </c>
      <c r="G58" s="137" t="s">
        <v>61</v>
      </c>
      <c r="H58" s="95" t="s">
        <v>39</v>
      </c>
      <c r="I58" s="90">
        <v>4497</v>
      </c>
      <c r="J58" s="90">
        <v>4097</v>
      </c>
      <c r="K58" s="20">
        <v>30</v>
      </c>
      <c r="L58" s="20">
        <v>0</v>
      </c>
      <c r="M58" s="20">
        <v>0</v>
      </c>
      <c r="N58" s="97">
        <f>O59/L59</f>
        <v>0.61333333333333329</v>
      </c>
      <c r="O58" s="21">
        <f t="shared" si="5"/>
        <v>0</v>
      </c>
      <c r="P58" s="27">
        <v>60</v>
      </c>
      <c r="Q58" s="99">
        <f>+L59-P59</f>
        <v>40</v>
      </c>
      <c r="R58" s="85"/>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6"/>
      <c r="AZ58" s="106"/>
      <c r="BA58" s="106"/>
      <c r="BB58" s="106"/>
      <c r="BC58" s="106"/>
      <c r="BD58" s="106"/>
      <c r="BE58" s="103"/>
      <c r="BF58" s="104"/>
      <c r="BG58" s="104"/>
    </row>
    <row r="59" spans="1:59" s="17" customFormat="1" ht="17.25" customHeight="1">
      <c r="A59" s="86"/>
      <c r="B59" s="139"/>
      <c r="C59" s="95"/>
      <c r="D59" s="92"/>
      <c r="E59" s="90"/>
      <c r="F59" s="90"/>
      <c r="G59" s="95"/>
      <c r="H59" s="95"/>
      <c r="I59" s="95"/>
      <c r="J59" s="95"/>
      <c r="K59" s="18">
        <f>260+160+50+100+100+240+349+166+150+60+120+30+30</f>
        <v>1815</v>
      </c>
      <c r="L59" s="18">
        <f>260+160+50+100+140+100+240+150</f>
        <v>1200</v>
      </c>
      <c r="M59" s="18">
        <f>120+55+27+40+30+60+87+45</f>
        <v>464</v>
      </c>
      <c r="N59" s="98"/>
      <c r="O59" s="19">
        <f t="shared" si="5"/>
        <v>736</v>
      </c>
      <c r="P59" s="22">
        <f>170+70+15+112+30+30+83+50+100+127+218+53+42+60</f>
        <v>1160</v>
      </c>
      <c r="Q59" s="100"/>
      <c r="R59" s="86"/>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7"/>
      <c r="AZ59" s="107"/>
      <c r="BA59" s="107"/>
      <c r="BB59" s="107"/>
      <c r="BC59" s="107"/>
      <c r="BD59" s="107"/>
      <c r="BE59" s="103"/>
      <c r="BF59" s="105"/>
      <c r="BG59" s="105"/>
    </row>
    <row r="60" spans="1:59" ht="24.75" customHeight="1">
      <c r="A60" s="111" t="s">
        <v>15</v>
      </c>
      <c r="B60" s="112"/>
      <c r="C60" s="112"/>
      <c r="D60" s="112"/>
      <c r="E60" s="112"/>
      <c r="F60" s="112"/>
      <c r="G60" s="112"/>
      <c r="H60" s="112"/>
      <c r="I60" s="113"/>
      <c r="J60" s="5">
        <f>SUM(J54:J59)</f>
        <v>12023</v>
      </c>
      <c r="K60" s="5">
        <f>+K54+K56+K58</f>
        <v>30</v>
      </c>
      <c r="L60" s="5">
        <f>+L54+L56+L58</f>
        <v>0</v>
      </c>
      <c r="M60" s="5">
        <f>+M54+M56+M58</f>
        <v>0</v>
      </c>
      <c r="N60" s="23" t="e">
        <f>O60/L60</f>
        <v>#DIV/0!</v>
      </c>
      <c r="O60" s="5">
        <f>+O54+O56+O58</f>
        <v>0</v>
      </c>
      <c r="P60" s="5">
        <f>+P54+P56+P58</f>
        <v>145</v>
      </c>
      <c r="Q60" s="29">
        <f>SUM(Q54:Q59)</f>
        <v>40</v>
      </c>
      <c r="R60" s="5"/>
      <c r="S60" s="5">
        <f t="shared" ref="S60:BG60" si="6">SUM(S54:S59)</f>
        <v>0</v>
      </c>
      <c r="T60" s="5">
        <f t="shared" si="6"/>
        <v>0</v>
      </c>
      <c r="U60" s="5">
        <f t="shared" si="6"/>
        <v>0</v>
      </c>
      <c r="V60" s="5">
        <f t="shared" si="6"/>
        <v>0</v>
      </c>
      <c r="W60" s="5">
        <f t="shared" si="6"/>
        <v>0</v>
      </c>
      <c r="X60" s="5">
        <f t="shared" si="6"/>
        <v>0</v>
      </c>
      <c r="Y60" s="5">
        <f t="shared" si="6"/>
        <v>0</v>
      </c>
      <c r="Z60" s="5">
        <f t="shared" si="6"/>
        <v>0</v>
      </c>
      <c r="AA60" s="5">
        <f t="shared" si="6"/>
        <v>0</v>
      </c>
      <c r="AB60" s="5">
        <f t="shared" si="6"/>
        <v>0</v>
      </c>
      <c r="AC60" s="5">
        <f t="shared" si="6"/>
        <v>0</v>
      </c>
      <c r="AD60" s="5">
        <f t="shared" si="6"/>
        <v>0</v>
      </c>
      <c r="AE60" s="5">
        <f t="shared" si="6"/>
        <v>0</v>
      </c>
      <c r="AF60" s="5">
        <f t="shared" si="6"/>
        <v>0</v>
      </c>
      <c r="AG60" s="5">
        <f t="shared" si="6"/>
        <v>0</v>
      </c>
      <c r="AH60" s="5">
        <f t="shared" si="6"/>
        <v>0</v>
      </c>
      <c r="AI60" s="5">
        <f t="shared" si="6"/>
        <v>0</v>
      </c>
      <c r="AJ60" s="5">
        <f t="shared" si="6"/>
        <v>0</v>
      </c>
      <c r="AK60" s="5">
        <f t="shared" si="6"/>
        <v>0</v>
      </c>
      <c r="AL60" s="5">
        <f t="shared" si="6"/>
        <v>0</v>
      </c>
      <c r="AM60" s="5">
        <f t="shared" si="6"/>
        <v>0</v>
      </c>
      <c r="AN60" s="5">
        <f t="shared" si="6"/>
        <v>0</v>
      </c>
      <c r="AO60" s="5">
        <f t="shared" si="6"/>
        <v>0</v>
      </c>
      <c r="AP60" s="5">
        <f t="shared" si="6"/>
        <v>0</v>
      </c>
      <c r="AQ60" s="5">
        <f t="shared" si="6"/>
        <v>0</v>
      </c>
      <c r="AR60" s="5">
        <f t="shared" si="6"/>
        <v>0</v>
      </c>
      <c r="AS60" s="5">
        <f t="shared" si="6"/>
        <v>0</v>
      </c>
      <c r="AT60" s="5">
        <f t="shared" si="6"/>
        <v>0</v>
      </c>
      <c r="AU60" s="5">
        <f t="shared" si="6"/>
        <v>0</v>
      </c>
      <c r="AV60" s="5">
        <f t="shared" si="6"/>
        <v>0</v>
      </c>
      <c r="AW60" s="5">
        <f t="shared" si="6"/>
        <v>0</v>
      </c>
      <c r="AX60" s="5">
        <f t="shared" si="6"/>
        <v>0</v>
      </c>
      <c r="AY60" s="5">
        <f t="shared" si="6"/>
        <v>0</v>
      </c>
      <c r="AZ60" s="5">
        <f t="shared" si="6"/>
        <v>0</v>
      </c>
      <c r="BA60" s="5">
        <f t="shared" si="6"/>
        <v>0</v>
      </c>
      <c r="BB60" s="5">
        <f t="shared" si="6"/>
        <v>0</v>
      </c>
      <c r="BC60" s="5">
        <f t="shared" si="6"/>
        <v>0</v>
      </c>
      <c r="BD60" s="5">
        <f t="shared" si="6"/>
        <v>0</v>
      </c>
      <c r="BE60" s="5">
        <f t="shared" si="6"/>
        <v>0</v>
      </c>
      <c r="BF60" s="5">
        <f t="shared" si="6"/>
        <v>0</v>
      </c>
      <c r="BG60" s="5">
        <f t="shared" si="6"/>
        <v>0</v>
      </c>
    </row>
    <row r="61" spans="1:59" s="17" customFormat="1" ht="15.75" hidden="1" customHeight="1">
      <c r="A61" s="101"/>
      <c r="B61" s="114"/>
      <c r="C61" s="116"/>
      <c r="D61" s="118"/>
      <c r="E61" s="116"/>
      <c r="F61" s="116"/>
      <c r="G61" s="120"/>
      <c r="H61" s="151"/>
      <c r="I61" s="89"/>
      <c r="J61" s="89"/>
      <c r="K61" s="20"/>
      <c r="L61" s="20"/>
      <c r="M61" s="20"/>
      <c r="N61" s="146"/>
      <c r="O61" s="21"/>
      <c r="P61" s="27"/>
      <c r="Q61" s="99"/>
      <c r="R61" s="148"/>
      <c r="S61" s="149"/>
      <c r="T61" s="149"/>
      <c r="U61" s="149"/>
      <c r="V61" s="149"/>
      <c r="W61" s="149"/>
      <c r="X61" s="149"/>
      <c r="Y61" s="149"/>
      <c r="Z61" s="149"/>
      <c r="AA61" s="149"/>
      <c r="AB61" s="149"/>
      <c r="AC61" s="149"/>
      <c r="AD61" s="149"/>
      <c r="AE61" s="149"/>
      <c r="AF61" s="149"/>
      <c r="AG61" s="149"/>
      <c r="AH61" s="149"/>
      <c r="AI61" s="149"/>
      <c r="AJ61" s="149"/>
      <c r="AK61" s="149"/>
      <c r="AL61" s="149"/>
      <c r="AM61" s="149"/>
      <c r="AN61" s="149"/>
      <c r="AO61" s="149"/>
      <c r="AP61" s="149"/>
      <c r="AQ61" s="149"/>
      <c r="AR61" s="149"/>
      <c r="AS61" s="149"/>
      <c r="AT61" s="149"/>
      <c r="AU61" s="149"/>
      <c r="AV61" s="149"/>
      <c r="AW61" s="149"/>
      <c r="AX61" s="149"/>
      <c r="AY61" s="152"/>
      <c r="AZ61" s="152"/>
      <c r="BA61" s="152"/>
      <c r="BB61" s="152"/>
      <c r="BC61" s="152"/>
      <c r="BD61" s="152"/>
      <c r="BE61" s="149"/>
      <c r="BF61" s="152"/>
      <c r="BG61" s="152"/>
    </row>
    <row r="62" spans="1:59" s="17" customFormat="1" ht="15.75" hidden="1" customHeight="1">
      <c r="A62" s="102"/>
      <c r="B62" s="115"/>
      <c r="C62" s="117"/>
      <c r="D62" s="119"/>
      <c r="E62" s="117"/>
      <c r="F62" s="117"/>
      <c r="G62" s="121"/>
      <c r="H62" s="90"/>
      <c r="I62" s="90"/>
      <c r="J62" s="90"/>
      <c r="K62" s="22"/>
      <c r="L62" s="18"/>
      <c r="M62" s="18"/>
      <c r="N62" s="147"/>
      <c r="O62" s="19"/>
      <c r="P62" s="22"/>
      <c r="Q62" s="100"/>
      <c r="R62" s="101"/>
      <c r="S62" s="150"/>
      <c r="T62" s="150"/>
      <c r="U62" s="150"/>
      <c r="V62" s="150"/>
      <c r="W62" s="150"/>
      <c r="X62" s="150"/>
      <c r="Y62" s="150"/>
      <c r="Z62" s="150"/>
      <c r="AA62" s="150"/>
      <c r="AB62" s="150"/>
      <c r="AC62" s="150"/>
      <c r="AD62" s="150"/>
      <c r="AE62" s="150"/>
      <c r="AF62" s="150"/>
      <c r="AG62" s="150"/>
      <c r="AH62" s="150"/>
      <c r="AI62" s="150"/>
      <c r="AJ62" s="150"/>
      <c r="AK62" s="150"/>
      <c r="AL62" s="150"/>
      <c r="AM62" s="150"/>
      <c r="AN62" s="150"/>
      <c r="AO62" s="150"/>
      <c r="AP62" s="150"/>
      <c r="AQ62" s="150"/>
      <c r="AR62" s="150"/>
      <c r="AS62" s="150"/>
      <c r="AT62" s="150"/>
      <c r="AU62" s="150"/>
      <c r="AV62" s="150"/>
      <c r="AW62" s="150"/>
      <c r="AX62" s="150"/>
      <c r="AY62" s="153"/>
      <c r="AZ62" s="153"/>
      <c r="BA62" s="153"/>
      <c r="BB62" s="153"/>
      <c r="BC62" s="153"/>
      <c r="BD62" s="153"/>
      <c r="BE62" s="150"/>
      <c r="BF62" s="153"/>
      <c r="BG62" s="153"/>
    </row>
    <row r="63" spans="1:59" s="17" customFormat="1" ht="15.75" hidden="1" customHeight="1">
      <c r="A63" s="101"/>
      <c r="B63" s="114"/>
      <c r="C63" s="116"/>
      <c r="D63" s="118"/>
      <c r="E63" s="116"/>
      <c r="F63" s="116"/>
      <c r="G63" s="120"/>
      <c r="H63" s="151"/>
      <c r="I63" s="89"/>
      <c r="J63" s="89"/>
      <c r="K63" s="20"/>
      <c r="L63" s="20"/>
      <c r="M63" s="20"/>
      <c r="N63" s="146"/>
      <c r="O63" s="21"/>
      <c r="P63" s="27"/>
      <c r="Q63" s="99"/>
      <c r="R63" s="148"/>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152"/>
      <c r="AZ63" s="152"/>
      <c r="BA63" s="152"/>
      <c r="BB63" s="152"/>
      <c r="BC63" s="152"/>
      <c r="BD63" s="152"/>
      <c r="BE63" s="149"/>
      <c r="BF63" s="152"/>
      <c r="BG63" s="152"/>
    </row>
    <row r="64" spans="1:59" s="17" customFormat="1" ht="15.75" hidden="1" customHeight="1">
      <c r="A64" s="102"/>
      <c r="B64" s="115"/>
      <c r="C64" s="117"/>
      <c r="D64" s="119"/>
      <c r="E64" s="117"/>
      <c r="F64" s="117"/>
      <c r="G64" s="121"/>
      <c r="H64" s="90"/>
      <c r="I64" s="90"/>
      <c r="J64" s="90"/>
      <c r="K64" s="22"/>
      <c r="L64" s="18"/>
      <c r="M64" s="18"/>
      <c r="N64" s="147"/>
      <c r="O64" s="19"/>
      <c r="P64" s="22"/>
      <c r="Q64" s="100"/>
      <c r="R64" s="101"/>
      <c r="S64" s="150"/>
      <c r="T64" s="150"/>
      <c r="U64" s="150"/>
      <c r="V64" s="150"/>
      <c r="W64" s="150"/>
      <c r="X64" s="150"/>
      <c r="Y64" s="150"/>
      <c r="Z64" s="150"/>
      <c r="AA64" s="150"/>
      <c r="AB64" s="150"/>
      <c r="AC64" s="150"/>
      <c r="AD64" s="150"/>
      <c r="AE64" s="150"/>
      <c r="AF64" s="150"/>
      <c r="AG64" s="150"/>
      <c r="AH64" s="150"/>
      <c r="AI64" s="150"/>
      <c r="AJ64" s="150"/>
      <c r="AK64" s="150"/>
      <c r="AL64" s="150"/>
      <c r="AM64" s="150"/>
      <c r="AN64" s="150"/>
      <c r="AO64" s="150"/>
      <c r="AP64" s="150"/>
      <c r="AQ64" s="150"/>
      <c r="AR64" s="150"/>
      <c r="AS64" s="150"/>
      <c r="AT64" s="150"/>
      <c r="AU64" s="150"/>
      <c r="AV64" s="150"/>
      <c r="AW64" s="150"/>
      <c r="AX64" s="150"/>
      <c r="AY64" s="153"/>
      <c r="AZ64" s="153"/>
      <c r="BA64" s="153"/>
      <c r="BB64" s="153"/>
      <c r="BC64" s="153"/>
      <c r="BD64" s="153"/>
      <c r="BE64" s="150"/>
      <c r="BF64" s="153"/>
      <c r="BG64" s="153"/>
    </row>
    <row r="65" spans="1:61" s="17" customFormat="1" ht="15.75" hidden="1" customHeight="1">
      <c r="A65" s="101"/>
      <c r="B65" s="114"/>
      <c r="C65" s="116"/>
      <c r="D65" s="118"/>
      <c r="E65" s="116"/>
      <c r="F65" s="116"/>
      <c r="G65" s="120"/>
      <c r="H65" s="109"/>
      <c r="I65" s="90"/>
      <c r="J65" s="90"/>
      <c r="K65" s="20"/>
      <c r="L65" s="20"/>
      <c r="M65" s="20"/>
      <c r="N65" s="97"/>
      <c r="O65" s="21"/>
      <c r="P65" s="27"/>
      <c r="Q65" s="99"/>
      <c r="R65" s="154"/>
      <c r="S65" s="96"/>
      <c r="T65" s="96"/>
      <c r="U65" s="96"/>
      <c r="V65" s="96"/>
      <c r="W65" s="96"/>
      <c r="X65" s="96"/>
      <c r="Y65" s="96"/>
      <c r="Z65" s="96"/>
      <c r="AA65" s="96"/>
      <c r="AB65" s="96"/>
      <c r="AC65" s="96"/>
      <c r="AD65" s="96"/>
      <c r="AE65" s="96"/>
      <c r="AF65" s="96"/>
      <c r="AG65" s="96"/>
      <c r="AH65" s="96"/>
      <c r="AI65" s="96"/>
      <c r="AJ65" s="96"/>
      <c r="AK65" s="96"/>
      <c r="AL65" s="96"/>
      <c r="AM65" s="96"/>
      <c r="AN65" s="96"/>
      <c r="AO65" s="96"/>
      <c r="AP65" s="96"/>
      <c r="AQ65" s="96"/>
      <c r="AR65" s="96"/>
      <c r="AS65" s="96"/>
      <c r="AT65" s="96"/>
      <c r="AU65" s="96"/>
      <c r="AV65" s="96"/>
      <c r="AW65" s="96"/>
      <c r="AX65" s="96"/>
      <c r="AY65" s="155"/>
      <c r="AZ65" s="155"/>
      <c r="BA65" s="155"/>
      <c r="BB65" s="155"/>
      <c r="BC65" s="155"/>
      <c r="BD65" s="155"/>
      <c r="BE65" s="96"/>
      <c r="BF65" s="155"/>
      <c r="BG65" s="155"/>
    </row>
    <row r="66" spans="1:61" s="17" customFormat="1" ht="15.75" hidden="1" customHeight="1">
      <c r="A66" s="102"/>
      <c r="B66" s="115"/>
      <c r="C66" s="117"/>
      <c r="D66" s="119"/>
      <c r="E66" s="117"/>
      <c r="F66" s="117"/>
      <c r="G66" s="121"/>
      <c r="H66" s="95"/>
      <c r="I66" s="95"/>
      <c r="J66" s="95"/>
      <c r="K66" s="22"/>
      <c r="L66" s="18"/>
      <c r="M66" s="18"/>
      <c r="N66" s="98"/>
      <c r="O66" s="19"/>
      <c r="P66" s="22"/>
      <c r="Q66" s="100"/>
      <c r="R66" s="101"/>
      <c r="S66" s="96"/>
      <c r="T66" s="96"/>
      <c r="U66" s="96"/>
      <c r="V66" s="96"/>
      <c r="W66" s="96"/>
      <c r="X66" s="96"/>
      <c r="Y66" s="96"/>
      <c r="Z66" s="96"/>
      <c r="AA66" s="96"/>
      <c r="AB66" s="96"/>
      <c r="AC66" s="96"/>
      <c r="AD66" s="96"/>
      <c r="AE66" s="96"/>
      <c r="AF66" s="96"/>
      <c r="AG66" s="96"/>
      <c r="AH66" s="96"/>
      <c r="AI66" s="96"/>
      <c r="AJ66" s="96"/>
      <c r="AK66" s="96"/>
      <c r="AL66" s="96"/>
      <c r="AM66" s="96"/>
      <c r="AN66" s="96"/>
      <c r="AO66" s="96"/>
      <c r="AP66" s="96"/>
      <c r="AQ66" s="96"/>
      <c r="AR66" s="96"/>
      <c r="AS66" s="96"/>
      <c r="AT66" s="96"/>
      <c r="AU66" s="96"/>
      <c r="AV66" s="96"/>
      <c r="AW66" s="96"/>
      <c r="AX66" s="96"/>
      <c r="AY66" s="156"/>
      <c r="AZ66" s="156"/>
      <c r="BA66" s="156"/>
      <c r="BB66" s="156"/>
      <c r="BC66" s="156"/>
      <c r="BD66" s="156"/>
      <c r="BE66" s="96"/>
      <c r="BF66" s="156"/>
      <c r="BG66" s="156"/>
    </row>
    <row r="67" spans="1:61" s="17" customFormat="1" ht="15.75" hidden="1" customHeight="1">
      <c r="A67" s="101"/>
      <c r="B67" s="114"/>
      <c r="C67" s="116"/>
      <c r="D67" s="118"/>
      <c r="E67" s="116"/>
      <c r="F67" s="116"/>
      <c r="G67" s="120"/>
      <c r="H67" s="109"/>
      <c r="I67" s="90"/>
      <c r="J67" s="90"/>
      <c r="K67" s="20"/>
      <c r="L67" s="20"/>
      <c r="M67" s="20"/>
      <c r="N67" s="97"/>
      <c r="O67" s="21"/>
      <c r="P67" s="27"/>
      <c r="Q67" s="99"/>
      <c r="R67" s="148"/>
      <c r="S67" s="96"/>
      <c r="T67" s="96"/>
      <c r="U67" s="96"/>
      <c r="V67" s="96"/>
      <c r="W67" s="96"/>
      <c r="X67" s="96"/>
      <c r="Y67" s="96"/>
      <c r="Z67" s="96"/>
      <c r="AA67" s="96"/>
      <c r="AB67" s="96"/>
      <c r="AC67" s="96"/>
      <c r="AD67" s="96"/>
      <c r="AE67" s="96"/>
      <c r="AF67" s="96"/>
      <c r="AG67" s="96"/>
      <c r="AH67" s="96"/>
      <c r="AI67" s="96"/>
      <c r="AJ67" s="96"/>
      <c r="AK67" s="96"/>
      <c r="AL67" s="96"/>
      <c r="AM67" s="96"/>
      <c r="AN67" s="96"/>
      <c r="AO67" s="96"/>
      <c r="AP67" s="96"/>
      <c r="AQ67" s="96"/>
      <c r="AR67" s="96"/>
      <c r="AS67" s="96"/>
      <c r="AT67" s="96"/>
      <c r="AU67" s="96"/>
      <c r="AV67" s="96"/>
      <c r="AW67" s="96"/>
      <c r="AX67" s="96"/>
      <c r="AY67" s="155"/>
      <c r="AZ67" s="155"/>
      <c r="BA67" s="155"/>
      <c r="BB67" s="155"/>
      <c r="BC67" s="155"/>
      <c r="BD67" s="155"/>
      <c r="BE67" s="96"/>
      <c r="BF67" s="155"/>
      <c r="BG67" s="155"/>
    </row>
    <row r="68" spans="1:61" s="17" customFormat="1" ht="15.75" hidden="1" customHeight="1">
      <c r="A68" s="102"/>
      <c r="B68" s="115"/>
      <c r="C68" s="117"/>
      <c r="D68" s="119"/>
      <c r="E68" s="117"/>
      <c r="F68" s="117"/>
      <c r="G68" s="121"/>
      <c r="H68" s="95"/>
      <c r="I68" s="95"/>
      <c r="J68" s="95"/>
      <c r="K68" s="22"/>
      <c r="L68" s="18"/>
      <c r="M68" s="18"/>
      <c r="N68" s="98"/>
      <c r="O68" s="19"/>
      <c r="P68" s="22"/>
      <c r="Q68" s="100"/>
      <c r="R68" s="101"/>
      <c r="S68" s="96"/>
      <c r="T68" s="96"/>
      <c r="U68" s="96"/>
      <c r="V68" s="96"/>
      <c r="W68" s="96"/>
      <c r="X68" s="96"/>
      <c r="Y68" s="96"/>
      <c r="Z68" s="96"/>
      <c r="AA68" s="96"/>
      <c r="AB68" s="96"/>
      <c r="AC68" s="96"/>
      <c r="AD68" s="96"/>
      <c r="AE68" s="96"/>
      <c r="AF68" s="96"/>
      <c r="AG68" s="96"/>
      <c r="AH68" s="96"/>
      <c r="AI68" s="96"/>
      <c r="AJ68" s="96"/>
      <c r="AK68" s="96"/>
      <c r="AL68" s="96"/>
      <c r="AM68" s="96"/>
      <c r="AN68" s="96"/>
      <c r="AO68" s="96"/>
      <c r="AP68" s="96"/>
      <c r="AQ68" s="96"/>
      <c r="AR68" s="96"/>
      <c r="AS68" s="96"/>
      <c r="AT68" s="96"/>
      <c r="AU68" s="96"/>
      <c r="AV68" s="96"/>
      <c r="AW68" s="96"/>
      <c r="AX68" s="96"/>
      <c r="AY68" s="156"/>
      <c r="AZ68" s="156"/>
      <c r="BA68" s="156"/>
      <c r="BB68" s="156"/>
      <c r="BC68" s="156"/>
      <c r="BD68" s="156"/>
      <c r="BE68" s="96"/>
      <c r="BF68" s="156"/>
      <c r="BG68" s="156"/>
    </row>
    <row r="69" spans="1:61" s="17" customFormat="1" ht="15.75" hidden="1" customHeight="1">
      <c r="A69" s="101">
        <v>45084</v>
      </c>
      <c r="B69" s="114" t="s">
        <v>37</v>
      </c>
      <c r="C69" s="116"/>
      <c r="D69" s="118"/>
      <c r="E69" s="116"/>
      <c r="F69" s="116"/>
      <c r="G69" s="120"/>
      <c r="H69" s="109"/>
      <c r="I69" s="90"/>
      <c r="J69" s="90"/>
      <c r="K69" s="20"/>
      <c r="L69" s="20"/>
      <c r="M69" s="20"/>
      <c r="N69" s="97" t="e">
        <f>O70/L70</f>
        <v>#DIV/0!</v>
      </c>
      <c r="O69" s="21"/>
      <c r="P69" s="27"/>
      <c r="Q69" s="99">
        <f>+L70-P70</f>
        <v>0</v>
      </c>
      <c r="R69" s="101"/>
      <c r="S69" s="96"/>
      <c r="T69" s="96"/>
      <c r="U69" s="96"/>
      <c r="V69" s="96"/>
      <c r="W69" s="96"/>
      <c r="X69" s="96"/>
      <c r="Y69" s="96"/>
      <c r="Z69" s="96"/>
      <c r="AA69" s="96"/>
      <c r="AB69" s="96"/>
      <c r="AC69" s="96"/>
      <c r="AD69" s="96"/>
      <c r="AE69" s="96"/>
      <c r="AF69" s="96"/>
      <c r="AG69" s="96"/>
      <c r="AH69" s="96"/>
      <c r="AI69" s="96"/>
      <c r="AJ69" s="96"/>
      <c r="AK69" s="96"/>
      <c r="AL69" s="96"/>
      <c r="AM69" s="96"/>
      <c r="AN69" s="96"/>
      <c r="AO69" s="96"/>
      <c r="AP69" s="96"/>
      <c r="AQ69" s="96"/>
      <c r="AR69" s="96"/>
      <c r="AS69" s="96"/>
      <c r="AT69" s="96"/>
      <c r="AU69" s="96"/>
      <c r="AV69" s="96"/>
      <c r="AW69" s="96"/>
      <c r="AX69" s="96"/>
      <c r="AY69" s="155"/>
      <c r="AZ69" s="155"/>
      <c r="BA69" s="155"/>
      <c r="BB69" s="155"/>
      <c r="BC69" s="155"/>
      <c r="BD69" s="155"/>
      <c r="BE69" s="96"/>
      <c r="BF69" s="155"/>
      <c r="BG69" s="155"/>
    </row>
    <row r="70" spans="1:61" s="17" customFormat="1" ht="15.75" hidden="1" customHeight="1">
      <c r="A70" s="102"/>
      <c r="B70" s="115"/>
      <c r="C70" s="117"/>
      <c r="D70" s="119"/>
      <c r="E70" s="117"/>
      <c r="F70" s="117"/>
      <c r="G70" s="121"/>
      <c r="H70" s="95"/>
      <c r="I70" s="95"/>
      <c r="J70" s="95"/>
      <c r="K70" s="22"/>
      <c r="L70" s="18"/>
      <c r="M70" s="18"/>
      <c r="N70" s="98"/>
      <c r="O70" s="19"/>
      <c r="P70" s="22"/>
      <c r="Q70" s="100"/>
      <c r="R70" s="102"/>
      <c r="S70" s="96"/>
      <c r="T70" s="96"/>
      <c r="U70" s="96"/>
      <c r="V70" s="96"/>
      <c r="W70" s="96"/>
      <c r="X70" s="96"/>
      <c r="Y70" s="96"/>
      <c r="Z70" s="96"/>
      <c r="AA70" s="96"/>
      <c r="AB70" s="96"/>
      <c r="AC70" s="96"/>
      <c r="AD70" s="96"/>
      <c r="AE70" s="96"/>
      <c r="AF70" s="96"/>
      <c r="AG70" s="96"/>
      <c r="AH70" s="96"/>
      <c r="AI70" s="96"/>
      <c r="AJ70" s="96"/>
      <c r="AK70" s="96"/>
      <c r="AL70" s="96"/>
      <c r="AM70" s="96"/>
      <c r="AN70" s="96"/>
      <c r="AO70" s="96"/>
      <c r="AP70" s="96"/>
      <c r="AQ70" s="96"/>
      <c r="AR70" s="96"/>
      <c r="AS70" s="96"/>
      <c r="AT70" s="96"/>
      <c r="AU70" s="96"/>
      <c r="AV70" s="96"/>
      <c r="AW70" s="96"/>
      <c r="AX70" s="96"/>
      <c r="AY70" s="156"/>
      <c r="AZ70" s="156"/>
      <c r="BA70" s="156"/>
      <c r="BB70" s="156"/>
      <c r="BC70" s="156"/>
      <c r="BD70" s="156"/>
      <c r="BE70" s="96"/>
      <c r="BF70" s="156"/>
      <c r="BG70" s="156"/>
    </row>
    <row r="71" spans="1:61" ht="24.75" hidden="1" customHeight="1">
      <c r="A71" s="111" t="s">
        <v>40</v>
      </c>
      <c r="B71" s="112"/>
      <c r="C71" s="112"/>
      <c r="D71" s="112"/>
      <c r="E71" s="112"/>
      <c r="F71" s="112"/>
      <c r="G71" s="112"/>
      <c r="H71" s="112"/>
      <c r="I71" s="113"/>
      <c r="J71" s="5">
        <f>SUM(J61:J70)</f>
        <v>0</v>
      </c>
      <c r="K71" s="5">
        <f>+SUMPRODUCT(((MOD(ROW(K61:K68),2)=0)*(K61:K68)))</f>
        <v>0</v>
      </c>
      <c r="L71" s="5">
        <f>+SUMPRODUCT(((MOD(ROW(L61:L68),2)=0)*(L61:L68)))</f>
        <v>0</v>
      </c>
      <c r="M71" s="5">
        <f>+SUMPRODUCT(((MOD(ROW(M61:M68),2)=0)*(M61:M68)))</f>
        <v>0</v>
      </c>
      <c r="N71" s="6" t="e">
        <f>O71/L71</f>
        <v>#DIV/0!</v>
      </c>
      <c r="O71" s="5">
        <f>+SUMPRODUCT(((MOD(ROW(O61:O68),2)=0)*(O61:O68)))</f>
        <v>0</v>
      </c>
      <c r="P71" s="5">
        <f>+SUMPRODUCT(((MOD(ROW(P61:P68),2)=0)*(P61:P68)))</f>
        <v>0</v>
      </c>
      <c r="Q71" s="29">
        <f>SUM(Q61:Q70)</f>
        <v>0</v>
      </c>
      <c r="R71" s="29"/>
      <c r="S71" s="29">
        <f t="shared" ref="S71:BG71" si="7">SUM(S61:S70)</f>
        <v>0</v>
      </c>
      <c r="T71" s="29">
        <f t="shared" si="7"/>
        <v>0</v>
      </c>
      <c r="U71" s="29">
        <f t="shared" si="7"/>
        <v>0</v>
      </c>
      <c r="V71" s="29">
        <f t="shared" si="7"/>
        <v>0</v>
      </c>
      <c r="W71" s="29">
        <f t="shared" si="7"/>
        <v>0</v>
      </c>
      <c r="X71" s="29">
        <f t="shared" si="7"/>
        <v>0</v>
      </c>
      <c r="Y71" s="29">
        <f t="shared" si="7"/>
        <v>0</v>
      </c>
      <c r="Z71" s="29">
        <f t="shared" si="7"/>
        <v>0</v>
      </c>
      <c r="AA71" s="29">
        <f t="shared" si="7"/>
        <v>0</v>
      </c>
      <c r="AB71" s="29">
        <f t="shared" si="7"/>
        <v>0</v>
      </c>
      <c r="AC71" s="29">
        <f t="shared" si="7"/>
        <v>0</v>
      </c>
      <c r="AD71" s="29">
        <f t="shared" si="7"/>
        <v>0</v>
      </c>
      <c r="AE71" s="29">
        <f t="shared" si="7"/>
        <v>0</v>
      </c>
      <c r="AF71" s="29">
        <f t="shared" si="7"/>
        <v>0</v>
      </c>
      <c r="AG71" s="29">
        <f t="shared" si="7"/>
        <v>0</v>
      </c>
      <c r="AH71" s="29">
        <f t="shared" si="7"/>
        <v>0</v>
      </c>
      <c r="AI71" s="29">
        <f t="shared" si="7"/>
        <v>0</v>
      </c>
      <c r="AJ71" s="29">
        <f t="shared" si="7"/>
        <v>0</v>
      </c>
      <c r="AK71" s="29">
        <f t="shared" si="7"/>
        <v>0</v>
      </c>
      <c r="AL71" s="29">
        <f t="shared" si="7"/>
        <v>0</v>
      </c>
      <c r="AM71" s="29">
        <f t="shared" si="7"/>
        <v>0</v>
      </c>
      <c r="AN71" s="29">
        <f t="shared" si="7"/>
        <v>0</v>
      </c>
      <c r="AO71" s="29">
        <f t="shared" si="7"/>
        <v>0</v>
      </c>
      <c r="AP71" s="29">
        <f t="shared" si="7"/>
        <v>0</v>
      </c>
      <c r="AQ71" s="29">
        <f t="shared" si="7"/>
        <v>0</v>
      </c>
      <c r="AR71" s="29">
        <f t="shared" si="7"/>
        <v>0</v>
      </c>
      <c r="AS71" s="29">
        <f t="shared" si="7"/>
        <v>0</v>
      </c>
      <c r="AT71" s="29">
        <f t="shared" si="7"/>
        <v>0</v>
      </c>
      <c r="AU71" s="29">
        <f t="shared" si="7"/>
        <v>0</v>
      </c>
      <c r="AV71" s="29">
        <f t="shared" si="7"/>
        <v>0</v>
      </c>
      <c r="AW71" s="29">
        <f t="shared" si="7"/>
        <v>0</v>
      </c>
      <c r="AX71" s="29">
        <f t="shared" si="7"/>
        <v>0</v>
      </c>
      <c r="AY71" s="29">
        <f t="shared" si="7"/>
        <v>0</v>
      </c>
      <c r="AZ71" s="29">
        <f t="shared" si="7"/>
        <v>0</v>
      </c>
      <c r="BA71" s="29">
        <f t="shared" si="7"/>
        <v>0</v>
      </c>
      <c r="BB71" s="29">
        <f t="shared" si="7"/>
        <v>0</v>
      </c>
      <c r="BC71" s="29">
        <f t="shared" si="7"/>
        <v>0</v>
      </c>
      <c r="BD71" s="29">
        <f t="shared" si="7"/>
        <v>0</v>
      </c>
      <c r="BE71" s="29">
        <f t="shared" si="7"/>
        <v>0</v>
      </c>
      <c r="BF71" s="29">
        <f t="shared" si="7"/>
        <v>0</v>
      </c>
      <c r="BG71" s="29">
        <f t="shared" si="7"/>
        <v>0</v>
      </c>
      <c r="BH71" s="17"/>
      <c r="BI71" s="17"/>
    </row>
    <row r="72" spans="1:61" s="17" customFormat="1" ht="15.75" hidden="1" customHeight="1">
      <c r="A72" s="101"/>
      <c r="B72" s="114"/>
      <c r="C72" s="116"/>
      <c r="D72" s="118"/>
      <c r="E72" s="116"/>
      <c r="F72" s="116"/>
      <c r="G72" s="120"/>
      <c r="H72" s="109"/>
      <c r="I72" s="90"/>
      <c r="J72" s="90"/>
      <c r="K72" s="20"/>
      <c r="L72" s="20"/>
      <c r="M72" s="20"/>
      <c r="N72" s="97"/>
      <c r="O72" s="21"/>
      <c r="P72" s="27"/>
      <c r="Q72" s="99"/>
      <c r="R72" s="154"/>
      <c r="S72" s="96"/>
      <c r="T72" s="96"/>
      <c r="U72" s="96"/>
      <c r="V72" s="96"/>
      <c r="W72" s="96"/>
      <c r="X72" s="96"/>
      <c r="Y72" s="96"/>
      <c r="Z72" s="96"/>
      <c r="AA72" s="96"/>
      <c r="AB72" s="96"/>
      <c r="AC72" s="96"/>
      <c r="AD72" s="96"/>
      <c r="AE72" s="96"/>
      <c r="AF72" s="96"/>
      <c r="AG72" s="96"/>
      <c r="AH72" s="96"/>
      <c r="AI72" s="96"/>
      <c r="AJ72" s="96"/>
      <c r="AK72" s="96"/>
      <c r="AL72" s="96"/>
      <c r="AM72" s="96"/>
      <c r="AN72" s="96"/>
      <c r="AO72" s="96"/>
      <c r="AP72" s="96"/>
      <c r="AQ72" s="96"/>
      <c r="AR72" s="96"/>
      <c r="AS72" s="96"/>
      <c r="AT72" s="96"/>
      <c r="AU72" s="96"/>
      <c r="AV72" s="96"/>
      <c r="AW72" s="96"/>
      <c r="AX72" s="96"/>
      <c r="AY72" s="155"/>
      <c r="AZ72" s="155"/>
      <c r="BA72" s="155"/>
      <c r="BB72" s="155"/>
      <c r="BC72" s="155"/>
      <c r="BD72" s="155"/>
      <c r="BE72" s="96"/>
      <c r="BF72" s="155"/>
      <c r="BG72" s="155"/>
    </row>
    <row r="73" spans="1:61" s="17" customFormat="1" ht="15.75" hidden="1" customHeight="1">
      <c r="A73" s="102"/>
      <c r="B73" s="115"/>
      <c r="C73" s="117"/>
      <c r="D73" s="119"/>
      <c r="E73" s="117"/>
      <c r="F73" s="117"/>
      <c r="G73" s="121"/>
      <c r="H73" s="95"/>
      <c r="I73" s="95"/>
      <c r="J73" s="95"/>
      <c r="K73" s="22"/>
      <c r="L73" s="18"/>
      <c r="M73" s="18"/>
      <c r="N73" s="98"/>
      <c r="O73" s="19"/>
      <c r="P73" s="22"/>
      <c r="Q73" s="100"/>
      <c r="R73" s="101"/>
      <c r="S73" s="96"/>
      <c r="T73" s="96"/>
      <c r="U73" s="96"/>
      <c r="V73" s="96"/>
      <c r="W73" s="96"/>
      <c r="X73" s="96"/>
      <c r="Y73" s="96"/>
      <c r="Z73" s="96"/>
      <c r="AA73" s="96"/>
      <c r="AB73" s="96"/>
      <c r="AC73" s="96"/>
      <c r="AD73" s="96"/>
      <c r="AE73" s="96"/>
      <c r="AF73" s="96"/>
      <c r="AG73" s="96"/>
      <c r="AH73" s="96"/>
      <c r="AI73" s="96"/>
      <c r="AJ73" s="96"/>
      <c r="AK73" s="96"/>
      <c r="AL73" s="96"/>
      <c r="AM73" s="96"/>
      <c r="AN73" s="96"/>
      <c r="AO73" s="96"/>
      <c r="AP73" s="96"/>
      <c r="AQ73" s="96"/>
      <c r="AR73" s="96"/>
      <c r="AS73" s="96"/>
      <c r="AT73" s="96"/>
      <c r="AU73" s="96"/>
      <c r="AV73" s="96"/>
      <c r="AW73" s="96"/>
      <c r="AX73" s="96"/>
      <c r="AY73" s="156"/>
      <c r="AZ73" s="156"/>
      <c r="BA73" s="156"/>
      <c r="BB73" s="156"/>
      <c r="BC73" s="156"/>
      <c r="BD73" s="156"/>
      <c r="BE73" s="96"/>
      <c r="BF73" s="156"/>
      <c r="BG73" s="156"/>
    </row>
    <row r="74" spans="1:61" s="17" customFormat="1" ht="15.75" hidden="1" customHeight="1">
      <c r="A74" s="101"/>
      <c r="B74" s="114"/>
      <c r="C74" s="116"/>
      <c r="D74" s="118"/>
      <c r="E74" s="116"/>
      <c r="F74" s="116"/>
      <c r="G74" s="120"/>
      <c r="H74" s="90"/>
      <c r="I74" s="90"/>
      <c r="J74" s="90"/>
      <c r="K74" s="20"/>
      <c r="L74" s="20"/>
      <c r="M74" s="20"/>
      <c r="N74" s="97"/>
      <c r="O74" s="21"/>
      <c r="P74" s="27"/>
      <c r="Q74" s="99"/>
      <c r="R74" s="154"/>
      <c r="S74" s="96"/>
      <c r="T74" s="96"/>
      <c r="U74" s="96"/>
      <c r="V74" s="96"/>
      <c r="W74" s="96"/>
      <c r="X74" s="96"/>
      <c r="Y74" s="96"/>
      <c r="Z74" s="96"/>
      <c r="AA74" s="96"/>
      <c r="AB74" s="96"/>
      <c r="AC74" s="96"/>
      <c r="AD74" s="96"/>
      <c r="AE74" s="96"/>
      <c r="AF74" s="96"/>
      <c r="AG74" s="96"/>
      <c r="AH74" s="96"/>
      <c r="AI74" s="96"/>
      <c r="AJ74" s="96"/>
      <c r="AK74" s="96"/>
      <c r="AL74" s="96"/>
      <c r="AM74" s="96"/>
      <c r="AN74" s="96"/>
      <c r="AO74" s="96"/>
      <c r="AP74" s="96"/>
      <c r="AQ74" s="96"/>
      <c r="AR74" s="96"/>
      <c r="AS74" s="96"/>
      <c r="AT74" s="96"/>
      <c r="AU74" s="96"/>
      <c r="AV74" s="96"/>
      <c r="AW74" s="96"/>
      <c r="AX74" s="96"/>
      <c r="AY74" s="155"/>
      <c r="AZ74" s="155"/>
      <c r="BA74" s="155"/>
      <c r="BB74" s="155"/>
      <c r="BC74" s="155"/>
      <c r="BD74" s="155"/>
      <c r="BE74" s="96"/>
      <c r="BF74" s="155"/>
      <c r="BG74" s="155"/>
    </row>
    <row r="75" spans="1:61" s="17" customFormat="1" ht="15.75" hidden="1" customHeight="1">
      <c r="A75" s="102"/>
      <c r="B75" s="115"/>
      <c r="C75" s="117"/>
      <c r="D75" s="119"/>
      <c r="E75" s="117"/>
      <c r="F75" s="117"/>
      <c r="G75" s="121"/>
      <c r="H75" s="95"/>
      <c r="I75" s="95"/>
      <c r="J75" s="95"/>
      <c r="K75" s="22"/>
      <c r="L75" s="18"/>
      <c r="M75" s="18"/>
      <c r="N75" s="98"/>
      <c r="O75" s="19"/>
      <c r="P75" s="22"/>
      <c r="Q75" s="100"/>
      <c r="R75" s="101"/>
      <c r="S75" s="96"/>
      <c r="T75" s="96"/>
      <c r="U75" s="96"/>
      <c r="V75" s="96"/>
      <c r="W75" s="96"/>
      <c r="X75" s="96"/>
      <c r="Y75" s="96"/>
      <c r="Z75" s="96"/>
      <c r="AA75" s="96"/>
      <c r="AB75" s="96"/>
      <c r="AC75" s="96"/>
      <c r="AD75" s="96"/>
      <c r="AE75" s="96"/>
      <c r="AF75" s="96"/>
      <c r="AG75" s="96"/>
      <c r="AH75" s="96"/>
      <c r="AI75" s="96"/>
      <c r="AJ75" s="96"/>
      <c r="AK75" s="96"/>
      <c r="AL75" s="96"/>
      <c r="AM75" s="96"/>
      <c r="AN75" s="96"/>
      <c r="AO75" s="96"/>
      <c r="AP75" s="96"/>
      <c r="AQ75" s="96"/>
      <c r="AR75" s="96"/>
      <c r="AS75" s="96"/>
      <c r="AT75" s="96"/>
      <c r="AU75" s="96"/>
      <c r="AV75" s="96"/>
      <c r="AW75" s="96"/>
      <c r="AX75" s="96"/>
      <c r="AY75" s="156"/>
      <c r="AZ75" s="156"/>
      <c r="BA75" s="156"/>
      <c r="BB75" s="156"/>
      <c r="BC75" s="156"/>
      <c r="BD75" s="156"/>
      <c r="BE75" s="96"/>
      <c r="BF75" s="156"/>
      <c r="BG75" s="156"/>
    </row>
    <row r="76" spans="1:61" s="17" customFormat="1" ht="15.75" hidden="1" customHeight="1">
      <c r="A76" s="101">
        <v>45163</v>
      </c>
      <c r="B76" s="114" t="s">
        <v>37</v>
      </c>
      <c r="C76" s="116"/>
      <c r="D76" s="118"/>
      <c r="E76" s="116"/>
      <c r="F76" s="116"/>
      <c r="G76" s="120"/>
      <c r="H76" s="90"/>
      <c r="I76" s="90"/>
      <c r="J76" s="90"/>
      <c r="K76" s="20"/>
      <c r="L76" s="20"/>
      <c r="M76" s="20"/>
      <c r="N76" s="97" t="e">
        <f>O77/L77</f>
        <v>#DIV/0!</v>
      </c>
      <c r="O76" s="21">
        <f>L76-M76</f>
        <v>0</v>
      </c>
      <c r="P76" s="27"/>
      <c r="Q76" s="99">
        <f>+L77-P77</f>
        <v>0</v>
      </c>
      <c r="R76" s="154"/>
      <c r="S76" s="96"/>
      <c r="T76" s="96"/>
      <c r="U76" s="96"/>
      <c r="V76" s="96"/>
      <c r="W76" s="96"/>
      <c r="X76" s="96"/>
      <c r="Y76" s="96"/>
      <c r="Z76" s="96"/>
      <c r="AA76" s="96"/>
      <c r="AB76" s="96"/>
      <c r="AC76" s="96"/>
      <c r="AD76" s="96"/>
      <c r="AE76" s="96"/>
      <c r="AF76" s="96"/>
      <c r="AG76" s="96"/>
      <c r="AH76" s="96"/>
      <c r="AI76" s="96"/>
      <c r="AJ76" s="96"/>
      <c r="AK76" s="96"/>
      <c r="AL76" s="96"/>
      <c r="AM76" s="96"/>
      <c r="AN76" s="96"/>
      <c r="AO76" s="96"/>
      <c r="AP76" s="96"/>
      <c r="AQ76" s="96"/>
      <c r="AR76" s="96"/>
      <c r="AS76" s="96"/>
      <c r="AT76" s="96"/>
      <c r="AU76" s="96"/>
      <c r="AV76" s="96"/>
      <c r="AW76" s="96"/>
      <c r="AX76" s="96"/>
      <c r="AY76" s="155"/>
      <c r="AZ76" s="155"/>
      <c r="BA76" s="155"/>
      <c r="BB76" s="155"/>
      <c r="BC76" s="155"/>
      <c r="BD76" s="155"/>
      <c r="BE76" s="96"/>
      <c r="BF76" s="155"/>
      <c r="BG76" s="155"/>
    </row>
    <row r="77" spans="1:61" s="17" customFormat="1" ht="15.75" hidden="1" customHeight="1">
      <c r="A77" s="102"/>
      <c r="B77" s="115"/>
      <c r="C77" s="117"/>
      <c r="D77" s="119"/>
      <c r="E77" s="117"/>
      <c r="F77" s="117"/>
      <c r="G77" s="121"/>
      <c r="H77" s="95"/>
      <c r="I77" s="95"/>
      <c r="J77" s="95"/>
      <c r="K77" s="22"/>
      <c r="L77" s="18"/>
      <c r="M77" s="18"/>
      <c r="N77" s="98"/>
      <c r="O77" s="19">
        <f>L77-M77</f>
        <v>0</v>
      </c>
      <c r="P77" s="22"/>
      <c r="Q77" s="100"/>
      <c r="R77" s="101"/>
      <c r="S77" s="96"/>
      <c r="T77" s="96"/>
      <c r="U77" s="96"/>
      <c r="V77" s="96"/>
      <c r="W77" s="96"/>
      <c r="X77" s="96"/>
      <c r="Y77" s="96"/>
      <c r="Z77" s="96"/>
      <c r="AA77" s="96"/>
      <c r="AB77" s="96"/>
      <c r="AC77" s="96"/>
      <c r="AD77" s="96"/>
      <c r="AE77" s="96"/>
      <c r="AF77" s="96"/>
      <c r="AG77" s="96"/>
      <c r="AH77" s="96"/>
      <c r="AI77" s="96"/>
      <c r="AJ77" s="96"/>
      <c r="AK77" s="96"/>
      <c r="AL77" s="96"/>
      <c r="AM77" s="96"/>
      <c r="AN77" s="96"/>
      <c r="AO77" s="96"/>
      <c r="AP77" s="96"/>
      <c r="AQ77" s="96"/>
      <c r="AR77" s="96"/>
      <c r="AS77" s="96"/>
      <c r="AT77" s="96"/>
      <c r="AU77" s="96"/>
      <c r="AV77" s="96"/>
      <c r="AW77" s="96"/>
      <c r="AX77" s="96"/>
      <c r="AY77" s="156"/>
      <c r="AZ77" s="156"/>
      <c r="BA77" s="156"/>
      <c r="BB77" s="156"/>
      <c r="BC77" s="156"/>
      <c r="BD77" s="156"/>
      <c r="BE77" s="96"/>
      <c r="BF77" s="156"/>
      <c r="BG77" s="156"/>
    </row>
    <row r="78" spans="1:61" s="17" customFormat="1" ht="15.75" hidden="1" customHeight="1">
      <c r="A78" s="101">
        <v>45163</v>
      </c>
      <c r="B78" s="114" t="s">
        <v>37</v>
      </c>
      <c r="C78" s="116"/>
      <c r="D78" s="118"/>
      <c r="E78" s="116"/>
      <c r="F78" s="116"/>
      <c r="G78" s="120"/>
      <c r="H78" s="90"/>
      <c r="I78" s="90"/>
      <c r="J78" s="90"/>
      <c r="K78" s="20"/>
      <c r="L78" s="20"/>
      <c r="M78" s="20"/>
      <c r="N78" s="97" t="e">
        <f>O79/L79</f>
        <v>#DIV/0!</v>
      </c>
      <c r="O78" s="21">
        <f>L78-M78</f>
        <v>0</v>
      </c>
      <c r="P78" s="27"/>
      <c r="Q78" s="99">
        <f>+L79-P79</f>
        <v>0</v>
      </c>
      <c r="R78" s="154"/>
      <c r="S78" s="96"/>
      <c r="T78" s="96"/>
      <c r="U78" s="96"/>
      <c r="V78" s="96"/>
      <c r="W78" s="96"/>
      <c r="X78" s="96"/>
      <c r="Y78" s="96"/>
      <c r="Z78" s="96"/>
      <c r="AA78" s="96"/>
      <c r="AB78" s="96"/>
      <c r="AC78" s="96"/>
      <c r="AD78" s="96"/>
      <c r="AE78" s="96"/>
      <c r="AF78" s="96"/>
      <c r="AG78" s="96"/>
      <c r="AH78" s="96"/>
      <c r="AI78" s="96"/>
      <c r="AJ78" s="96"/>
      <c r="AK78" s="96"/>
      <c r="AL78" s="96"/>
      <c r="AM78" s="96"/>
      <c r="AN78" s="96"/>
      <c r="AO78" s="96"/>
      <c r="AP78" s="96"/>
      <c r="AQ78" s="96"/>
      <c r="AR78" s="96"/>
      <c r="AS78" s="96"/>
      <c r="AT78" s="96"/>
      <c r="AU78" s="96"/>
      <c r="AV78" s="96"/>
      <c r="AW78" s="96"/>
      <c r="AX78" s="96"/>
      <c r="AY78" s="155"/>
      <c r="AZ78" s="155"/>
      <c r="BA78" s="155"/>
      <c r="BB78" s="155"/>
      <c r="BC78" s="155"/>
      <c r="BD78" s="155"/>
      <c r="BE78" s="96"/>
      <c r="BF78" s="155"/>
      <c r="BG78" s="155"/>
    </row>
    <row r="79" spans="1:61" s="17" customFormat="1" ht="15.75" hidden="1" customHeight="1">
      <c r="A79" s="102"/>
      <c r="B79" s="115"/>
      <c r="C79" s="117"/>
      <c r="D79" s="119"/>
      <c r="E79" s="117"/>
      <c r="F79" s="117"/>
      <c r="G79" s="121"/>
      <c r="H79" s="95"/>
      <c r="I79" s="95"/>
      <c r="J79" s="95"/>
      <c r="K79" s="22"/>
      <c r="L79" s="18"/>
      <c r="M79" s="18"/>
      <c r="N79" s="98"/>
      <c r="O79" s="19">
        <f>L79-M79</f>
        <v>0</v>
      </c>
      <c r="P79" s="22"/>
      <c r="Q79" s="100"/>
      <c r="R79" s="101"/>
      <c r="S79" s="96"/>
      <c r="T79" s="96"/>
      <c r="U79" s="96"/>
      <c r="V79" s="96"/>
      <c r="W79" s="96"/>
      <c r="X79" s="96"/>
      <c r="Y79" s="96"/>
      <c r="Z79" s="96"/>
      <c r="AA79" s="96"/>
      <c r="AB79" s="96"/>
      <c r="AC79" s="96"/>
      <c r="AD79" s="96"/>
      <c r="AE79" s="96"/>
      <c r="AF79" s="96"/>
      <c r="AG79" s="96"/>
      <c r="AH79" s="96"/>
      <c r="AI79" s="96"/>
      <c r="AJ79" s="96"/>
      <c r="AK79" s="96"/>
      <c r="AL79" s="96"/>
      <c r="AM79" s="96"/>
      <c r="AN79" s="96"/>
      <c r="AO79" s="96"/>
      <c r="AP79" s="96"/>
      <c r="AQ79" s="96"/>
      <c r="AR79" s="96"/>
      <c r="AS79" s="96"/>
      <c r="AT79" s="96"/>
      <c r="AU79" s="96"/>
      <c r="AV79" s="96"/>
      <c r="AW79" s="96"/>
      <c r="AX79" s="96"/>
      <c r="AY79" s="156"/>
      <c r="AZ79" s="156"/>
      <c r="BA79" s="156"/>
      <c r="BB79" s="156"/>
      <c r="BC79" s="156"/>
      <c r="BD79" s="156"/>
      <c r="BE79" s="96"/>
      <c r="BF79" s="156"/>
      <c r="BG79" s="156"/>
      <c r="BH79" s="1"/>
      <c r="BI79" s="1"/>
    </row>
    <row r="80" spans="1:61" ht="24.75" hidden="1" customHeight="1">
      <c r="A80" s="111" t="s">
        <v>48</v>
      </c>
      <c r="B80" s="112"/>
      <c r="C80" s="112"/>
      <c r="D80" s="112"/>
      <c r="E80" s="112"/>
      <c r="F80" s="112"/>
      <c r="G80" s="112"/>
      <c r="H80" s="112"/>
      <c r="I80" s="113"/>
      <c r="J80" s="5">
        <f>SUM(J72:J79)</f>
        <v>0</v>
      </c>
      <c r="K80" s="5">
        <f>+SUMPRODUCT(((MOD(ROW(K72:K79),2)=0)*(K72:K79)))</f>
        <v>0</v>
      </c>
      <c r="L80" s="5">
        <f>+SUMPRODUCT(((MOD(ROW(L72:L79),2)=0)*(L72:L79)))</f>
        <v>0</v>
      </c>
      <c r="M80" s="5">
        <f>+SUMPRODUCT(((MOD(ROW(M72:M79),2)=0)*(M72:M79)))</f>
        <v>0</v>
      </c>
      <c r="N80" s="6" t="e">
        <f>O80/L80</f>
        <v>#DIV/0!</v>
      </c>
      <c r="O80" s="5">
        <f>+SUMPRODUCT(((MOD(ROW(O72:O79),2)=0)*(O72:O79)))</f>
        <v>0</v>
      </c>
      <c r="P80" s="5">
        <f>+SUMPRODUCT(((MOD(ROW(P72:P79),2)=0)*(P72:P79)))</f>
        <v>0</v>
      </c>
      <c r="Q80" s="29">
        <f>SUM(Q72:Q79)</f>
        <v>0</v>
      </c>
      <c r="R80" s="29"/>
      <c r="S80" s="29">
        <f t="shared" ref="S80:BG80" si="8">SUM(S72:S79)</f>
        <v>0</v>
      </c>
      <c r="T80" s="29">
        <f t="shared" si="8"/>
        <v>0</v>
      </c>
      <c r="U80" s="29">
        <f t="shared" si="8"/>
        <v>0</v>
      </c>
      <c r="V80" s="29">
        <f t="shared" si="8"/>
        <v>0</v>
      </c>
      <c r="W80" s="29">
        <f t="shared" si="8"/>
        <v>0</v>
      </c>
      <c r="X80" s="29">
        <f t="shared" si="8"/>
        <v>0</v>
      </c>
      <c r="Y80" s="29">
        <f t="shared" si="8"/>
        <v>0</v>
      </c>
      <c r="Z80" s="29">
        <f t="shared" si="8"/>
        <v>0</v>
      </c>
      <c r="AA80" s="29">
        <f t="shared" si="8"/>
        <v>0</v>
      </c>
      <c r="AB80" s="29">
        <f t="shared" si="8"/>
        <v>0</v>
      </c>
      <c r="AC80" s="29">
        <f t="shared" si="8"/>
        <v>0</v>
      </c>
      <c r="AD80" s="29">
        <f t="shared" si="8"/>
        <v>0</v>
      </c>
      <c r="AE80" s="29">
        <f t="shared" si="8"/>
        <v>0</v>
      </c>
      <c r="AF80" s="29">
        <f t="shared" si="8"/>
        <v>0</v>
      </c>
      <c r="AG80" s="29">
        <f t="shared" si="8"/>
        <v>0</v>
      </c>
      <c r="AH80" s="29">
        <f t="shared" si="8"/>
        <v>0</v>
      </c>
      <c r="AI80" s="29">
        <f t="shared" si="8"/>
        <v>0</v>
      </c>
      <c r="AJ80" s="29">
        <f t="shared" si="8"/>
        <v>0</v>
      </c>
      <c r="AK80" s="29">
        <f t="shared" si="8"/>
        <v>0</v>
      </c>
      <c r="AL80" s="29">
        <f t="shared" si="8"/>
        <v>0</v>
      </c>
      <c r="AM80" s="29">
        <f t="shared" si="8"/>
        <v>0</v>
      </c>
      <c r="AN80" s="29">
        <f t="shared" si="8"/>
        <v>0</v>
      </c>
      <c r="AO80" s="29">
        <f t="shared" si="8"/>
        <v>0</v>
      </c>
      <c r="AP80" s="29">
        <f t="shared" si="8"/>
        <v>0</v>
      </c>
      <c r="AQ80" s="29">
        <f t="shared" si="8"/>
        <v>0</v>
      </c>
      <c r="AR80" s="29">
        <f t="shared" si="8"/>
        <v>0</v>
      </c>
      <c r="AS80" s="29">
        <f t="shared" si="8"/>
        <v>0</v>
      </c>
      <c r="AT80" s="29">
        <f t="shared" si="8"/>
        <v>0</v>
      </c>
      <c r="AU80" s="29">
        <f t="shared" si="8"/>
        <v>0</v>
      </c>
      <c r="AV80" s="29">
        <f t="shared" si="8"/>
        <v>0</v>
      </c>
      <c r="AW80" s="29">
        <f t="shared" si="8"/>
        <v>0</v>
      </c>
      <c r="AX80" s="29">
        <f t="shared" si="8"/>
        <v>0</v>
      </c>
      <c r="AY80" s="29">
        <f t="shared" si="8"/>
        <v>0</v>
      </c>
      <c r="AZ80" s="29">
        <f t="shared" si="8"/>
        <v>0</v>
      </c>
      <c r="BA80" s="29">
        <f t="shared" si="8"/>
        <v>0</v>
      </c>
      <c r="BB80" s="29">
        <f t="shared" si="8"/>
        <v>0</v>
      </c>
      <c r="BC80" s="29">
        <f t="shared" si="8"/>
        <v>0</v>
      </c>
      <c r="BD80" s="29">
        <f t="shared" si="8"/>
        <v>0</v>
      </c>
      <c r="BE80" s="29">
        <f t="shared" si="8"/>
        <v>0</v>
      </c>
      <c r="BF80" s="29">
        <f t="shared" si="8"/>
        <v>0</v>
      </c>
      <c r="BG80" s="29">
        <f t="shared" si="8"/>
        <v>0</v>
      </c>
      <c r="BH80" s="17"/>
      <c r="BI80" s="17"/>
    </row>
    <row r="81" spans="1:61" s="17" customFormat="1" ht="15.75" hidden="1" customHeight="1">
      <c r="A81" s="101"/>
      <c r="B81" s="114"/>
      <c r="C81" s="116"/>
      <c r="D81" s="118"/>
      <c r="E81" s="157"/>
      <c r="F81" s="116"/>
      <c r="G81" s="120"/>
      <c r="H81" s="109"/>
      <c r="I81" s="90"/>
      <c r="J81" s="90"/>
      <c r="K81" s="20"/>
      <c r="L81" s="20"/>
      <c r="M81" s="20"/>
      <c r="N81" s="97"/>
      <c r="O81" s="21"/>
      <c r="P81" s="27"/>
      <c r="Q81" s="99"/>
      <c r="R81" s="101"/>
      <c r="S81" s="96"/>
      <c r="T81" s="96"/>
      <c r="U81" s="96"/>
      <c r="V81" s="96"/>
      <c r="W81" s="96"/>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6"/>
      <c r="AY81" s="155"/>
      <c r="AZ81" s="155"/>
      <c r="BA81" s="155"/>
      <c r="BB81" s="155"/>
      <c r="BC81" s="155"/>
      <c r="BD81" s="155"/>
      <c r="BE81" s="96"/>
      <c r="BF81" s="155"/>
      <c r="BG81" s="155"/>
    </row>
    <row r="82" spans="1:61" s="17" customFormat="1" ht="15.75" hidden="1" customHeight="1">
      <c r="A82" s="102"/>
      <c r="B82" s="115"/>
      <c r="C82" s="117"/>
      <c r="D82" s="119"/>
      <c r="E82" s="117"/>
      <c r="F82" s="117"/>
      <c r="G82" s="121"/>
      <c r="H82" s="95"/>
      <c r="I82" s="95"/>
      <c r="J82" s="95"/>
      <c r="K82" s="22"/>
      <c r="L82" s="18"/>
      <c r="M82" s="18"/>
      <c r="N82" s="98"/>
      <c r="O82" s="19"/>
      <c r="P82" s="22"/>
      <c r="Q82" s="100"/>
      <c r="R82" s="102"/>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6"/>
      <c r="AZ82" s="156"/>
      <c r="BA82" s="156"/>
      <c r="BB82" s="156"/>
      <c r="BC82" s="156"/>
      <c r="BD82" s="156"/>
      <c r="BE82" s="96"/>
      <c r="BF82" s="156"/>
      <c r="BG82" s="156"/>
    </row>
    <row r="83" spans="1:61" s="17" customFormat="1" ht="15.75" hidden="1" customHeight="1">
      <c r="A83" s="101">
        <v>45061</v>
      </c>
      <c r="B83" s="114" t="s">
        <v>37</v>
      </c>
      <c r="C83" s="116"/>
      <c r="D83" s="118"/>
      <c r="E83" s="157"/>
      <c r="F83" s="116"/>
      <c r="G83" s="120"/>
      <c r="H83" s="90"/>
      <c r="I83" s="90"/>
      <c r="J83" s="90"/>
      <c r="K83" s="20"/>
      <c r="L83" s="20"/>
      <c r="M83" s="20"/>
      <c r="N83" s="97" t="e">
        <f>O84/L84</f>
        <v>#DIV/0!</v>
      </c>
      <c r="O83" s="21">
        <f t="shared" ref="O83:O88" si="9">L83-M83</f>
        <v>0</v>
      </c>
      <c r="P83" s="27"/>
      <c r="Q83" s="99">
        <f>+L84-P84</f>
        <v>0</v>
      </c>
      <c r="R83" s="101"/>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5"/>
      <c r="AZ83" s="155"/>
      <c r="BA83" s="155"/>
      <c r="BB83" s="155"/>
      <c r="BC83" s="155"/>
      <c r="BD83" s="155"/>
      <c r="BE83" s="96"/>
      <c r="BF83" s="155"/>
      <c r="BG83" s="155"/>
    </row>
    <row r="84" spans="1:61" s="17" customFormat="1" ht="15.75" hidden="1" customHeight="1">
      <c r="A84" s="102"/>
      <c r="B84" s="115"/>
      <c r="C84" s="117"/>
      <c r="D84" s="119"/>
      <c r="E84" s="117"/>
      <c r="F84" s="117"/>
      <c r="G84" s="121"/>
      <c r="H84" s="95"/>
      <c r="I84" s="95"/>
      <c r="J84" s="95"/>
      <c r="K84" s="22"/>
      <c r="L84" s="18"/>
      <c r="M84" s="18"/>
      <c r="N84" s="98"/>
      <c r="O84" s="19">
        <f t="shared" si="9"/>
        <v>0</v>
      </c>
      <c r="P84" s="22"/>
      <c r="Q84" s="100"/>
      <c r="R84" s="102"/>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6"/>
      <c r="AZ84" s="156"/>
      <c r="BA84" s="156"/>
      <c r="BB84" s="156"/>
      <c r="BC84" s="156"/>
      <c r="BD84" s="156"/>
      <c r="BE84" s="96"/>
      <c r="BF84" s="156"/>
      <c r="BG84" s="156"/>
    </row>
    <row r="85" spans="1:61" s="17" customFormat="1" ht="15.75" hidden="1" customHeight="1">
      <c r="A85" s="101">
        <v>44990</v>
      </c>
      <c r="B85" s="114" t="s">
        <v>37</v>
      </c>
      <c r="C85" s="116"/>
      <c r="D85" s="118"/>
      <c r="E85" s="116"/>
      <c r="F85" s="116"/>
      <c r="G85" s="120"/>
      <c r="H85" s="90"/>
      <c r="I85" s="90"/>
      <c r="J85" s="90"/>
      <c r="K85" s="20"/>
      <c r="L85" s="20"/>
      <c r="M85" s="20"/>
      <c r="N85" s="97" t="e">
        <f>O86/L86</f>
        <v>#DIV/0!</v>
      </c>
      <c r="O85" s="21">
        <f t="shared" si="9"/>
        <v>0</v>
      </c>
      <c r="P85" s="27"/>
      <c r="Q85" s="99">
        <f>+L86-P86</f>
        <v>0</v>
      </c>
      <c r="R85" s="101"/>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5"/>
      <c r="AZ85" s="155"/>
      <c r="BA85" s="155"/>
      <c r="BB85" s="155"/>
      <c r="BC85" s="155"/>
      <c r="BD85" s="155"/>
      <c r="BE85" s="96"/>
      <c r="BF85" s="155"/>
      <c r="BG85" s="155"/>
    </row>
    <row r="86" spans="1:61" s="17" customFormat="1" ht="15.75" hidden="1" customHeight="1">
      <c r="A86" s="102"/>
      <c r="B86" s="115"/>
      <c r="C86" s="117"/>
      <c r="D86" s="119"/>
      <c r="E86" s="117"/>
      <c r="F86" s="117"/>
      <c r="G86" s="121"/>
      <c r="H86" s="95"/>
      <c r="I86" s="95"/>
      <c r="J86" s="95"/>
      <c r="K86" s="22"/>
      <c r="L86" s="18"/>
      <c r="M86" s="18"/>
      <c r="N86" s="98"/>
      <c r="O86" s="19">
        <f t="shared" si="9"/>
        <v>0</v>
      </c>
      <c r="P86" s="22"/>
      <c r="Q86" s="100"/>
      <c r="R86" s="102"/>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6"/>
      <c r="AZ86" s="156"/>
      <c r="BA86" s="156"/>
      <c r="BB86" s="156"/>
      <c r="BC86" s="156"/>
      <c r="BD86" s="156"/>
      <c r="BE86" s="96"/>
      <c r="BF86" s="156"/>
      <c r="BG86" s="156"/>
    </row>
    <row r="87" spans="1:61" s="17" customFormat="1" ht="15.75" hidden="1" customHeight="1">
      <c r="A87" s="101">
        <v>44990</v>
      </c>
      <c r="B87" s="114" t="s">
        <v>37</v>
      </c>
      <c r="C87" s="116"/>
      <c r="D87" s="118"/>
      <c r="E87" s="116"/>
      <c r="F87" s="116"/>
      <c r="G87" s="120"/>
      <c r="H87" s="90"/>
      <c r="I87" s="90"/>
      <c r="J87" s="90"/>
      <c r="K87" s="20"/>
      <c r="L87" s="20"/>
      <c r="M87" s="20"/>
      <c r="N87" s="97" t="e">
        <f>O88/L88</f>
        <v>#DIV/0!</v>
      </c>
      <c r="O87" s="21">
        <f t="shared" si="9"/>
        <v>0</v>
      </c>
      <c r="P87" s="27"/>
      <c r="Q87" s="99">
        <f>+L88-P88</f>
        <v>0</v>
      </c>
      <c r="R87" s="101"/>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5"/>
      <c r="AZ87" s="155"/>
      <c r="BA87" s="155"/>
      <c r="BB87" s="155"/>
      <c r="BC87" s="155"/>
      <c r="BD87" s="155"/>
      <c r="BE87" s="96"/>
      <c r="BF87" s="155"/>
      <c r="BG87" s="155"/>
    </row>
    <row r="88" spans="1:61" s="17" customFormat="1" ht="15.75" hidden="1" customHeight="1">
      <c r="A88" s="102"/>
      <c r="B88" s="115"/>
      <c r="C88" s="117"/>
      <c r="D88" s="119"/>
      <c r="E88" s="117"/>
      <c r="F88" s="117"/>
      <c r="G88" s="121"/>
      <c r="H88" s="95"/>
      <c r="I88" s="95"/>
      <c r="J88" s="95"/>
      <c r="K88" s="22"/>
      <c r="L88" s="18"/>
      <c r="M88" s="18"/>
      <c r="N88" s="98"/>
      <c r="O88" s="19">
        <f t="shared" si="9"/>
        <v>0</v>
      </c>
      <c r="P88" s="22"/>
      <c r="Q88" s="100"/>
      <c r="R88" s="102"/>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6"/>
      <c r="AZ88" s="156"/>
      <c r="BA88" s="156"/>
      <c r="BB88" s="156"/>
      <c r="BC88" s="156"/>
      <c r="BD88" s="156"/>
      <c r="BE88" s="96"/>
      <c r="BF88" s="156"/>
      <c r="BG88" s="156"/>
      <c r="BH88" s="1"/>
      <c r="BI88" s="1"/>
    </row>
    <row r="89" spans="1:61" ht="24.75" hidden="1" customHeight="1">
      <c r="A89" s="111" t="s">
        <v>46</v>
      </c>
      <c r="B89" s="112"/>
      <c r="C89" s="112"/>
      <c r="D89" s="112"/>
      <c r="E89" s="112"/>
      <c r="F89" s="112"/>
      <c r="G89" s="112"/>
      <c r="H89" s="112"/>
      <c r="I89" s="113"/>
      <c r="J89" s="5">
        <f>SUM(J81:J88)</f>
        <v>0</v>
      </c>
      <c r="K89" s="5">
        <f>+SUMPRODUCT(((MOD(ROW(K81:K88),2)=0)*(K81:K88)))</f>
        <v>0</v>
      </c>
      <c r="L89" s="5">
        <f>+SUMPRODUCT(((MOD(ROW(L81:L88),2)=0)*(L81:L88)))</f>
        <v>0</v>
      </c>
      <c r="M89" s="5">
        <f>+SUMPRODUCT(((MOD(ROW(M81:M88),2)=0)*(M81:M88)))</f>
        <v>0</v>
      </c>
      <c r="N89" s="6" t="e">
        <f>O89/L89</f>
        <v>#DIV/0!</v>
      </c>
      <c r="O89" s="5">
        <f>+SUMPRODUCT(((MOD(ROW(O81:O88),2)=0)*(O81:O88)))</f>
        <v>0</v>
      </c>
      <c r="P89" s="5">
        <f>+SUMPRODUCT(((MOD(ROW(P81:P88),2)=0)*(P81:P88)))</f>
        <v>0</v>
      </c>
      <c r="Q89" s="29">
        <f>SUM(Q81:Q88)</f>
        <v>0</v>
      </c>
      <c r="R89" s="29"/>
      <c r="S89" s="29">
        <f t="shared" ref="S89:BG89" si="10">SUM(S81:S88)</f>
        <v>0</v>
      </c>
      <c r="T89" s="29">
        <f t="shared" si="10"/>
        <v>0</v>
      </c>
      <c r="U89" s="29">
        <f t="shared" si="10"/>
        <v>0</v>
      </c>
      <c r="V89" s="29">
        <f t="shared" si="10"/>
        <v>0</v>
      </c>
      <c r="W89" s="29">
        <f t="shared" si="10"/>
        <v>0</v>
      </c>
      <c r="X89" s="29">
        <f t="shared" si="10"/>
        <v>0</v>
      </c>
      <c r="Y89" s="29">
        <f t="shared" si="10"/>
        <v>0</v>
      </c>
      <c r="Z89" s="29">
        <f t="shared" si="10"/>
        <v>0</v>
      </c>
      <c r="AA89" s="29">
        <f t="shared" si="10"/>
        <v>0</v>
      </c>
      <c r="AB89" s="29">
        <f t="shared" si="10"/>
        <v>0</v>
      </c>
      <c r="AC89" s="29">
        <f t="shared" si="10"/>
        <v>0</v>
      </c>
      <c r="AD89" s="29">
        <f t="shared" si="10"/>
        <v>0</v>
      </c>
      <c r="AE89" s="29">
        <f t="shared" si="10"/>
        <v>0</v>
      </c>
      <c r="AF89" s="29">
        <f t="shared" si="10"/>
        <v>0</v>
      </c>
      <c r="AG89" s="29">
        <f t="shared" si="10"/>
        <v>0</v>
      </c>
      <c r="AH89" s="29">
        <f t="shared" si="10"/>
        <v>0</v>
      </c>
      <c r="AI89" s="29">
        <f t="shared" si="10"/>
        <v>0</v>
      </c>
      <c r="AJ89" s="29">
        <f t="shared" si="10"/>
        <v>0</v>
      </c>
      <c r="AK89" s="29">
        <f t="shared" si="10"/>
        <v>0</v>
      </c>
      <c r="AL89" s="29">
        <f t="shared" si="10"/>
        <v>0</v>
      </c>
      <c r="AM89" s="29">
        <f t="shared" si="10"/>
        <v>0</v>
      </c>
      <c r="AN89" s="29">
        <f t="shared" si="10"/>
        <v>0</v>
      </c>
      <c r="AO89" s="29">
        <f t="shared" si="10"/>
        <v>0</v>
      </c>
      <c r="AP89" s="29">
        <f t="shared" si="10"/>
        <v>0</v>
      </c>
      <c r="AQ89" s="29">
        <f t="shared" si="10"/>
        <v>0</v>
      </c>
      <c r="AR89" s="29">
        <f t="shared" si="10"/>
        <v>0</v>
      </c>
      <c r="AS89" s="29">
        <f t="shared" si="10"/>
        <v>0</v>
      </c>
      <c r="AT89" s="29">
        <f t="shared" si="10"/>
        <v>0</v>
      </c>
      <c r="AU89" s="29">
        <f t="shared" si="10"/>
        <v>0</v>
      </c>
      <c r="AV89" s="29">
        <f t="shared" si="10"/>
        <v>0</v>
      </c>
      <c r="AW89" s="29">
        <f t="shared" si="10"/>
        <v>0</v>
      </c>
      <c r="AX89" s="29">
        <f t="shared" si="10"/>
        <v>0</v>
      </c>
      <c r="AY89" s="29">
        <f t="shared" si="10"/>
        <v>0</v>
      </c>
      <c r="AZ89" s="29">
        <f t="shared" si="10"/>
        <v>0</v>
      </c>
      <c r="BA89" s="29">
        <f t="shared" si="10"/>
        <v>0</v>
      </c>
      <c r="BB89" s="29">
        <f t="shared" si="10"/>
        <v>0</v>
      </c>
      <c r="BC89" s="29">
        <f t="shared" si="10"/>
        <v>0</v>
      </c>
      <c r="BD89" s="29">
        <f t="shared" si="10"/>
        <v>0</v>
      </c>
      <c r="BE89" s="29">
        <f t="shared" si="10"/>
        <v>0</v>
      </c>
      <c r="BF89" s="29">
        <f t="shared" si="10"/>
        <v>0</v>
      </c>
      <c r="BG89" s="29">
        <f t="shared" si="10"/>
        <v>0</v>
      </c>
    </row>
    <row r="90" spans="1:61" ht="24.75" customHeight="1">
      <c r="A90" s="122" t="s">
        <v>5</v>
      </c>
      <c r="B90" s="122"/>
      <c r="C90" s="122"/>
      <c r="D90" s="122"/>
      <c r="E90" s="122"/>
      <c r="F90" s="122"/>
      <c r="G90" s="122"/>
      <c r="H90" s="122"/>
      <c r="I90" s="122"/>
      <c r="J90" s="4">
        <f>J60+J71+J80+J89</f>
        <v>12023</v>
      </c>
      <c r="K90" s="4">
        <f>K60+K71+K80+K89</f>
        <v>30</v>
      </c>
      <c r="L90" s="4">
        <f>L60+L71+L80+L89</f>
        <v>0</v>
      </c>
      <c r="M90" s="4">
        <f>M60+M71+M80+M89</f>
        <v>0</v>
      </c>
      <c r="N90" s="33" t="e">
        <f>O90/L90</f>
        <v>#DIV/0!</v>
      </c>
      <c r="O90" s="4">
        <f>O60+O71+O80+O89</f>
        <v>0</v>
      </c>
      <c r="P90" s="31">
        <f>P60+P71+P80+P89</f>
        <v>145</v>
      </c>
      <c r="Q90" s="31">
        <f>Q60+Q71+Q80+Q89</f>
        <v>40</v>
      </c>
      <c r="R90" s="4"/>
      <c r="S90" s="31">
        <f t="shared" ref="S90:BG90" si="11">S60+S71+S80+S89</f>
        <v>0</v>
      </c>
      <c r="T90" s="31">
        <f t="shared" si="11"/>
        <v>0</v>
      </c>
      <c r="U90" s="31">
        <f t="shared" si="11"/>
        <v>0</v>
      </c>
      <c r="V90" s="31">
        <f t="shared" si="11"/>
        <v>0</v>
      </c>
      <c r="W90" s="31">
        <f t="shared" si="11"/>
        <v>0</v>
      </c>
      <c r="X90" s="31">
        <f t="shared" si="11"/>
        <v>0</v>
      </c>
      <c r="Y90" s="31">
        <f t="shared" si="11"/>
        <v>0</v>
      </c>
      <c r="Z90" s="31">
        <f t="shared" si="11"/>
        <v>0</v>
      </c>
      <c r="AA90" s="31">
        <f t="shared" si="11"/>
        <v>0</v>
      </c>
      <c r="AB90" s="31">
        <f t="shared" si="11"/>
        <v>0</v>
      </c>
      <c r="AC90" s="31">
        <f t="shared" si="11"/>
        <v>0</v>
      </c>
      <c r="AD90" s="31">
        <f t="shared" si="11"/>
        <v>0</v>
      </c>
      <c r="AE90" s="31">
        <f t="shared" si="11"/>
        <v>0</v>
      </c>
      <c r="AF90" s="31">
        <f t="shared" si="11"/>
        <v>0</v>
      </c>
      <c r="AG90" s="31">
        <f t="shared" si="11"/>
        <v>0</v>
      </c>
      <c r="AH90" s="31">
        <f t="shared" si="11"/>
        <v>0</v>
      </c>
      <c r="AI90" s="31">
        <f t="shared" si="11"/>
        <v>0</v>
      </c>
      <c r="AJ90" s="31">
        <f t="shared" si="11"/>
        <v>0</v>
      </c>
      <c r="AK90" s="31">
        <f t="shared" si="11"/>
        <v>0</v>
      </c>
      <c r="AL90" s="31">
        <f t="shared" si="11"/>
        <v>0</v>
      </c>
      <c r="AM90" s="31">
        <f t="shared" si="11"/>
        <v>0</v>
      </c>
      <c r="AN90" s="31">
        <f t="shared" si="11"/>
        <v>0</v>
      </c>
      <c r="AO90" s="31">
        <f t="shared" si="11"/>
        <v>0</v>
      </c>
      <c r="AP90" s="31">
        <f t="shared" si="11"/>
        <v>0</v>
      </c>
      <c r="AQ90" s="31">
        <f t="shared" si="11"/>
        <v>0</v>
      </c>
      <c r="AR90" s="31">
        <f t="shared" si="11"/>
        <v>0</v>
      </c>
      <c r="AS90" s="31">
        <f t="shared" si="11"/>
        <v>0</v>
      </c>
      <c r="AT90" s="31">
        <f t="shared" si="11"/>
        <v>0</v>
      </c>
      <c r="AU90" s="31">
        <f t="shared" si="11"/>
        <v>0</v>
      </c>
      <c r="AV90" s="31">
        <f t="shared" si="11"/>
        <v>0</v>
      </c>
      <c r="AW90" s="31">
        <f t="shared" si="11"/>
        <v>0</v>
      </c>
      <c r="AX90" s="31">
        <f t="shared" si="11"/>
        <v>0</v>
      </c>
      <c r="AY90" s="31">
        <f t="shared" si="11"/>
        <v>0</v>
      </c>
      <c r="AZ90" s="31">
        <f t="shared" si="11"/>
        <v>0</v>
      </c>
      <c r="BA90" s="31">
        <f t="shared" si="11"/>
        <v>0</v>
      </c>
      <c r="BB90" s="31">
        <f t="shared" si="11"/>
        <v>0</v>
      </c>
      <c r="BC90" s="31">
        <f t="shared" si="11"/>
        <v>0</v>
      </c>
      <c r="BD90" s="31">
        <f t="shared" si="11"/>
        <v>0</v>
      </c>
      <c r="BE90" s="31">
        <f t="shared" si="11"/>
        <v>0</v>
      </c>
      <c r="BF90" s="31">
        <f t="shared" si="11"/>
        <v>0</v>
      </c>
      <c r="BG90" s="31">
        <f t="shared" si="11"/>
        <v>0</v>
      </c>
    </row>
    <row r="93" spans="1:61" s="25" customFormat="1" ht="35.25" customHeight="1">
      <c r="A93" s="2"/>
      <c r="B93" s="2"/>
      <c r="C93" s="2"/>
      <c r="D93" s="1"/>
      <c r="E93" s="1"/>
      <c r="F93" s="1"/>
      <c r="G93" s="1"/>
      <c r="H93" s="1"/>
      <c r="I93" s="1"/>
      <c r="J93" s="1"/>
      <c r="K93" s="35"/>
      <c r="L93" s="35"/>
      <c r="M93" s="35"/>
      <c r="N93" s="35"/>
      <c r="O93" s="35"/>
      <c r="P93" s="35"/>
      <c r="Q93" s="36"/>
      <c r="S93" s="8"/>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row>
    <row r="96" spans="1:61" s="25" customFormat="1" ht="33" customHeight="1">
      <c r="A96" s="2"/>
      <c r="B96" s="2"/>
      <c r="C96" s="2"/>
      <c r="D96" s="1"/>
      <c r="E96" s="1"/>
      <c r="F96" s="1"/>
      <c r="G96" s="1"/>
      <c r="H96" s="1"/>
      <c r="I96" s="1"/>
      <c r="J96" s="1"/>
      <c r="K96" s="1"/>
      <c r="L96" s="1"/>
      <c r="M96" s="1"/>
      <c r="N96" s="1"/>
      <c r="O96" s="1"/>
      <c r="S96" s="8"/>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row>
  </sheetData>
  <mergeCells count="2092">
    <mergeCell ref="A1:O1"/>
    <mergeCell ref="A2:O2"/>
    <mergeCell ref="S3:S4"/>
    <mergeCell ref="T3:T4"/>
    <mergeCell ref="U3:U4"/>
    <mergeCell ref="V3:V4"/>
    <mergeCell ref="AY3:AY4"/>
    <mergeCell ref="AZ3:AZ4"/>
    <mergeCell ref="BA3:BA4"/>
    <mergeCell ref="BB3:BB4"/>
    <mergeCell ref="BC3:BC4"/>
    <mergeCell ref="BD3:BD4"/>
    <mergeCell ref="BE3:BE4"/>
    <mergeCell ref="BF3:BF4"/>
    <mergeCell ref="BG3:BG4"/>
    <mergeCell ref="A5:A6"/>
    <mergeCell ref="B5:B6"/>
    <mergeCell ref="C5:C6"/>
    <mergeCell ref="D5:D6"/>
    <mergeCell ref="E5:E6"/>
    <mergeCell ref="F5:F6"/>
    <mergeCell ref="G5:G6"/>
    <mergeCell ref="H5:H6"/>
    <mergeCell ref="I5:I6"/>
    <mergeCell ref="J5:J6"/>
    <mergeCell ref="N5:N6"/>
    <mergeCell ref="Q5:Q6"/>
    <mergeCell ref="R5:R6"/>
    <mergeCell ref="S5:S6"/>
    <mergeCell ref="T5:T6"/>
    <mergeCell ref="W3:W4"/>
    <mergeCell ref="X3:X4"/>
    <mergeCell ref="Y3:Y4"/>
    <mergeCell ref="Z3:Z4"/>
    <mergeCell ref="AA3:AA4"/>
    <mergeCell ref="AB3:AB4"/>
    <mergeCell ref="AC3:AC4"/>
    <mergeCell ref="AD3:AD4"/>
    <mergeCell ref="AD5:AD6"/>
    <mergeCell ref="AE5:AE6"/>
    <mergeCell ref="AF5:AF6"/>
    <mergeCell ref="AQ3:AQ4"/>
    <mergeCell ref="AR3:AR4"/>
    <mergeCell ref="AQ5:AQ6"/>
    <mergeCell ref="AR5:AR6"/>
    <mergeCell ref="AG5:AG6"/>
    <mergeCell ref="AH5:AH6"/>
    <mergeCell ref="AI5:AI6"/>
    <mergeCell ref="AJ5:AJ6"/>
    <mergeCell ref="AK5:AK6"/>
    <mergeCell ref="AL5:AL6"/>
    <mergeCell ref="AU3:AU4"/>
    <mergeCell ref="AV3:AV4"/>
    <mergeCell ref="AW3:AW4"/>
    <mergeCell ref="AX3:AX4"/>
    <mergeCell ref="AE3:AE4"/>
    <mergeCell ref="AF3:AF4"/>
    <mergeCell ref="AG3:AG4"/>
    <mergeCell ref="AH3:AH4"/>
    <mergeCell ref="AS3:AS4"/>
    <mergeCell ref="AT3:AT4"/>
    <mergeCell ref="AI3:AI4"/>
    <mergeCell ref="AJ3:AJ4"/>
    <mergeCell ref="AK3:AK4"/>
    <mergeCell ref="AL3:AL4"/>
    <mergeCell ref="AM3:AM4"/>
    <mergeCell ref="AN3:AN4"/>
    <mergeCell ref="AO3:AO4"/>
    <mergeCell ref="AP3:AP4"/>
    <mergeCell ref="AX5:AX6"/>
    <mergeCell ref="AY5:AY6"/>
    <mergeCell ref="AZ5:AZ6"/>
    <mergeCell ref="BA5:BA6"/>
    <mergeCell ref="BB5:BB6"/>
    <mergeCell ref="BC5:BC6"/>
    <mergeCell ref="BD5:BD6"/>
    <mergeCell ref="BE5:BE6"/>
    <mergeCell ref="BF5:BF6"/>
    <mergeCell ref="BG5:BG6"/>
    <mergeCell ref="A7:A8"/>
    <mergeCell ref="B7:B8"/>
    <mergeCell ref="C7:C8"/>
    <mergeCell ref="D7:D8"/>
    <mergeCell ref="E7:E8"/>
    <mergeCell ref="F7:F8"/>
    <mergeCell ref="G7:G8"/>
    <mergeCell ref="H7:H8"/>
    <mergeCell ref="I7:I8"/>
    <mergeCell ref="J7:J8"/>
    <mergeCell ref="N7:N8"/>
    <mergeCell ref="Q7:Q8"/>
    <mergeCell ref="R7:R8"/>
    <mergeCell ref="U5:U6"/>
    <mergeCell ref="V5:V6"/>
    <mergeCell ref="W5:W6"/>
    <mergeCell ref="X5:X6"/>
    <mergeCell ref="Y5:Y6"/>
    <mergeCell ref="Z5:Z6"/>
    <mergeCell ref="AA5:AA6"/>
    <mergeCell ref="AB5:AB6"/>
    <mergeCell ref="AC5:AC6"/>
    <mergeCell ref="AG7:AG8"/>
    <mergeCell ref="AH7:AH8"/>
    <mergeCell ref="AI7:AI8"/>
    <mergeCell ref="AJ7:AJ8"/>
    <mergeCell ref="AM5:AM6"/>
    <mergeCell ref="AN5:AN6"/>
    <mergeCell ref="AO5:AO6"/>
    <mergeCell ref="AP5:AP6"/>
    <mergeCell ref="AO7:AO8"/>
    <mergeCell ref="AP7:AP8"/>
    <mergeCell ref="AS5:AS6"/>
    <mergeCell ref="AT5:AT6"/>
    <mergeCell ref="AU5:AU6"/>
    <mergeCell ref="AV5:AV6"/>
    <mergeCell ref="AW5:AW6"/>
    <mergeCell ref="AK7:AK8"/>
    <mergeCell ref="AL7:AL8"/>
    <mergeCell ref="AM7:AM8"/>
    <mergeCell ref="AN7:AN8"/>
    <mergeCell ref="AQ7:AQ8"/>
    <mergeCell ref="AR7:AR8"/>
    <mergeCell ref="AS7:AS8"/>
    <mergeCell ref="AT7:AT8"/>
    <mergeCell ref="AU7:AU8"/>
    <mergeCell ref="AV7:AV8"/>
    <mergeCell ref="AW7:AW8"/>
    <mergeCell ref="BA7:BA8"/>
    <mergeCell ref="BB7:BB8"/>
    <mergeCell ref="BC7:BC8"/>
    <mergeCell ref="BD7:BD8"/>
    <mergeCell ref="BE7:BE8"/>
    <mergeCell ref="BF7:BF8"/>
    <mergeCell ref="BG7:BG8"/>
    <mergeCell ref="A9:A10"/>
    <mergeCell ref="B9:B10"/>
    <mergeCell ref="C9:C10"/>
    <mergeCell ref="D9:D10"/>
    <mergeCell ref="E9:E10"/>
    <mergeCell ref="F9:F10"/>
    <mergeCell ref="G9:G10"/>
    <mergeCell ref="H9:H10"/>
    <mergeCell ref="I9:I10"/>
    <mergeCell ref="J9:J10"/>
    <mergeCell ref="N9:N10"/>
    <mergeCell ref="S7:S8"/>
    <mergeCell ref="T7:T8"/>
    <mergeCell ref="U7:U8"/>
    <mergeCell ref="V7:V8"/>
    <mergeCell ref="W7:W8"/>
    <mergeCell ref="X7:X8"/>
    <mergeCell ref="Y7:Y8"/>
    <mergeCell ref="Z7:Z8"/>
    <mergeCell ref="AA7:AA8"/>
    <mergeCell ref="AB7:AB8"/>
    <mergeCell ref="AC7:AC8"/>
    <mergeCell ref="AD7:AD8"/>
    <mergeCell ref="AE7:AE8"/>
    <mergeCell ref="AF7:AF8"/>
    <mergeCell ref="AX7:AX8"/>
    <mergeCell ref="AI9:AI10"/>
    <mergeCell ref="AJ9:AJ10"/>
    <mergeCell ref="AK9:AK10"/>
    <mergeCell ref="AL9:AL10"/>
    <mergeCell ref="BG9:BG10"/>
    <mergeCell ref="A11:A12"/>
    <mergeCell ref="B11:B12"/>
    <mergeCell ref="C11:C12"/>
    <mergeCell ref="D11:D12"/>
    <mergeCell ref="E11:E12"/>
    <mergeCell ref="F11:F12"/>
    <mergeCell ref="G11:G12"/>
    <mergeCell ref="H11:H12"/>
    <mergeCell ref="I11:I12"/>
    <mergeCell ref="Q9:Q10"/>
    <mergeCell ref="R9:R10"/>
    <mergeCell ref="S9:S10"/>
    <mergeCell ref="T9:T10"/>
    <mergeCell ref="U9:U10"/>
    <mergeCell ref="V9:V10"/>
    <mergeCell ref="W9:W10"/>
    <mergeCell ref="X9:X10"/>
    <mergeCell ref="AY7:AY8"/>
    <mergeCell ref="AZ7:AZ8"/>
    <mergeCell ref="Y9:Y10"/>
    <mergeCell ref="Z9:Z10"/>
    <mergeCell ref="AA9:AA10"/>
    <mergeCell ref="AB9:AB10"/>
    <mergeCell ref="AC9:AC10"/>
    <mergeCell ref="AD9:AD10"/>
    <mergeCell ref="AE9:AE10"/>
    <mergeCell ref="AF9:AF10"/>
    <mergeCell ref="AG9:AG10"/>
    <mergeCell ref="AH9:AH10"/>
    <mergeCell ref="AO9:AO10"/>
    <mergeCell ref="AP9:AP10"/>
    <mergeCell ref="AQ9:AQ10"/>
    <mergeCell ref="AR9:AR10"/>
    <mergeCell ref="AS9:AS10"/>
    <mergeCell ref="AT9:AT10"/>
    <mergeCell ref="AU9:AU10"/>
    <mergeCell ref="AM9:AM10"/>
    <mergeCell ref="AN9:AN10"/>
    <mergeCell ref="AV9:AV10"/>
    <mergeCell ref="AW9:AW10"/>
    <mergeCell ref="AX9:AX10"/>
    <mergeCell ref="AY9:AY10"/>
    <mergeCell ref="BC11:BC12"/>
    <mergeCell ref="AI11:AI12"/>
    <mergeCell ref="AJ11:AJ12"/>
    <mergeCell ref="BE11:BE12"/>
    <mergeCell ref="BF11:BF12"/>
    <mergeCell ref="AT11:AT12"/>
    <mergeCell ref="AU11:AU12"/>
    <mergeCell ref="AV11:AV12"/>
    <mergeCell ref="AW11:AW12"/>
    <mergeCell ref="AX11:AX12"/>
    <mergeCell ref="AY11:AY12"/>
    <mergeCell ref="AZ11:AZ12"/>
    <mergeCell ref="BA11:BA12"/>
    <mergeCell ref="BB11:BB12"/>
    <mergeCell ref="AZ9:AZ10"/>
    <mergeCell ref="BA9:BA10"/>
    <mergeCell ref="BB9:BB10"/>
    <mergeCell ref="BC9:BC10"/>
    <mergeCell ref="BD9:BD10"/>
    <mergeCell ref="BE9:BE10"/>
    <mergeCell ref="BF9:BF10"/>
    <mergeCell ref="BG11:BG12"/>
    <mergeCell ref="A13:A14"/>
    <mergeCell ref="B13:B14"/>
    <mergeCell ref="C13:C14"/>
    <mergeCell ref="D13:D14"/>
    <mergeCell ref="E13:E14"/>
    <mergeCell ref="F13:F14"/>
    <mergeCell ref="G13:G14"/>
    <mergeCell ref="J11:J12"/>
    <mergeCell ref="N11:N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11:AF12"/>
    <mergeCell ref="AW13:AW14"/>
    <mergeCell ref="AX13:AX14"/>
    <mergeCell ref="AY13:AY14"/>
    <mergeCell ref="AZ13:AZ14"/>
    <mergeCell ref="BA13:BA14"/>
    <mergeCell ref="BB13:BB14"/>
    <mergeCell ref="A15:A16"/>
    <mergeCell ref="B15:B16"/>
    <mergeCell ref="C15:C16"/>
    <mergeCell ref="D15:D16"/>
    <mergeCell ref="E15:E16"/>
    <mergeCell ref="AE13:AE14"/>
    <mergeCell ref="AM11:AM12"/>
    <mergeCell ref="AN11:AN12"/>
    <mergeCell ref="AO11:AO12"/>
    <mergeCell ref="AP11:AP12"/>
    <mergeCell ref="AQ11:AQ12"/>
    <mergeCell ref="AR11:AR12"/>
    <mergeCell ref="AS11:AS12"/>
    <mergeCell ref="F15:F16"/>
    <mergeCell ref="G15:G16"/>
    <mergeCell ref="H15:H16"/>
    <mergeCell ref="I15:I16"/>
    <mergeCell ref="J15:J16"/>
    <mergeCell ref="N15:N16"/>
    <mergeCell ref="Q15:Q16"/>
    <mergeCell ref="R15:R16"/>
    <mergeCell ref="S15:S16"/>
    <mergeCell ref="T15:T16"/>
    <mergeCell ref="U15:U16"/>
    <mergeCell ref="V15:V16"/>
    <mergeCell ref="AF13:AF14"/>
    <mergeCell ref="AG13:AG14"/>
    <mergeCell ref="AH13:AH14"/>
    <mergeCell ref="AK11:AK12"/>
    <mergeCell ref="AL11:AL12"/>
    <mergeCell ref="Y13:Y14"/>
    <mergeCell ref="Z13:Z14"/>
    <mergeCell ref="AA13:AA14"/>
    <mergeCell ref="H13:H14"/>
    <mergeCell ref="I13:I14"/>
    <mergeCell ref="J13:J14"/>
    <mergeCell ref="N13:N14"/>
    <mergeCell ref="Q13:Q14"/>
    <mergeCell ref="R13:R14"/>
    <mergeCell ref="S13:S14"/>
    <mergeCell ref="T13:T14"/>
    <mergeCell ref="U13:U14"/>
    <mergeCell ref="V13:V14"/>
    <mergeCell ref="W13:W14"/>
    <mergeCell ref="X13:X14"/>
    <mergeCell ref="AG11:AG12"/>
    <mergeCell ref="AH11:AH12"/>
    <mergeCell ref="BC13:BC14"/>
    <mergeCell ref="BD13:BD14"/>
    <mergeCell ref="BD11:BD12"/>
    <mergeCell ref="BE13:BE14"/>
    <mergeCell ref="BF13:BF14"/>
    <mergeCell ref="BG13:BG14"/>
    <mergeCell ref="AB13:AB14"/>
    <mergeCell ref="AC13:AC14"/>
    <mergeCell ref="AD13:AD14"/>
    <mergeCell ref="AK13:AK14"/>
    <mergeCell ref="AL13:AL14"/>
    <mergeCell ref="AM13:AM14"/>
    <mergeCell ref="AN13:AN14"/>
    <mergeCell ref="AO13:AO14"/>
    <mergeCell ref="AP13:AP14"/>
    <mergeCell ref="AQ13:AQ14"/>
    <mergeCell ref="AR13:AR14"/>
    <mergeCell ref="AS13:AS14"/>
    <mergeCell ref="AT13:AT14"/>
    <mergeCell ref="AU13:AU14"/>
    <mergeCell ref="AV13:AV14"/>
    <mergeCell ref="AI13:AI14"/>
    <mergeCell ref="AJ13:AJ14"/>
    <mergeCell ref="AX17:AX18"/>
    <mergeCell ref="AO17:AO18"/>
    <mergeCell ref="AP17:AP18"/>
    <mergeCell ref="AY15:AY16"/>
    <mergeCell ref="AZ15:AZ16"/>
    <mergeCell ref="BA15:BA16"/>
    <mergeCell ref="BB15:BB16"/>
    <mergeCell ref="BC15:BC16"/>
    <mergeCell ref="BD15:BD16"/>
    <mergeCell ref="BE15:BE16"/>
    <mergeCell ref="BF15:BF16"/>
    <mergeCell ref="BG15:BG16"/>
    <mergeCell ref="A17:A18"/>
    <mergeCell ref="B17:B18"/>
    <mergeCell ref="C17:C18"/>
    <mergeCell ref="D17:D18"/>
    <mergeCell ref="E17:E18"/>
    <mergeCell ref="F17:F18"/>
    <mergeCell ref="G17:G18"/>
    <mergeCell ref="H17:H18"/>
    <mergeCell ref="I17:I18"/>
    <mergeCell ref="J17:J18"/>
    <mergeCell ref="N17:N18"/>
    <mergeCell ref="Q17:Q18"/>
    <mergeCell ref="R17:R18"/>
    <mergeCell ref="S17:S18"/>
    <mergeCell ref="T17:T18"/>
    <mergeCell ref="W15:W16"/>
    <mergeCell ref="X15:X16"/>
    <mergeCell ref="Y15:Y16"/>
    <mergeCell ref="Z15:Z16"/>
    <mergeCell ref="AA15:AA16"/>
    <mergeCell ref="AU15:AU16"/>
    <mergeCell ref="AV15:AV16"/>
    <mergeCell ref="AW15:AW16"/>
    <mergeCell ref="AX15:AX16"/>
    <mergeCell ref="AE15:AE16"/>
    <mergeCell ref="AF15:AF16"/>
    <mergeCell ref="AG15:AG16"/>
    <mergeCell ref="AH15:AH16"/>
    <mergeCell ref="AS15:AS16"/>
    <mergeCell ref="AT15:AT16"/>
    <mergeCell ref="AI15:AI16"/>
    <mergeCell ref="AJ15:AJ16"/>
    <mergeCell ref="AK15:AK16"/>
    <mergeCell ref="AL15:AL16"/>
    <mergeCell ref="AM15:AM16"/>
    <mergeCell ref="AN15:AN16"/>
    <mergeCell ref="AO15:AO16"/>
    <mergeCell ref="AP15:AP16"/>
    <mergeCell ref="AA17:AA18"/>
    <mergeCell ref="AB17:AB18"/>
    <mergeCell ref="AC17:AC18"/>
    <mergeCell ref="AE19:AE20"/>
    <mergeCell ref="AD17:AD18"/>
    <mergeCell ref="AE17:AE18"/>
    <mergeCell ref="AF17:AF18"/>
    <mergeCell ref="AM17:AM18"/>
    <mergeCell ref="AN17:AN18"/>
    <mergeCell ref="AQ15:AQ16"/>
    <mergeCell ref="AR15:AR16"/>
    <mergeCell ref="AQ17:AQ18"/>
    <mergeCell ref="AR17:AR18"/>
    <mergeCell ref="AG17:AG18"/>
    <mergeCell ref="AH17:AH18"/>
    <mergeCell ref="AI17:AI18"/>
    <mergeCell ref="AJ17:AJ18"/>
    <mergeCell ref="AK17:AK18"/>
    <mergeCell ref="AL17:AL18"/>
    <mergeCell ref="AB15:AB16"/>
    <mergeCell ref="AC15:AC16"/>
    <mergeCell ref="AD15:AD16"/>
    <mergeCell ref="AB19:AB20"/>
    <mergeCell ref="AC19:AC20"/>
    <mergeCell ref="AD19:AD20"/>
    <mergeCell ref="C19:C20"/>
    <mergeCell ref="D19:D20"/>
    <mergeCell ref="E19:E20"/>
    <mergeCell ref="F19:F20"/>
    <mergeCell ref="G19:G20"/>
    <mergeCell ref="H19:H20"/>
    <mergeCell ref="I19:I20"/>
    <mergeCell ref="J19:J20"/>
    <mergeCell ref="N19:N20"/>
    <mergeCell ref="Q19:Q20"/>
    <mergeCell ref="R19:R20"/>
    <mergeCell ref="U17:U18"/>
    <mergeCell ref="V17:V18"/>
    <mergeCell ref="W17:W18"/>
    <mergeCell ref="X17:X18"/>
    <mergeCell ref="Y17:Y18"/>
    <mergeCell ref="Z17:Z18"/>
    <mergeCell ref="AW17:AW18"/>
    <mergeCell ref="AY19:AY20"/>
    <mergeCell ref="AY17:AY18"/>
    <mergeCell ref="AZ17:AZ18"/>
    <mergeCell ref="BA17:BA18"/>
    <mergeCell ref="BB17:BB18"/>
    <mergeCell ref="BC17:BC18"/>
    <mergeCell ref="BF19:BF20"/>
    <mergeCell ref="BG19:BG20"/>
    <mergeCell ref="A21:A22"/>
    <mergeCell ref="B21:B22"/>
    <mergeCell ref="C21:C22"/>
    <mergeCell ref="D21:D22"/>
    <mergeCell ref="E21:E22"/>
    <mergeCell ref="F21:F22"/>
    <mergeCell ref="G21:G22"/>
    <mergeCell ref="H21:H22"/>
    <mergeCell ref="I21:I22"/>
    <mergeCell ref="J21:J22"/>
    <mergeCell ref="N21:N22"/>
    <mergeCell ref="S19:S20"/>
    <mergeCell ref="T19:T20"/>
    <mergeCell ref="U19:U20"/>
    <mergeCell ref="V19:V20"/>
    <mergeCell ref="W19:W20"/>
    <mergeCell ref="X19:X20"/>
    <mergeCell ref="BD17:BD18"/>
    <mergeCell ref="BE17:BE18"/>
    <mergeCell ref="BF17:BF18"/>
    <mergeCell ref="BG17:BG18"/>
    <mergeCell ref="A19:A20"/>
    <mergeCell ref="B19:B20"/>
    <mergeCell ref="AF21:AF22"/>
    <mergeCell ref="AF19:AF20"/>
    <mergeCell ref="AG19:AG20"/>
    <mergeCell ref="AH19:AH20"/>
    <mergeCell ref="AI19:AI20"/>
    <mergeCell ref="AJ19:AJ20"/>
    <mergeCell ref="AR19:AR20"/>
    <mergeCell ref="AS19:AS20"/>
    <mergeCell ref="AT19:AT20"/>
    <mergeCell ref="AU19:AU20"/>
    <mergeCell ref="AV19:AV20"/>
    <mergeCell ref="AO19:AO20"/>
    <mergeCell ref="AP19:AP20"/>
    <mergeCell ref="AS17:AS18"/>
    <mergeCell ref="AT17:AT18"/>
    <mergeCell ref="AU17:AU18"/>
    <mergeCell ref="AV17:AV18"/>
    <mergeCell ref="AW19:AW20"/>
    <mergeCell ref="AX19:AX20"/>
    <mergeCell ref="AZ21:AZ22"/>
    <mergeCell ref="AJ21:AJ22"/>
    <mergeCell ref="AK21:AK22"/>
    <mergeCell ref="AL21:AL22"/>
    <mergeCell ref="AZ19:AZ20"/>
    <mergeCell ref="BA19:BA20"/>
    <mergeCell ref="BB19:BB20"/>
    <mergeCell ref="BC19:BC20"/>
    <mergeCell ref="BD19:BD20"/>
    <mergeCell ref="BE19:BE20"/>
    <mergeCell ref="Y21:Y22"/>
    <mergeCell ref="Z21:Z22"/>
    <mergeCell ref="AA21:AA22"/>
    <mergeCell ref="AB21:AB22"/>
    <mergeCell ref="AC21:AC22"/>
    <mergeCell ref="AD21:AD22"/>
    <mergeCell ref="AE21:AE22"/>
    <mergeCell ref="AI21:AI22"/>
    <mergeCell ref="AG21:AG22"/>
    <mergeCell ref="AH21:AH22"/>
    <mergeCell ref="AK19:AK20"/>
    <mergeCell ref="AL19:AL20"/>
    <mergeCell ref="AM19:AM20"/>
    <mergeCell ref="AN19:AN20"/>
    <mergeCell ref="AM21:AM22"/>
    <mergeCell ref="AN21:AN22"/>
    <mergeCell ref="AQ19:AQ20"/>
    <mergeCell ref="Y19:Y20"/>
    <mergeCell ref="Z19:Z20"/>
    <mergeCell ref="AA19:AA20"/>
    <mergeCell ref="A23:A24"/>
    <mergeCell ref="B23:B24"/>
    <mergeCell ref="C23:C24"/>
    <mergeCell ref="D23:D24"/>
    <mergeCell ref="E23:E24"/>
    <mergeCell ref="F23:F24"/>
    <mergeCell ref="G23:G24"/>
    <mergeCell ref="H23:H24"/>
    <mergeCell ref="I23:I24"/>
    <mergeCell ref="Q21:Q22"/>
    <mergeCell ref="R21:R22"/>
    <mergeCell ref="S21:S22"/>
    <mergeCell ref="T21:T22"/>
    <mergeCell ref="U21:U22"/>
    <mergeCell ref="V21:V22"/>
    <mergeCell ref="W21:W22"/>
    <mergeCell ref="X21:X22"/>
    <mergeCell ref="BG25:BG26"/>
    <mergeCell ref="AK23:AK24"/>
    <mergeCell ref="AL23:AL24"/>
    <mergeCell ref="AO21:AO22"/>
    <mergeCell ref="AP21:AP22"/>
    <mergeCell ref="AQ21:AQ22"/>
    <mergeCell ref="AR21:AR22"/>
    <mergeCell ref="AS21:AS22"/>
    <mergeCell ref="AT21:AT22"/>
    <mergeCell ref="AU21:AU22"/>
    <mergeCell ref="AV21:AV22"/>
    <mergeCell ref="AW21:AW22"/>
    <mergeCell ref="AX21:AX22"/>
    <mergeCell ref="AY21:AY22"/>
    <mergeCell ref="AT23:AT24"/>
    <mergeCell ref="AU23:AU24"/>
    <mergeCell ref="AV23:AV24"/>
    <mergeCell ref="AW23:AW24"/>
    <mergeCell ref="AX23:AX24"/>
    <mergeCell ref="AY23:AY24"/>
    <mergeCell ref="BA21:BA22"/>
    <mergeCell ref="BB21:BB22"/>
    <mergeCell ref="BC21:BC22"/>
    <mergeCell ref="BD21:BD22"/>
    <mergeCell ref="BE21:BE22"/>
    <mergeCell ref="BF21:BF22"/>
    <mergeCell ref="BG21:BG22"/>
    <mergeCell ref="AO25:AO26"/>
    <mergeCell ref="AP25:AP26"/>
    <mergeCell ref="BE25:BE26"/>
    <mergeCell ref="AT25:AT26"/>
    <mergeCell ref="AU25:AU26"/>
    <mergeCell ref="S27:S28"/>
    <mergeCell ref="AZ23:AZ24"/>
    <mergeCell ref="BA23:BA24"/>
    <mergeCell ref="BB23:BB24"/>
    <mergeCell ref="BC23:BC24"/>
    <mergeCell ref="BD23:BD24"/>
    <mergeCell ref="BE23:BE24"/>
    <mergeCell ref="BF23:BF24"/>
    <mergeCell ref="BG23:BG24"/>
    <mergeCell ref="A25:A26"/>
    <mergeCell ref="B25:B26"/>
    <mergeCell ref="C25:C26"/>
    <mergeCell ref="D25:D26"/>
    <mergeCell ref="E25:E26"/>
    <mergeCell ref="F25:F26"/>
    <mergeCell ref="G25:G26"/>
    <mergeCell ref="J23:J24"/>
    <mergeCell ref="N23:N24"/>
    <mergeCell ref="Q23:Q24"/>
    <mergeCell ref="R23:R24"/>
    <mergeCell ref="S23:S24"/>
    <mergeCell ref="T23:T24"/>
    <mergeCell ref="U23:U24"/>
    <mergeCell ref="V23:V24"/>
    <mergeCell ref="W23:W24"/>
    <mergeCell ref="X23:X24"/>
    <mergeCell ref="Y23:Y24"/>
    <mergeCell ref="AG23:AG24"/>
    <mergeCell ref="AH23:AH24"/>
    <mergeCell ref="AI23:AI24"/>
    <mergeCell ref="AJ23:AJ24"/>
    <mergeCell ref="BF25:BF26"/>
    <mergeCell ref="A27:A28"/>
    <mergeCell ref="B27:B28"/>
    <mergeCell ref="C27:C28"/>
    <mergeCell ref="D27:D28"/>
    <mergeCell ref="E27:E28"/>
    <mergeCell ref="AE25:AE26"/>
    <mergeCell ref="AM23:AM24"/>
    <mergeCell ref="AN23:AN24"/>
    <mergeCell ref="AO23:AO24"/>
    <mergeCell ref="AP23:AP24"/>
    <mergeCell ref="AQ23:AQ24"/>
    <mergeCell ref="AR23:AR24"/>
    <mergeCell ref="AS23:AS24"/>
    <mergeCell ref="Z23:Z24"/>
    <mergeCell ref="AA23:AA24"/>
    <mergeCell ref="AB23:AB24"/>
    <mergeCell ref="AC23:AC24"/>
    <mergeCell ref="AD23:AD24"/>
    <mergeCell ref="AE23:AE24"/>
    <mergeCell ref="AF23:AF24"/>
    <mergeCell ref="AB25:AB26"/>
    <mergeCell ref="AC25:AC26"/>
    <mergeCell ref="AD25:AD26"/>
    <mergeCell ref="F27:F28"/>
    <mergeCell ref="G27:G28"/>
    <mergeCell ref="H27:H28"/>
    <mergeCell ref="I27:I28"/>
    <mergeCell ref="J27:J28"/>
    <mergeCell ref="N27:N28"/>
    <mergeCell ref="Q27:Q28"/>
    <mergeCell ref="AQ25:AQ26"/>
    <mergeCell ref="AO27:AO28"/>
    <mergeCell ref="H25:H26"/>
    <mergeCell ref="I25:I26"/>
    <mergeCell ref="J25:J26"/>
    <mergeCell ref="N25:N26"/>
    <mergeCell ref="Q25:Q26"/>
    <mergeCell ref="R25:R26"/>
    <mergeCell ref="S25:S26"/>
    <mergeCell ref="T25:T26"/>
    <mergeCell ref="U25:U26"/>
    <mergeCell ref="V25:V26"/>
    <mergeCell ref="W25:W26"/>
    <mergeCell ref="X25:X26"/>
    <mergeCell ref="BC25:BC26"/>
    <mergeCell ref="BD25:BD26"/>
    <mergeCell ref="T27:T28"/>
    <mergeCell ref="U27:U28"/>
    <mergeCell ref="V27:V28"/>
    <mergeCell ref="AF25:AF26"/>
    <mergeCell ref="AG25:AG26"/>
    <mergeCell ref="AH25:AH26"/>
    <mergeCell ref="AI25:AI26"/>
    <mergeCell ref="AJ25:AJ26"/>
    <mergeCell ref="Y25:Y26"/>
    <mergeCell ref="Z25:Z26"/>
    <mergeCell ref="AA25:AA26"/>
    <mergeCell ref="AK25:AK26"/>
    <mergeCell ref="AL25:AL26"/>
    <mergeCell ref="AM25:AM26"/>
    <mergeCell ref="AN25:AN26"/>
    <mergeCell ref="AR25:AR26"/>
    <mergeCell ref="AS25:AS26"/>
    <mergeCell ref="R27:R28"/>
    <mergeCell ref="AV25:AV26"/>
    <mergeCell ref="AW25:AW26"/>
    <mergeCell ref="AX25:AX26"/>
    <mergeCell ref="AY25:AY26"/>
    <mergeCell ref="AZ25:AZ26"/>
    <mergeCell ref="BA25:BA26"/>
    <mergeCell ref="BB25:BB26"/>
    <mergeCell ref="AV27:AV28"/>
    <mergeCell ref="AW27:AW28"/>
    <mergeCell ref="AX27:AX28"/>
    <mergeCell ref="AY27:AY28"/>
    <mergeCell ref="AZ27:AZ28"/>
    <mergeCell ref="BA27:BA28"/>
    <mergeCell ref="BB27:BB28"/>
    <mergeCell ref="BC27:BC28"/>
    <mergeCell ref="BD27:BD28"/>
    <mergeCell ref="BE27:BE28"/>
    <mergeCell ref="BF27:BF28"/>
    <mergeCell ref="BG27:BG28"/>
    <mergeCell ref="A29:A30"/>
    <mergeCell ref="B29:B30"/>
    <mergeCell ref="C29:C30"/>
    <mergeCell ref="D29:D30"/>
    <mergeCell ref="E29:E30"/>
    <mergeCell ref="F29:F30"/>
    <mergeCell ref="G29:G30"/>
    <mergeCell ref="H29:H30"/>
    <mergeCell ref="I29:I30"/>
    <mergeCell ref="J29:J30"/>
    <mergeCell ref="N29:N30"/>
    <mergeCell ref="Q29:Q30"/>
    <mergeCell ref="R29:R30"/>
    <mergeCell ref="S29:S30"/>
    <mergeCell ref="T29:T30"/>
    <mergeCell ref="W27:W28"/>
    <mergeCell ref="X27:X28"/>
    <mergeCell ref="Y27:Y28"/>
    <mergeCell ref="Z27:Z28"/>
    <mergeCell ref="AA27:AA28"/>
    <mergeCell ref="AA29:AA30"/>
    <mergeCell ref="AB29:AB30"/>
    <mergeCell ref="AC29:AC30"/>
    <mergeCell ref="AD29:AD30"/>
    <mergeCell ref="AE29:AE30"/>
    <mergeCell ref="AF29:AF30"/>
    <mergeCell ref="AQ27:AQ28"/>
    <mergeCell ref="AR27:AR28"/>
    <mergeCell ref="AQ29:AQ30"/>
    <mergeCell ref="AU27:AU28"/>
    <mergeCell ref="AB27:AB28"/>
    <mergeCell ref="AC27:AC28"/>
    <mergeCell ref="AD27:AD28"/>
    <mergeCell ref="AE27:AE28"/>
    <mergeCell ref="AF27:AF28"/>
    <mergeCell ref="AG27:AG28"/>
    <mergeCell ref="AH27:AH28"/>
    <mergeCell ref="AS27:AS28"/>
    <mergeCell ref="AT27:AT28"/>
    <mergeCell ref="AI27:AI28"/>
    <mergeCell ref="AJ27:AJ28"/>
    <mergeCell ref="AK27:AK28"/>
    <mergeCell ref="AL27:AL28"/>
    <mergeCell ref="AM27:AM28"/>
    <mergeCell ref="AN27:AN28"/>
    <mergeCell ref="AU29:AU30"/>
    <mergeCell ref="AP27:AP28"/>
    <mergeCell ref="AW29:AW30"/>
    <mergeCell ref="AX29:AX30"/>
    <mergeCell ref="AY29:AY30"/>
    <mergeCell ref="AZ29:AZ30"/>
    <mergeCell ref="BA29:BA30"/>
    <mergeCell ref="BB29:BB30"/>
    <mergeCell ref="BC29:BC30"/>
    <mergeCell ref="BD29:BD30"/>
    <mergeCell ref="BE29:BE30"/>
    <mergeCell ref="BF29:BF30"/>
    <mergeCell ref="BG29:BG30"/>
    <mergeCell ref="A31:A32"/>
    <mergeCell ref="B31:B32"/>
    <mergeCell ref="C31:C32"/>
    <mergeCell ref="D31:D32"/>
    <mergeCell ref="E31:E32"/>
    <mergeCell ref="F31:F32"/>
    <mergeCell ref="G31:G32"/>
    <mergeCell ref="H31:H32"/>
    <mergeCell ref="I31:I32"/>
    <mergeCell ref="J31:J32"/>
    <mergeCell ref="N31:N32"/>
    <mergeCell ref="Q31:Q32"/>
    <mergeCell ref="R31:R32"/>
    <mergeCell ref="U29:U30"/>
    <mergeCell ref="V29:V30"/>
    <mergeCell ref="W29:W30"/>
    <mergeCell ref="X29:X30"/>
    <mergeCell ref="Y29:Y30"/>
    <mergeCell ref="Z29:Z30"/>
    <mergeCell ref="AB31:AB32"/>
    <mergeCell ref="AG29:AG30"/>
    <mergeCell ref="AG31:AG32"/>
    <mergeCell ref="AH31:AH32"/>
    <mergeCell ref="AI31:AI32"/>
    <mergeCell ref="AJ31:AJ32"/>
    <mergeCell ref="AM29:AM30"/>
    <mergeCell ref="AN29:AN30"/>
    <mergeCell ref="AO29:AO30"/>
    <mergeCell ref="AP29:AP30"/>
    <mergeCell ref="AO31:AO32"/>
    <mergeCell ref="AP31:AP32"/>
    <mergeCell ref="AS29:AS30"/>
    <mergeCell ref="AT29:AT30"/>
    <mergeCell ref="AV31:AV32"/>
    <mergeCell ref="AV29:AV30"/>
    <mergeCell ref="AH29:AH30"/>
    <mergeCell ref="AI29:AI30"/>
    <mergeCell ref="AJ29:AJ30"/>
    <mergeCell ref="AK29:AK30"/>
    <mergeCell ref="AL29:AL30"/>
    <mergeCell ref="AR29:AR30"/>
    <mergeCell ref="AK31:AK32"/>
    <mergeCell ref="AL31:AL32"/>
    <mergeCell ref="AM31:AM32"/>
    <mergeCell ref="AN31:AN32"/>
    <mergeCell ref="AQ31:AQ32"/>
    <mergeCell ref="AR31:AR32"/>
    <mergeCell ref="AS31:AS32"/>
    <mergeCell ref="AT31:AT32"/>
    <mergeCell ref="AU31:AU32"/>
    <mergeCell ref="BA31:BA32"/>
    <mergeCell ref="BB31:BB32"/>
    <mergeCell ref="BC31:BC32"/>
    <mergeCell ref="BD31:BD32"/>
    <mergeCell ref="BE31:BE32"/>
    <mergeCell ref="BF31:BF32"/>
    <mergeCell ref="BG31:BG32"/>
    <mergeCell ref="A33:A34"/>
    <mergeCell ref="B33:B34"/>
    <mergeCell ref="C33:C34"/>
    <mergeCell ref="D33:D34"/>
    <mergeCell ref="E33:E34"/>
    <mergeCell ref="F33:F34"/>
    <mergeCell ref="G33:G34"/>
    <mergeCell ref="H33:H34"/>
    <mergeCell ref="I33:I34"/>
    <mergeCell ref="J33:J34"/>
    <mergeCell ref="N33:N34"/>
    <mergeCell ref="S31:S32"/>
    <mergeCell ref="T31:T32"/>
    <mergeCell ref="U31:U32"/>
    <mergeCell ref="V31:V32"/>
    <mergeCell ref="W31:W32"/>
    <mergeCell ref="X31:X32"/>
    <mergeCell ref="Y31:Y32"/>
    <mergeCell ref="Z31:Z32"/>
    <mergeCell ref="AA31:AA32"/>
    <mergeCell ref="AC33:AC34"/>
    <mergeCell ref="AC31:AC32"/>
    <mergeCell ref="AD31:AD32"/>
    <mergeCell ref="AE31:AE32"/>
    <mergeCell ref="AF31:AF32"/>
    <mergeCell ref="AW31:AW32"/>
    <mergeCell ref="AI33:AI34"/>
    <mergeCell ref="AJ33:AJ34"/>
    <mergeCell ref="AK33:AK34"/>
    <mergeCell ref="AL33:AL34"/>
    <mergeCell ref="BF33:BF34"/>
    <mergeCell ref="BG33:BG34"/>
    <mergeCell ref="A35:A36"/>
    <mergeCell ref="B35:B36"/>
    <mergeCell ref="C35:C36"/>
    <mergeCell ref="D35:D36"/>
    <mergeCell ref="E35:E36"/>
    <mergeCell ref="F35:F36"/>
    <mergeCell ref="G35:G36"/>
    <mergeCell ref="H35:H36"/>
    <mergeCell ref="I35:I36"/>
    <mergeCell ref="Q33:Q34"/>
    <mergeCell ref="R33:R34"/>
    <mergeCell ref="S33:S34"/>
    <mergeCell ref="T33:T34"/>
    <mergeCell ref="U33:U34"/>
    <mergeCell ref="V33:V34"/>
    <mergeCell ref="W33:W34"/>
    <mergeCell ref="X33:X34"/>
    <mergeCell ref="AX31:AX32"/>
    <mergeCell ref="AY31:AY32"/>
    <mergeCell ref="Y33:Y34"/>
    <mergeCell ref="Z33:Z34"/>
    <mergeCell ref="AA33:AA34"/>
    <mergeCell ref="AB33:AB34"/>
    <mergeCell ref="AD35:AD36"/>
    <mergeCell ref="AZ31:AZ32"/>
    <mergeCell ref="AD33:AD34"/>
    <mergeCell ref="AE33:AE34"/>
    <mergeCell ref="AF33:AF34"/>
    <mergeCell ref="AG33:AG34"/>
    <mergeCell ref="AH33:AH34"/>
    <mergeCell ref="AK35:AK36"/>
    <mergeCell ref="AL35:AL36"/>
    <mergeCell ref="AO33:AO34"/>
    <mergeCell ref="AP33:AP34"/>
    <mergeCell ref="AQ33:AQ34"/>
    <mergeCell ref="AR33:AR34"/>
    <mergeCell ref="AS33:AS34"/>
    <mergeCell ref="AM33:AM34"/>
    <mergeCell ref="AN33:AN34"/>
    <mergeCell ref="AT33:AT34"/>
    <mergeCell ref="AU33:AU34"/>
    <mergeCell ref="AV33:AV34"/>
    <mergeCell ref="AM35:AM36"/>
    <mergeCell ref="AN35:AN36"/>
    <mergeCell ref="AO35:AO36"/>
    <mergeCell ref="AX35:AX36"/>
    <mergeCell ref="AH35:AH36"/>
    <mergeCell ref="AI35:AI36"/>
    <mergeCell ref="AJ35:AJ36"/>
    <mergeCell ref="AX33:AX34"/>
    <mergeCell ref="BD35:BD36"/>
    <mergeCell ref="BE35:BE36"/>
    <mergeCell ref="AP35:AP36"/>
    <mergeCell ref="AQ35:AQ36"/>
    <mergeCell ref="AR35:AR36"/>
    <mergeCell ref="AS35:AS36"/>
    <mergeCell ref="AT35:AT36"/>
    <mergeCell ref="AU35:AU36"/>
    <mergeCell ref="AV35:AV36"/>
    <mergeCell ref="AW35:AW36"/>
    <mergeCell ref="AY33:AY34"/>
    <mergeCell ref="AZ33:AZ34"/>
    <mergeCell ref="BA33:BA34"/>
    <mergeCell ref="BB33:BB34"/>
    <mergeCell ref="BC33:BC34"/>
    <mergeCell ref="BD33:BD34"/>
    <mergeCell ref="BE33:BE34"/>
    <mergeCell ref="AW33:AW34"/>
    <mergeCell ref="AY35:AY36"/>
    <mergeCell ref="AZ35:AZ36"/>
    <mergeCell ref="BA35:BA36"/>
    <mergeCell ref="BB35:BB36"/>
    <mergeCell ref="BC35:BC36"/>
    <mergeCell ref="BF35:BF36"/>
    <mergeCell ref="BG35:BG36"/>
    <mergeCell ref="A37:A38"/>
    <mergeCell ref="B37:B38"/>
    <mergeCell ref="C37:C38"/>
    <mergeCell ref="D37:D38"/>
    <mergeCell ref="E37:E38"/>
    <mergeCell ref="F37:F38"/>
    <mergeCell ref="G37:G38"/>
    <mergeCell ref="J35:J36"/>
    <mergeCell ref="N35:N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G35:AG36"/>
    <mergeCell ref="AE35:AE36"/>
    <mergeCell ref="AF35:AF36"/>
    <mergeCell ref="AB37:AB38"/>
    <mergeCell ref="AC37:AC38"/>
    <mergeCell ref="AD37:AD38"/>
    <mergeCell ref="AK37:AK38"/>
    <mergeCell ref="AL37:AL38"/>
    <mergeCell ref="AM37:AM38"/>
    <mergeCell ref="AN37:AN38"/>
    <mergeCell ref="AO37:AO38"/>
    <mergeCell ref="AP37:AP38"/>
    <mergeCell ref="AQ37:AQ38"/>
    <mergeCell ref="BB37:BB38"/>
    <mergeCell ref="BC37:BC38"/>
    <mergeCell ref="BD37:BD38"/>
    <mergeCell ref="BE37:BE38"/>
    <mergeCell ref="AR37:AR38"/>
    <mergeCell ref="AS37:AS38"/>
    <mergeCell ref="AT37:AT38"/>
    <mergeCell ref="AU37:AU38"/>
    <mergeCell ref="AV37:AV38"/>
    <mergeCell ref="AW37:AW38"/>
    <mergeCell ref="AX37:AX38"/>
    <mergeCell ref="AY37:AY38"/>
    <mergeCell ref="AZ37:AZ38"/>
    <mergeCell ref="BA37:BA38"/>
    <mergeCell ref="AI37:AI38"/>
    <mergeCell ref="AJ37:AJ38"/>
    <mergeCell ref="AE37:AE38"/>
    <mergeCell ref="AF37:AF38"/>
    <mergeCell ref="AG37:AG38"/>
    <mergeCell ref="AH37:AH38"/>
    <mergeCell ref="W39:W40"/>
    <mergeCell ref="X39:X40"/>
    <mergeCell ref="Y39:Y40"/>
    <mergeCell ref="Z39:Z40"/>
    <mergeCell ref="AA39:AA40"/>
    <mergeCell ref="AB39:AB40"/>
    <mergeCell ref="BF37:BF38"/>
    <mergeCell ref="BG37:BG38"/>
    <mergeCell ref="A39:A40"/>
    <mergeCell ref="B39:B40"/>
    <mergeCell ref="C39:C40"/>
    <mergeCell ref="D39:D40"/>
    <mergeCell ref="E39:E40"/>
    <mergeCell ref="H37:H38"/>
    <mergeCell ref="I37:I38"/>
    <mergeCell ref="J37:J38"/>
    <mergeCell ref="N37:N38"/>
    <mergeCell ref="Q37:Q38"/>
    <mergeCell ref="R37:R38"/>
    <mergeCell ref="S37:S38"/>
    <mergeCell ref="T37:T38"/>
    <mergeCell ref="U37:U38"/>
    <mergeCell ref="V37:V38"/>
    <mergeCell ref="W37:W38"/>
    <mergeCell ref="X37:X38"/>
    <mergeCell ref="Y37:Y38"/>
    <mergeCell ref="Z37:Z38"/>
    <mergeCell ref="AA37:AA38"/>
    <mergeCell ref="AV42:AV43"/>
    <mergeCell ref="AW42:AW43"/>
    <mergeCell ref="AL42:AL43"/>
    <mergeCell ref="AM42:AM43"/>
    <mergeCell ref="AN42:AN43"/>
    <mergeCell ref="AP42:AP43"/>
    <mergeCell ref="AD42:AD43"/>
    <mergeCell ref="AF42:AF43"/>
    <mergeCell ref="F39:F40"/>
    <mergeCell ref="G39:G40"/>
    <mergeCell ref="H39:H40"/>
    <mergeCell ref="I39:I40"/>
    <mergeCell ref="J39:J40"/>
    <mergeCell ref="N39:N40"/>
    <mergeCell ref="Q39:Q40"/>
    <mergeCell ref="R39:R40"/>
    <mergeCell ref="S39:S40"/>
    <mergeCell ref="T39:T40"/>
    <mergeCell ref="U39:U40"/>
    <mergeCell ref="V39:V40"/>
    <mergeCell ref="AC39:AC40"/>
    <mergeCell ref="AD39:AD40"/>
    <mergeCell ref="AE39:AE40"/>
    <mergeCell ref="AF39:AF40"/>
    <mergeCell ref="AG39:AG40"/>
    <mergeCell ref="AH39:AH40"/>
    <mergeCell ref="AI39:AI40"/>
    <mergeCell ref="AJ39:AJ40"/>
    <mergeCell ref="AK39:AK40"/>
    <mergeCell ref="AL39:AL40"/>
    <mergeCell ref="AM39:AM40"/>
    <mergeCell ref="AN39:AN40"/>
    <mergeCell ref="AY39:AY40"/>
    <mergeCell ref="AO39:AO40"/>
    <mergeCell ref="AP39:AP40"/>
    <mergeCell ref="AQ39:AQ40"/>
    <mergeCell ref="AR39:AR40"/>
    <mergeCell ref="AS39:AS40"/>
    <mergeCell ref="AT39:AT40"/>
    <mergeCell ref="AU39:AU40"/>
    <mergeCell ref="AV39:AV40"/>
    <mergeCell ref="AW39:AW40"/>
    <mergeCell ref="AX39:AX40"/>
    <mergeCell ref="B42:B43"/>
    <mergeCell ref="C42:C43"/>
    <mergeCell ref="D42:D43"/>
    <mergeCell ref="E42:E43"/>
    <mergeCell ref="F42:F43"/>
    <mergeCell ref="G42:G43"/>
    <mergeCell ref="H42:H43"/>
    <mergeCell ref="I42:I43"/>
    <mergeCell ref="J42:J43"/>
    <mergeCell ref="N42:N43"/>
    <mergeCell ref="Q42:Q43"/>
    <mergeCell ref="R42:R43"/>
    <mergeCell ref="S42:S43"/>
    <mergeCell ref="T42:T43"/>
    <mergeCell ref="U42:U43"/>
    <mergeCell ref="V42:V43"/>
    <mergeCell ref="W42:W43"/>
    <mergeCell ref="AH42:AH43"/>
    <mergeCell ref="AI42:AI43"/>
    <mergeCell ref="BA39:BA40"/>
    <mergeCell ref="BB39:BB40"/>
    <mergeCell ref="BC39:BC40"/>
    <mergeCell ref="BD39:BD40"/>
    <mergeCell ref="BE39:BE40"/>
    <mergeCell ref="BF39:BF40"/>
    <mergeCell ref="BG39:BG40"/>
    <mergeCell ref="AZ39:AZ40"/>
    <mergeCell ref="BF42:BF43"/>
    <mergeCell ref="BG42:BG43"/>
    <mergeCell ref="A44:A45"/>
    <mergeCell ref="B44:B45"/>
    <mergeCell ref="C44:C45"/>
    <mergeCell ref="D44:D45"/>
    <mergeCell ref="E44:E45"/>
    <mergeCell ref="F44:F45"/>
    <mergeCell ref="G44:G45"/>
    <mergeCell ref="H44:H45"/>
    <mergeCell ref="I44:I45"/>
    <mergeCell ref="J44:J45"/>
    <mergeCell ref="N44:N45"/>
    <mergeCell ref="Q44:Q45"/>
    <mergeCell ref="R44:R45"/>
    <mergeCell ref="S44:S45"/>
    <mergeCell ref="T44:T45"/>
    <mergeCell ref="U44:U45"/>
    <mergeCell ref="V44:V45"/>
    <mergeCell ref="W44:W45"/>
    <mergeCell ref="Z42:Z43"/>
    <mergeCell ref="A41:I41"/>
    <mergeCell ref="AB42:AB43"/>
    <mergeCell ref="A42:A43"/>
    <mergeCell ref="BF44:BF45"/>
    <mergeCell ref="BG44:BG45"/>
    <mergeCell ref="X44:X45"/>
    <mergeCell ref="Y44:Y45"/>
    <mergeCell ref="Z44:Z45"/>
    <mergeCell ref="AA44:AA45"/>
    <mergeCell ref="AB44:AB45"/>
    <mergeCell ref="AC44:AC45"/>
    <mergeCell ref="AD44:AD45"/>
    <mergeCell ref="AE44:AE45"/>
    <mergeCell ref="AF44:AF45"/>
    <mergeCell ref="AG44:AG45"/>
    <mergeCell ref="AH44:AH45"/>
    <mergeCell ref="AI44:AI45"/>
    <mergeCell ref="AR42:AR43"/>
    <mergeCell ref="AS42:AS43"/>
    <mergeCell ref="AT42:AT43"/>
    <mergeCell ref="AU42:AU43"/>
    <mergeCell ref="AJ44:AJ45"/>
    <mergeCell ref="AK44:AK45"/>
    <mergeCell ref="AL44:AL45"/>
    <mergeCell ref="AO42:AO43"/>
    <mergeCell ref="AM44:AM45"/>
    <mergeCell ref="AQ42:AQ43"/>
    <mergeCell ref="AN44:AN45"/>
    <mergeCell ref="X42:X43"/>
    <mergeCell ref="AO44:AO45"/>
    <mergeCell ref="Y42:Y43"/>
    <mergeCell ref="AX42:AX43"/>
    <mergeCell ref="AY42:AY43"/>
    <mergeCell ref="AZ42:AZ43"/>
    <mergeCell ref="BA42:BA43"/>
    <mergeCell ref="BB42:BB43"/>
    <mergeCell ref="BC42:BC43"/>
    <mergeCell ref="BD42:BD43"/>
    <mergeCell ref="BE42:BE43"/>
    <mergeCell ref="W46:W47"/>
    <mergeCell ref="AP44:AP45"/>
    <mergeCell ref="AQ44:AQ45"/>
    <mergeCell ref="AR44:AR45"/>
    <mergeCell ref="AS44:AS45"/>
    <mergeCell ref="AT44:AT45"/>
    <mergeCell ref="AU44:AU45"/>
    <mergeCell ref="AV44:AV45"/>
    <mergeCell ref="AW44:AW45"/>
    <mergeCell ref="AX44:AX45"/>
    <mergeCell ref="AY44:AY45"/>
    <mergeCell ref="AZ44:AZ45"/>
    <mergeCell ref="BA44:BA45"/>
    <mergeCell ref="BB44:BB45"/>
    <mergeCell ref="BC44:BC45"/>
    <mergeCell ref="BD44:BD45"/>
    <mergeCell ref="BE44:BE45"/>
    <mergeCell ref="BC46:BC47"/>
    <mergeCell ref="BD46:BD47"/>
    <mergeCell ref="BE46:BE47"/>
    <mergeCell ref="AA42:AA43"/>
    <mergeCell ref="AC42:AC43"/>
    <mergeCell ref="AE42:AE43"/>
    <mergeCell ref="AG42:AG43"/>
    <mergeCell ref="AJ42:AJ43"/>
    <mergeCell ref="AK42:AK43"/>
    <mergeCell ref="A46:A47"/>
    <mergeCell ref="B46:B47"/>
    <mergeCell ref="C46:C47"/>
    <mergeCell ref="D46:D47"/>
    <mergeCell ref="E46:E47"/>
    <mergeCell ref="F46:F47"/>
    <mergeCell ref="G46:G47"/>
    <mergeCell ref="H46:H47"/>
    <mergeCell ref="I46:I47"/>
    <mergeCell ref="J46:J47"/>
    <mergeCell ref="N46:N47"/>
    <mergeCell ref="Q46:Q47"/>
    <mergeCell ref="R46:R47"/>
    <mergeCell ref="S46:S47"/>
    <mergeCell ref="T46:T47"/>
    <mergeCell ref="U46:U47"/>
    <mergeCell ref="V46:V47"/>
    <mergeCell ref="BG46:BG47"/>
    <mergeCell ref="X46:X47"/>
    <mergeCell ref="Y46:Y47"/>
    <mergeCell ref="Z46:Z47"/>
    <mergeCell ref="AA46:AA47"/>
    <mergeCell ref="AB46:AB47"/>
    <mergeCell ref="AC46:AC47"/>
    <mergeCell ref="AD46:AD47"/>
    <mergeCell ref="AE46:AE47"/>
    <mergeCell ref="AF46:AF47"/>
    <mergeCell ref="AG46:AG47"/>
    <mergeCell ref="AH46:AH47"/>
    <mergeCell ref="AI46:AI47"/>
    <mergeCell ref="AJ46:AJ47"/>
    <mergeCell ref="AK46:AK47"/>
    <mergeCell ref="AL46:AL47"/>
    <mergeCell ref="AM46:AM47"/>
    <mergeCell ref="AN46:AN47"/>
    <mergeCell ref="AO46:AO47"/>
    <mergeCell ref="AP46:AP47"/>
    <mergeCell ref="AQ46:AQ47"/>
    <mergeCell ref="AR46:AR47"/>
    <mergeCell ref="AS46:AS47"/>
    <mergeCell ref="AT46:AT47"/>
    <mergeCell ref="AU46:AU47"/>
    <mergeCell ref="AV46:AV47"/>
    <mergeCell ref="AW46:AW47"/>
    <mergeCell ref="AX46:AX47"/>
    <mergeCell ref="AY46:AY47"/>
    <mergeCell ref="AZ46:AZ47"/>
    <mergeCell ref="BA46:BA47"/>
    <mergeCell ref="BB46:BB47"/>
    <mergeCell ref="BF46:BF47"/>
    <mergeCell ref="BC52:BC53"/>
    <mergeCell ref="BD52:BD53"/>
    <mergeCell ref="BE52:BE53"/>
    <mergeCell ref="BF52:BF53"/>
    <mergeCell ref="BG52:BG53"/>
    <mergeCell ref="A54:A55"/>
    <mergeCell ref="B54:B55"/>
    <mergeCell ref="C54:C55"/>
    <mergeCell ref="D54:D55"/>
    <mergeCell ref="E54:E55"/>
    <mergeCell ref="F54:F55"/>
    <mergeCell ref="G54:G55"/>
    <mergeCell ref="A48:I48"/>
    <mergeCell ref="A49:I49"/>
    <mergeCell ref="A50:O50"/>
    <mergeCell ref="A51:O51"/>
    <mergeCell ref="S52:S53"/>
    <mergeCell ref="T52:T53"/>
    <mergeCell ref="U52:U53"/>
    <mergeCell ref="V52:V53"/>
    <mergeCell ref="W52:W53"/>
    <mergeCell ref="X52:X53"/>
    <mergeCell ref="Y52:Y53"/>
    <mergeCell ref="Z52:Z53"/>
    <mergeCell ref="AK52:AK53"/>
    <mergeCell ref="AL52:AL53"/>
    <mergeCell ref="AA52:AA53"/>
    <mergeCell ref="AB52:AB53"/>
    <mergeCell ref="AC52:AC53"/>
    <mergeCell ref="AD52:AD53"/>
    <mergeCell ref="AE52:AE53"/>
    <mergeCell ref="AF52:AF53"/>
    <mergeCell ref="BB54:BB55"/>
    <mergeCell ref="AI52:AI53"/>
    <mergeCell ref="AJ52:AJ53"/>
    <mergeCell ref="A56:A57"/>
    <mergeCell ref="B56:B57"/>
    <mergeCell ref="C56:C57"/>
    <mergeCell ref="D56:D57"/>
    <mergeCell ref="E56:E57"/>
    <mergeCell ref="AE54:AE55"/>
    <mergeCell ref="AF54:AF55"/>
    <mergeCell ref="AG54:AG55"/>
    <mergeCell ref="AM52:AM53"/>
    <mergeCell ref="AN52:AN53"/>
    <mergeCell ref="AO52:AO53"/>
    <mergeCell ref="AP52:AP53"/>
    <mergeCell ref="AQ52:AQ53"/>
    <mergeCell ref="AR52:AR53"/>
    <mergeCell ref="AS52:AS53"/>
    <mergeCell ref="AT52:AT53"/>
    <mergeCell ref="AU52:AU53"/>
    <mergeCell ref="AV52:AV53"/>
    <mergeCell ref="AW52:AW53"/>
    <mergeCell ref="AX52:AX53"/>
    <mergeCell ref="AY52:AY53"/>
    <mergeCell ref="AZ52:AZ53"/>
    <mergeCell ref="BA52:BA53"/>
    <mergeCell ref="BB52:BB53"/>
    <mergeCell ref="AG52:AG53"/>
    <mergeCell ref="AH52:AH53"/>
    <mergeCell ref="F56:F57"/>
    <mergeCell ref="G56:G57"/>
    <mergeCell ref="H56:H57"/>
    <mergeCell ref="I56:I57"/>
    <mergeCell ref="J56:J57"/>
    <mergeCell ref="N56:N57"/>
    <mergeCell ref="AH54:AH55"/>
    <mergeCell ref="AI54:AI55"/>
    <mergeCell ref="AJ54:AJ55"/>
    <mergeCell ref="Y54:Y55"/>
    <mergeCell ref="Z54:Z55"/>
    <mergeCell ref="AA54:AA55"/>
    <mergeCell ref="AK54:AK55"/>
    <mergeCell ref="AL54:AL55"/>
    <mergeCell ref="AM54:AM55"/>
    <mergeCell ref="AN54:AN55"/>
    <mergeCell ref="AO54:AO55"/>
    <mergeCell ref="H54:H55"/>
    <mergeCell ref="I54:I55"/>
    <mergeCell ref="J54:J55"/>
    <mergeCell ref="N54:N55"/>
    <mergeCell ref="Q54:Q55"/>
    <mergeCell ref="R54:R55"/>
    <mergeCell ref="S54:S55"/>
    <mergeCell ref="T54:T55"/>
    <mergeCell ref="U54:U55"/>
    <mergeCell ref="V54:V55"/>
    <mergeCell ref="W54:W55"/>
    <mergeCell ref="X54:X55"/>
    <mergeCell ref="Q56:Q57"/>
    <mergeCell ref="R56:R57"/>
    <mergeCell ref="S56:S57"/>
    <mergeCell ref="T56:T57"/>
    <mergeCell ref="U56:U57"/>
    <mergeCell ref="BC54:BC55"/>
    <mergeCell ref="BD54:BD55"/>
    <mergeCell ref="BE54:BE55"/>
    <mergeCell ref="BF54:BF55"/>
    <mergeCell ref="BG54:BG55"/>
    <mergeCell ref="AB54:AB55"/>
    <mergeCell ref="AC54:AC55"/>
    <mergeCell ref="AD54:AD55"/>
    <mergeCell ref="AP54:AP55"/>
    <mergeCell ref="AQ54:AQ55"/>
    <mergeCell ref="AR54:AR55"/>
    <mergeCell ref="AS54:AS55"/>
    <mergeCell ref="AT54:AT55"/>
    <mergeCell ref="AU54:AU55"/>
    <mergeCell ref="AV54:AV55"/>
    <mergeCell ref="AW54:AW55"/>
    <mergeCell ref="AX54:AX55"/>
    <mergeCell ref="AY54:AY55"/>
    <mergeCell ref="AZ54:AZ55"/>
    <mergeCell ref="BA54:BA55"/>
    <mergeCell ref="V56:V57"/>
    <mergeCell ref="W56:W57"/>
    <mergeCell ref="X56:X57"/>
    <mergeCell ref="Y56:Y57"/>
    <mergeCell ref="Z56:Z57"/>
    <mergeCell ref="AA56:AA57"/>
    <mergeCell ref="AB56:AB57"/>
    <mergeCell ref="AM56:AM57"/>
    <mergeCell ref="AN56:AN57"/>
    <mergeCell ref="AC56:AC57"/>
    <mergeCell ref="AD56:AD57"/>
    <mergeCell ref="AE56:AE57"/>
    <mergeCell ref="AF56:AF57"/>
    <mergeCell ref="AG56:AG57"/>
    <mergeCell ref="AH56:AH57"/>
    <mergeCell ref="AI56:AI57"/>
    <mergeCell ref="AJ56:AJ57"/>
    <mergeCell ref="AK56:AK57"/>
    <mergeCell ref="AL56:AL57"/>
    <mergeCell ref="BF58:BF59"/>
    <mergeCell ref="BG58:BG59"/>
    <mergeCell ref="AY58:AY59"/>
    <mergeCell ref="AZ58:AZ59"/>
    <mergeCell ref="BA58:BA59"/>
    <mergeCell ref="BB58:BB59"/>
    <mergeCell ref="BC58:BC59"/>
    <mergeCell ref="BD58:BD59"/>
    <mergeCell ref="AO56:AO57"/>
    <mergeCell ref="AP56:AP57"/>
    <mergeCell ref="AQ56:AQ57"/>
    <mergeCell ref="AR56:AR57"/>
    <mergeCell ref="AS56:AS57"/>
    <mergeCell ref="AT56:AT57"/>
    <mergeCell ref="AU56:AU57"/>
    <mergeCell ref="AV56:AV57"/>
    <mergeCell ref="AW56:AW57"/>
    <mergeCell ref="AX56:AX57"/>
    <mergeCell ref="AY56:AY57"/>
    <mergeCell ref="AZ56:AZ57"/>
    <mergeCell ref="BA56:BA57"/>
    <mergeCell ref="BB56:BB57"/>
    <mergeCell ref="BC56:BC57"/>
    <mergeCell ref="BD56:BD57"/>
    <mergeCell ref="BE56:BE57"/>
    <mergeCell ref="BF56:BF57"/>
    <mergeCell ref="BG56:BG57"/>
    <mergeCell ref="BE58:BE59"/>
    <mergeCell ref="AV58:AV59"/>
    <mergeCell ref="AW58:AW59"/>
    <mergeCell ref="AX58:AX59"/>
    <mergeCell ref="AL58:AL59"/>
    <mergeCell ref="AA58:AA59"/>
    <mergeCell ref="AB58:AB59"/>
    <mergeCell ref="AC58:AC59"/>
    <mergeCell ref="AD58:AD59"/>
    <mergeCell ref="AE58:AE59"/>
    <mergeCell ref="AF58:AF59"/>
    <mergeCell ref="U58:U59"/>
    <mergeCell ref="AM58:AM59"/>
    <mergeCell ref="AN58:AN59"/>
    <mergeCell ref="AO58:AO59"/>
    <mergeCell ref="AP58:AP59"/>
    <mergeCell ref="AQ58:AQ59"/>
    <mergeCell ref="AR58:AR59"/>
    <mergeCell ref="AS58:AS59"/>
    <mergeCell ref="AT58:AT59"/>
    <mergeCell ref="AU58:AU59"/>
    <mergeCell ref="AG58:AG59"/>
    <mergeCell ref="AH58:AH59"/>
    <mergeCell ref="AI58:AI59"/>
    <mergeCell ref="AJ58:AJ59"/>
    <mergeCell ref="AK58:AK59"/>
    <mergeCell ref="Q58:Q59"/>
    <mergeCell ref="R58:R59"/>
    <mergeCell ref="S58:S59"/>
    <mergeCell ref="T58:T59"/>
    <mergeCell ref="V58:V59"/>
    <mergeCell ref="W58:W59"/>
    <mergeCell ref="X58:X59"/>
    <mergeCell ref="Y58:Y59"/>
    <mergeCell ref="Z58:Z59"/>
    <mergeCell ref="J58:J59"/>
    <mergeCell ref="N58:N59"/>
    <mergeCell ref="A60:I60"/>
    <mergeCell ref="A58:A59"/>
    <mergeCell ref="B58:B59"/>
    <mergeCell ref="C58:C59"/>
    <mergeCell ref="D58:D59"/>
    <mergeCell ref="E58:E59"/>
    <mergeCell ref="F58:F59"/>
    <mergeCell ref="G58:G59"/>
    <mergeCell ref="H58:H59"/>
    <mergeCell ref="I58:I59"/>
    <mergeCell ref="A61:A62"/>
    <mergeCell ref="B61:B62"/>
    <mergeCell ref="C61:C62"/>
    <mergeCell ref="D61:D62"/>
    <mergeCell ref="E61:E62"/>
    <mergeCell ref="F61:F62"/>
    <mergeCell ref="G61:G62"/>
    <mergeCell ref="H61:H62"/>
    <mergeCell ref="I61:I62"/>
    <mergeCell ref="J61:J62"/>
    <mergeCell ref="N61:N62"/>
    <mergeCell ref="Q61:Q62"/>
    <mergeCell ref="R61:R62"/>
    <mergeCell ref="S61:S62"/>
    <mergeCell ref="T61:T62"/>
    <mergeCell ref="U61:U62"/>
    <mergeCell ref="V61:V62"/>
    <mergeCell ref="BB61:BB62"/>
    <mergeCell ref="BC61:BC62"/>
    <mergeCell ref="BD61:BD62"/>
    <mergeCell ref="BE61:BE62"/>
    <mergeCell ref="W61:W62"/>
    <mergeCell ref="BC63:BC64"/>
    <mergeCell ref="BD63:BD64"/>
    <mergeCell ref="BE63:BE64"/>
    <mergeCell ref="BF61:BF62"/>
    <mergeCell ref="BG61:BG62"/>
    <mergeCell ref="X61:X62"/>
    <mergeCell ref="Y61:Y62"/>
    <mergeCell ref="Z61:Z62"/>
    <mergeCell ref="AA61:AA62"/>
    <mergeCell ref="AB61:AB62"/>
    <mergeCell ref="AC61:AC62"/>
    <mergeCell ref="AD61:AD62"/>
    <mergeCell ref="AE61:AE62"/>
    <mergeCell ref="AF61:AF62"/>
    <mergeCell ref="AG61:AG62"/>
    <mergeCell ref="AH61:AH62"/>
    <mergeCell ref="AI61:AI62"/>
    <mergeCell ref="AJ61:AJ62"/>
    <mergeCell ref="AK61:AK62"/>
    <mergeCell ref="AL61:AL62"/>
    <mergeCell ref="AM61:AM62"/>
    <mergeCell ref="AN61:AN62"/>
    <mergeCell ref="AO61:AO62"/>
    <mergeCell ref="BG63:BG64"/>
    <mergeCell ref="AM63:AM64"/>
    <mergeCell ref="AN63:AN64"/>
    <mergeCell ref="AO63:AO64"/>
    <mergeCell ref="AP61:AP62"/>
    <mergeCell ref="AQ61:AQ62"/>
    <mergeCell ref="AR61:AR62"/>
    <mergeCell ref="AS61:AS62"/>
    <mergeCell ref="AT61:AT62"/>
    <mergeCell ref="AU61:AU62"/>
    <mergeCell ref="AV61:AV62"/>
    <mergeCell ref="AW61:AW62"/>
    <mergeCell ref="AX61:AX62"/>
    <mergeCell ref="AY61:AY62"/>
    <mergeCell ref="AZ61:AZ62"/>
    <mergeCell ref="BA61:BA62"/>
    <mergeCell ref="X63:X64"/>
    <mergeCell ref="Y63:Y64"/>
    <mergeCell ref="Z63:Z64"/>
    <mergeCell ref="AA63:AA64"/>
    <mergeCell ref="AB63:AB64"/>
    <mergeCell ref="AC63:AC64"/>
    <mergeCell ref="AD63:AD64"/>
    <mergeCell ref="AE63:AE64"/>
    <mergeCell ref="AF63:AF64"/>
    <mergeCell ref="AG63:AG64"/>
    <mergeCell ref="AH63:AH64"/>
    <mergeCell ref="AI63:AI64"/>
    <mergeCell ref="AJ63:AJ64"/>
    <mergeCell ref="AK63:AK64"/>
    <mergeCell ref="AL63:AL64"/>
    <mergeCell ref="BF63:BF64"/>
    <mergeCell ref="A65:A66"/>
    <mergeCell ref="B65:B66"/>
    <mergeCell ref="C65:C66"/>
    <mergeCell ref="D65:D66"/>
    <mergeCell ref="E65:E66"/>
    <mergeCell ref="F65:F66"/>
    <mergeCell ref="G65:G66"/>
    <mergeCell ref="H65:H66"/>
    <mergeCell ref="I65:I66"/>
    <mergeCell ref="J65:J66"/>
    <mergeCell ref="N65:N66"/>
    <mergeCell ref="Q65:Q66"/>
    <mergeCell ref="R65:R66"/>
    <mergeCell ref="S65:S66"/>
    <mergeCell ref="T65:T66"/>
    <mergeCell ref="U65:U66"/>
    <mergeCell ref="V65:V66"/>
    <mergeCell ref="BF65:BF66"/>
    <mergeCell ref="S63:S64"/>
    <mergeCell ref="T63:T64"/>
    <mergeCell ref="U63:U64"/>
    <mergeCell ref="V63:V64"/>
    <mergeCell ref="W63:W64"/>
    <mergeCell ref="A63:A64"/>
    <mergeCell ref="B63:B64"/>
    <mergeCell ref="C63:C64"/>
    <mergeCell ref="D63:D64"/>
    <mergeCell ref="E63:E64"/>
    <mergeCell ref="F63:F64"/>
    <mergeCell ref="G63:G64"/>
    <mergeCell ref="H63:H64"/>
    <mergeCell ref="BG67:BG68"/>
    <mergeCell ref="AM67:AM68"/>
    <mergeCell ref="AN67:AN68"/>
    <mergeCell ref="AO67:AO68"/>
    <mergeCell ref="AP67:AP68"/>
    <mergeCell ref="AQ67:AQ68"/>
    <mergeCell ref="AR67:AR68"/>
    <mergeCell ref="I63:I64"/>
    <mergeCell ref="J63:J64"/>
    <mergeCell ref="N63:N64"/>
    <mergeCell ref="Q63:Q64"/>
    <mergeCell ref="R63:R64"/>
    <mergeCell ref="AZ65:AZ66"/>
    <mergeCell ref="BA65:BA66"/>
    <mergeCell ref="BB65:BB66"/>
    <mergeCell ref="BC65:BC66"/>
    <mergeCell ref="AP63:AP64"/>
    <mergeCell ref="AQ63:AQ64"/>
    <mergeCell ref="AR63:AR64"/>
    <mergeCell ref="AS63:AS64"/>
    <mergeCell ref="AT63:AT64"/>
    <mergeCell ref="AU63:AU64"/>
    <mergeCell ref="AV63:AV64"/>
    <mergeCell ref="AW63:AW64"/>
    <mergeCell ref="AX63:AX64"/>
    <mergeCell ref="AY63:AY64"/>
    <mergeCell ref="AZ63:AZ64"/>
    <mergeCell ref="BA63:BA64"/>
    <mergeCell ref="BB63:BB64"/>
    <mergeCell ref="AP65:AP66"/>
    <mergeCell ref="AQ65:AQ66"/>
    <mergeCell ref="AR65:AR66"/>
    <mergeCell ref="BG65:BG66"/>
    <mergeCell ref="X65:X66"/>
    <mergeCell ref="Y65:Y66"/>
    <mergeCell ref="Z65:Z66"/>
    <mergeCell ref="AA65:AA66"/>
    <mergeCell ref="AB65:AB66"/>
    <mergeCell ref="AC65:AC66"/>
    <mergeCell ref="AD65:AD66"/>
    <mergeCell ref="AE65:AE66"/>
    <mergeCell ref="AF65:AF66"/>
    <mergeCell ref="AG65:AG66"/>
    <mergeCell ref="AH65:AH66"/>
    <mergeCell ref="AI65:AI66"/>
    <mergeCell ref="AJ65:AJ66"/>
    <mergeCell ref="AK65:AK66"/>
    <mergeCell ref="AL65:AL66"/>
    <mergeCell ref="AM65:AM66"/>
    <mergeCell ref="AN65:AN66"/>
    <mergeCell ref="AO65:AO66"/>
    <mergeCell ref="AS65:AS66"/>
    <mergeCell ref="AT65:AT66"/>
    <mergeCell ref="AU65:AU66"/>
    <mergeCell ref="AV65:AV66"/>
    <mergeCell ref="AW65:AW66"/>
    <mergeCell ref="AX65:AX66"/>
    <mergeCell ref="AY65:AY66"/>
    <mergeCell ref="AC67:AC68"/>
    <mergeCell ref="AD67:AD68"/>
    <mergeCell ref="AE67:AE68"/>
    <mergeCell ref="AF67:AF68"/>
    <mergeCell ref="AG67:AG68"/>
    <mergeCell ref="AH67:AH68"/>
    <mergeCell ref="AI67:AI68"/>
    <mergeCell ref="AJ67:AJ68"/>
    <mergeCell ref="AK67:AK68"/>
    <mergeCell ref="AL67:AL68"/>
    <mergeCell ref="AV67:AV68"/>
    <mergeCell ref="AW67:AW68"/>
    <mergeCell ref="BD65:BD66"/>
    <mergeCell ref="BE65:BE66"/>
    <mergeCell ref="W65:W66"/>
    <mergeCell ref="BC67:BC68"/>
    <mergeCell ref="BD67:BD68"/>
    <mergeCell ref="BE67:BE68"/>
    <mergeCell ref="AX67:AX68"/>
    <mergeCell ref="AY67:AY68"/>
    <mergeCell ref="AZ67:AZ68"/>
    <mergeCell ref="BA67:BA68"/>
    <mergeCell ref="BB67:BB68"/>
    <mergeCell ref="X67:X68"/>
    <mergeCell ref="Y67:Y68"/>
    <mergeCell ref="Z67:Z68"/>
    <mergeCell ref="AA67:AA68"/>
    <mergeCell ref="AB67:AB68"/>
    <mergeCell ref="BG69:BG70"/>
    <mergeCell ref="AV69:AV70"/>
    <mergeCell ref="AW69:AW70"/>
    <mergeCell ref="AX69:AX70"/>
    <mergeCell ref="AY69:AY70"/>
    <mergeCell ref="AZ69:AZ70"/>
    <mergeCell ref="A69:A70"/>
    <mergeCell ref="B69:B70"/>
    <mergeCell ref="C69:C70"/>
    <mergeCell ref="D69:D70"/>
    <mergeCell ref="E69:E70"/>
    <mergeCell ref="F69:F70"/>
    <mergeCell ref="G69:G70"/>
    <mergeCell ref="H69:H70"/>
    <mergeCell ref="I69:I70"/>
    <mergeCell ref="J69:J70"/>
    <mergeCell ref="N69:N70"/>
    <mergeCell ref="Q69:Q70"/>
    <mergeCell ref="AA69:AA70"/>
    <mergeCell ref="AB69:AB70"/>
    <mergeCell ref="AC69:AC70"/>
    <mergeCell ref="R69:R70"/>
    <mergeCell ref="BD69:BD70"/>
    <mergeCell ref="BE69:BE70"/>
    <mergeCell ref="BF69:BF70"/>
    <mergeCell ref="BB69:BB70"/>
    <mergeCell ref="AM69:AM70"/>
    <mergeCell ref="AN69:AN70"/>
    <mergeCell ref="AO69:AO70"/>
    <mergeCell ref="Q67:Q68"/>
    <mergeCell ref="R67:R68"/>
    <mergeCell ref="S67:S68"/>
    <mergeCell ref="BF67:BF68"/>
    <mergeCell ref="BC69:BC70"/>
    <mergeCell ref="A71:I71"/>
    <mergeCell ref="A72:A73"/>
    <mergeCell ref="B72:B73"/>
    <mergeCell ref="C72:C73"/>
    <mergeCell ref="D72:D73"/>
    <mergeCell ref="E72:E73"/>
    <mergeCell ref="F72:F73"/>
    <mergeCell ref="G72:G73"/>
    <mergeCell ref="H72:H73"/>
    <mergeCell ref="I72:I73"/>
    <mergeCell ref="J72:J73"/>
    <mergeCell ref="N72:N73"/>
    <mergeCell ref="Q72:Q73"/>
    <mergeCell ref="R72:R73"/>
    <mergeCell ref="S72:S73"/>
    <mergeCell ref="T72:T73"/>
    <mergeCell ref="AS67:AS68"/>
    <mergeCell ref="T67:T68"/>
    <mergeCell ref="U67:U68"/>
    <mergeCell ref="V67:V68"/>
    <mergeCell ref="W67:W68"/>
    <mergeCell ref="AL72:AL73"/>
    <mergeCell ref="AF69:AF70"/>
    <mergeCell ref="AG69:AG70"/>
    <mergeCell ref="AH69:AH70"/>
    <mergeCell ref="AI69:AI70"/>
    <mergeCell ref="X69:X70"/>
    <mergeCell ref="A67:A68"/>
    <mergeCell ref="B67:B68"/>
    <mergeCell ref="C67:C68"/>
    <mergeCell ref="D67:D68"/>
    <mergeCell ref="E67:E68"/>
    <mergeCell ref="F67:F68"/>
    <mergeCell ref="G67:G68"/>
    <mergeCell ref="H67:H68"/>
    <mergeCell ref="I67:I68"/>
    <mergeCell ref="J67:J68"/>
    <mergeCell ref="N67:N68"/>
    <mergeCell ref="Y69:Y70"/>
    <mergeCell ref="Z69:Z70"/>
    <mergeCell ref="BA69:BA70"/>
    <mergeCell ref="AP69:AP70"/>
    <mergeCell ref="AQ69:AQ70"/>
    <mergeCell ref="AR69:AR70"/>
    <mergeCell ref="AS69:AS70"/>
    <mergeCell ref="AT69:AT70"/>
    <mergeCell ref="AU69:AU70"/>
    <mergeCell ref="S69:S70"/>
    <mergeCell ref="T69:T70"/>
    <mergeCell ref="U69:U70"/>
    <mergeCell ref="V69:V70"/>
    <mergeCell ref="W69:W70"/>
    <mergeCell ref="AT67:AT68"/>
    <mergeCell ref="AU67:AU68"/>
    <mergeCell ref="AD69:AD70"/>
    <mergeCell ref="AE69:AE70"/>
    <mergeCell ref="AJ69:AJ70"/>
    <mergeCell ref="AK69:AK70"/>
    <mergeCell ref="AL69:AL70"/>
    <mergeCell ref="BF72:BF73"/>
    <mergeCell ref="BG72:BG73"/>
    <mergeCell ref="A74:A75"/>
    <mergeCell ref="B74:B75"/>
    <mergeCell ref="C74:C75"/>
    <mergeCell ref="D74:D75"/>
    <mergeCell ref="E74:E75"/>
    <mergeCell ref="F74:F75"/>
    <mergeCell ref="G74:G75"/>
    <mergeCell ref="H74:H75"/>
    <mergeCell ref="I74:I75"/>
    <mergeCell ref="J74:J75"/>
    <mergeCell ref="N74:N75"/>
    <mergeCell ref="Q74:Q75"/>
    <mergeCell ref="R74:R75"/>
    <mergeCell ref="U72:U73"/>
    <mergeCell ref="V72:V73"/>
    <mergeCell ref="W72:W73"/>
    <mergeCell ref="X72:X73"/>
    <mergeCell ref="Y74:Y75"/>
    <mergeCell ref="Z74:Z75"/>
    <mergeCell ref="AA74:AA75"/>
    <mergeCell ref="AB74:AB75"/>
    <mergeCell ref="AC74:AC75"/>
    <mergeCell ref="AD74:AD75"/>
    <mergeCell ref="AE74:AE75"/>
    <mergeCell ref="AF74:AF75"/>
    <mergeCell ref="AG74:AG75"/>
    <mergeCell ref="AH74:AH75"/>
    <mergeCell ref="AM72:AM73"/>
    <mergeCell ref="AN72:AN73"/>
    <mergeCell ref="Y72:Y73"/>
    <mergeCell ref="Z72:Z73"/>
    <mergeCell ref="AA72:AA73"/>
    <mergeCell ref="AB72:AB73"/>
    <mergeCell ref="AC72:AC73"/>
    <mergeCell ref="AD72:AD73"/>
    <mergeCell ref="AE72:AE73"/>
    <mergeCell ref="AF72:AF73"/>
    <mergeCell ref="BC72:BC73"/>
    <mergeCell ref="BD72:BD73"/>
    <mergeCell ref="AV74:AV75"/>
    <mergeCell ref="AW74:AW75"/>
    <mergeCell ref="AX74:AX75"/>
    <mergeCell ref="AY74:AY75"/>
    <mergeCell ref="AZ74:AZ75"/>
    <mergeCell ref="BA74:BA75"/>
    <mergeCell ref="BB74:BB75"/>
    <mergeCell ref="BC74:BC75"/>
    <mergeCell ref="BD74:BD75"/>
    <mergeCell ref="AN74:AN75"/>
    <mergeCell ref="AQ72:AQ73"/>
    <mergeCell ref="AR72:AR73"/>
    <mergeCell ref="AG72:AG73"/>
    <mergeCell ref="AH72:AH73"/>
    <mergeCell ref="AI72:AI73"/>
    <mergeCell ref="AJ72:AJ73"/>
    <mergeCell ref="AK72:AK73"/>
    <mergeCell ref="AU74:AU75"/>
    <mergeCell ref="AS72:AS73"/>
    <mergeCell ref="AT72:AT73"/>
    <mergeCell ref="AU72:AU73"/>
    <mergeCell ref="AV72:AV73"/>
    <mergeCell ref="AW72:AW73"/>
    <mergeCell ref="AX72:AX73"/>
    <mergeCell ref="AY72:AY73"/>
    <mergeCell ref="AZ72:AZ73"/>
    <mergeCell ref="BA72:BA73"/>
    <mergeCell ref="BB72:BB73"/>
    <mergeCell ref="AO72:AO73"/>
    <mergeCell ref="AP72:AP73"/>
    <mergeCell ref="AW76:AW77"/>
    <mergeCell ref="AX76:AX77"/>
    <mergeCell ref="AY76:AY77"/>
    <mergeCell ref="AZ76:AZ77"/>
    <mergeCell ref="BA76:BA77"/>
    <mergeCell ref="BB76:BB77"/>
    <mergeCell ref="BC76:BC77"/>
    <mergeCell ref="BD76:BD77"/>
    <mergeCell ref="BE76:BE77"/>
    <mergeCell ref="AU76:AU77"/>
    <mergeCell ref="AV76:AV77"/>
    <mergeCell ref="BE72:BE73"/>
    <mergeCell ref="AO76:AO77"/>
    <mergeCell ref="AP76:AP77"/>
    <mergeCell ref="AQ76:AQ77"/>
    <mergeCell ref="AR76:AR77"/>
    <mergeCell ref="BF76:BF77"/>
    <mergeCell ref="AS76:AS77"/>
    <mergeCell ref="BE74:BE75"/>
    <mergeCell ref="BF74:BF75"/>
    <mergeCell ref="BG74:BG75"/>
    <mergeCell ref="A76:A77"/>
    <mergeCell ref="B76:B77"/>
    <mergeCell ref="C76:C77"/>
    <mergeCell ref="D76:D77"/>
    <mergeCell ref="E76:E77"/>
    <mergeCell ref="F76:F77"/>
    <mergeCell ref="G76:G77"/>
    <mergeCell ref="H76:H77"/>
    <mergeCell ref="I76:I77"/>
    <mergeCell ref="J76:J77"/>
    <mergeCell ref="N76:N77"/>
    <mergeCell ref="S74:S75"/>
    <mergeCell ref="T74:T75"/>
    <mergeCell ref="U74:U75"/>
    <mergeCell ref="V74:V75"/>
    <mergeCell ref="W74:W75"/>
    <mergeCell ref="X74:X75"/>
    <mergeCell ref="AB76:AB77"/>
    <mergeCell ref="AI76:AI77"/>
    <mergeCell ref="AJ76:AJ77"/>
    <mergeCell ref="AK76:AK77"/>
    <mergeCell ref="AL76:AL77"/>
    <mergeCell ref="AC76:AC77"/>
    <mergeCell ref="AD76:AD77"/>
    <mergeCell ref="AE76:AE77"/>
    <mergeCell ref="AF76:AF77"/>
    <mergeCell ref="AG76:AG77"/>
    <mergeCell ref="AN76:AN77"/>
    <mergeCell ref="AQ74:AQ75"/>
    <mergeCell ref="AR74:AR75"/>
    <mergeCell ref="AT76:AT77"/>
    <mergeCell ref="AT74:AT75"/>
    <mergeCell ref="AI74:AI75"/>
    <mergeCell ref="AJ74:AJ75"/>
    <mergeCell ref="AN78:AN79"/>
    <mergeCell ref="AO78:AO79"/>
    <mergeCell ref="AP78:AP79"/>
    <mergeCell ref="AQ78:AQ79"/>
    <mergeCell ref="AR78:AR79"/>
    <mergeCell ref="AS78:AS79"/>
    <mergeCell ref="AT78:AT79"/>
    <mergeCell ref="AO74:AO75"/>
    <mergeCell ref="AP74:AP75"/>
    <mergeCell ref="AS74:AS75"/>
    <mergeCell ref="AH76:AH77"/>
    <mergeCell ref="AK74:AK75"/>
    <mergeCell ref="AL74:AL75"/>
    <mergeCell ref="AM74:AM75"/>
    <mergeCell ref="D78:D79"/>
    <mergeCell ref="E78:E79"/>
    <mergeCell ref="F78:F79"/>
    <mergeCell ref="G78:G79"/>
    <mergeCell ref="H78:H79"/>
    <mergeCell ref="I78:I79"/>
    <mergeCell ref="Q76:Q77"/>
    <mergeCell ref="R76:R77"/>
    <mergeCell ref="S76:S77"/>
    <mergeCell ref="T76:T77"/>
    <mergeCell ref="U76:U77"/>
    <mergeCell ref="V76:V77"/>
    <mergeCell ref="W76:W77"/>
    <mergeCell ref="X76:X77"/>
    <mergeCell ref="Y76:Y77"/>
    <mergeCell ref="AA78:AA79"/>
    <mergeCell ref="AA76:AA77"/>
    <mergeCell ref="Z76:Z77"/>
    <mergeCell ref="AE78:AE79"/>
    <mergeCell ref="AF78:AF79"/>
    <mergeCell ref="AM78:AM79"/>
    <mergeCell ref="AG78:AG79"/>
    <mergeCell ref="AB78:AB79"/>
    <mergeCell ref="AK78:AK79"/>
    <mergeCell ref="AL78:AL79"/>
    <mergeCell ref="AM76:AM77"/>
    <mergeCell ref="BA78:BA79"/>
    <mergeCell ref="BB78:BB79"/>
    <mergeCell ref="BC78:BC79"/>
    <mergeCell ref="BD78:BD79"/>
    <mergeCell ref="BE78:BE79"/>
    <mergeCell ref="BF78:BF79"/>
    <mergeCell ref="BG78:BG79"/>
    <mergeCell ref="A80:I80"/>
    <mergeCell ref="A81:A82"/>
    <mergeCell ref="B81:B82"/>
    <mergeCell ref="C81:C82"/>
    <mergeCell ref="D81:D82"/>
    <mergeCell ref="E81:E82"/>
    <mergeCell ref="F81:F82"/>
    <mergeCell ref="J78:J79"/>
    <mergeCell ref="N78:N79"/>
    <mergeCell ref="Q78:Q79"/>
    <mergeCell ref="R78:R79"/>
    <mergeCell ref="S78:S79"/>
    <mergeCell ref="T78:T79"/>
    <mergeCell ref="U78:U79"/>
    <mergeCell ref="V78:V79"/>
    <mergeCell ref="W78:W79"/>
    <mergeCell ref="X78:X79"/>
    <mergeCell ref="Y78:Y79"/>
    <mergeCell ref="Z78:Z79"/>
    <mergeCell ref="AJ81:AJ82"/>
    <mergeCell ref="AC78:AC79"/>
    <mergeCell ref="AD78:AD79"/>
    <mergeCell ref="BA81:BA82"/>
    <mergeCell ref="BB81:BB82"/>
    <mergeCell ref="BC81:BC82"/>
    <mergeCell ref="BG76:BG77"/>
    <mergeCell ref="A78:A79"/>
    <mergeCell ref="B78:B79"/>
    <mergeCell ref="C78:C79"/>
    <mergeCell ref="BG81:BG82"/>
    <mergeCell ref="A83:A84"/>
    <mergeCell ref="B83:B84"/>
    <mergeCell ref="C83:C84"/>
    <mergeCell ref="D83:D84"/>
    <mergeCell ref="E83:E84"/>
    <mergeCell ref="F83:F84"/>
    <mergeCell ref="G81:G82"/>
    <mergeCell ref="H81:H82"/>
    <mergeCell ref="I81:I82"/>
    <mergeCell ref="J81:J82"/>
    <mergeCell ref="N81:N82"/>
    <mergeCell ref="Q81:Q82"/>
    <mergeCell ref="R81:R82"/>
    <mergeCell ref="S81:S82"/>
    <mergeCell ref="T81:T82"/>
    <mergeCell ref="U81:U82"/>
    <mergeCell ref="V81:V82"/>
    <mergeCell ref="AY83:AY84"/>
    <mergeCell ref="AZ83:AZ84"/>
    <mergeCell ref="BA83:BA84"/>
    <mergeCell ref="BB83:BB84"/>
    <mergeCell ref="BC83:BC84"/>
    <mergeCell ref="BD83:BD84"/>
    <mergeCell ref="BE83:BE84"/>
    <mergeCell ref="BF83:BF84"/>
    <mergeCell ref="BG83:BG84"/>
    <mergeCell ref="AD83:AD84"/>
    <mergeCell ref="AU78:AU79"/>
    <mergeCell ref="AH78:AH79"/>
    <mergeCell ref="AI78:AI79"/>
    <mergeCell ref="AJ78:AJ79"/>
    <mergeCell ref="W81:W82"/>
    <mergeCell ref="AV78:AV79"/>
    <mergeCell ref="AW78:AW79"/>
    <mergeCell ref="AX78:AX79"/>
    <mergeCell ref="AY78:AY79"/>
    <mergeCell ref="AZ78:AZ79"/>
    <mergeCell ref="X81:X82"/>
    <mergeCell ref="Y81:Y82"/>
    <mergeCell ref="Z81:Z82"/>
    <mergeCell ref="AA81:AA82"/>
    <mergeCell ref="AB81:AB82"/>
    <mergeCell ref="AC81:AC82"/>
    <mergeCell ref="AP81:AP82"/>
    <mergeCell ref="AQ81:AQ82"/>
    <mergeCell ref="AR81:AR82"/>
    <mergeCell ref="AS81:AS82"/>
    <mergeCell ref="AT81:AT82"/>
    <mergeCell ref="AU81:AU82"/>
    <mergeCell ref="AV81:AV82"/>
    <mergeCell ref="AW81:AW82"/>
    <mergeCell ref="AX81:AX82"/>
    <mergeCell ref="AY81:AY82"/>
    <mergeCell ref="AZ81:AZ82"/>
    <mergeCell ref="AF81:AF82"/>
    <mergeCell ref="AG81:AG82"/>
    <mergeCell ref="AH81:AH82"/>
    <mergeCell ref="AI81:AI82"/>
    <mergeCell ref="BD81:BD82"/>
    <mergeCell ref="BE81:BE82"/>
    <mergeCell ref="BF81:BF82"/>
    <mergeCell ref="W83:W84"/>
    <mergeCell ref="AF83:AF84"/>
    <mergeCell ref="AG83:AG84"/>
    <mergeCell ref="AH83:AH84"/>
    <mergeCell ref="AI83:AI84"/>
    <mergeCell ref="X83:X84"/>
    <mergeCell ref="Y83:Y84"/>
    <mergeCell ref="Z83:Z84"/>
    <mergeCell ref="AA83:AA84"/>
    <mergeCell ref="AB83:AB84"/>
    <mergeCell ref="AC83:AC84"/>
    <mergeCell ref="AK81:AK82"/>
    <mergeCell ref="AL81:AL82"/>
    <mergeCell ref="AM81:AM82"/>
    <mergeCell ref="AN81:AN82"/>
    <mergeCell ref="AO81:AO82"/>
    <mergeCell ref="AD81:AD82"/>
    <mergeCell ref="AE81:AE82"/>
    <mergeCell ref="AS83:AS84"/>
    <mergeCell ref="AT83:AT84"/>
    <mergeCell ref="AU83:AU84"/>
    <mergeCell ref="AV83:AV84"/>
    <mergeCell ref="AW83:AW84"/>
    <mergeCell ref="AX83:AX84"/>
    <mergeCell ref="AE83:AE84"/>
    <mergeCell ref="A85:A86"/>
    <mergeCell ref="B85:B86"/>
    <mergeCell ref="C85:C86"/>
    <mergeCell ref="D85:D86"/>
    <mergeCell ref="E85:E86"/>
    <mergeCell ref="F85:F86"/>
    <mergeCell ref="G83:G84"/>
    <mergeCell ref="H83:H84"/>
    <mergeCell ref="I83:I84"/>
    <mergeCell ref="J83:J84"/>
    <mergeCell ref="N83:N84"/>
    <mergeCell ref="Q83:Q84"/>
    <mergeCell ref="R83:R84"/>
    <mergeCell ref="S83:S84"/>
    <mergeCell ref="T83:T84"/>
    <mergeCell ref="U83:U84"/>
    <mergeCell ref="V83:V84"/>
    <mergeCell ref="AF85:AF86"/>
    <mergeCell ref="AG85:AG86"/>
    <mergeCell ref="AH85:AH86"/>
    <mergeCell ref="AI85:AI86"/>
    <mergeCell ref="AD85:AD86"/>
    <mergeCell ref="AE85:AE86"/>
    <mergeCell ref="AJ83:AJ84"/>
    <mergeCell ref="AK83:AK84"/>
    <mergeCell ref="AL83:AL84"/>
    <mergeCell ref="AM83:AM84"/>
    <mergeCell ref="AN83:AN84"/>
    <mergeCell ref="AO83:AO84"/>
    <mergeCell ref="AP83:AP84"/>
    <mergeCell ref="AQ83:AQ84"/>
    <mergeCell ref="AR83:AR84"/>
    <mergeCell ref="BA85:BA86"/>
    <mergeCell ref="BB85:BB86"/>
    <mergeCell ref="AM85:AM86"/>
    <mergeCell ref="AN85:AN86"/>
    <mergeCell ref="AO85:AO86"/>
    <mergeCell ref="AP85:AP86"/>
    <mergeCell ref="AQ85:AQ86"/>
    <mergeCell ref="AR85:AR86"/>
    <mergeCell ref="AS85:AS86"/>
    <mergeCell ref="AT85:AT86"/>
    <mergeCell ref="AU85:AU86"/>
    <mergeCell ref="AV85:AV86"/>
    <mergeCell ref="AW85:AW86"/>
    <mergeCell ref="AX85:AX86"/>
    <mergeCell ref="AY85:AY86"/>
    <mergeCell ref="AZ85:AZ86"/>
    <mergeCell ref="BC85:BC86"/>
    <mergeCell ref="BD85:BD86"/>
    <mergeCell ref="BE85:BE86"/>
    <mergeCell ref="BF85:BF86"/>
    <mergeCell ref="BG85:BG86"/>
    <mergeCell ref="A87:A88"/>
    <mergeCell ref="B87:B88"/>
    <mergeCell ref="C87:C88"/>
    <mergeCell ref="D87:D88"/>
    <mergeCell ref="E87:E88"/>
    <mergeCell ref="F87:F88"/>
    <mergeCell ref="G85:G86"/>
    <mergeCell ref="H85:H86"/>
    <mergeCell ref="I85:I86"/>
    <mergeCell ref="J85:J86"/>
    <mergeCell ref="N85:N86"/>
    <mergeCell ref="Q85:Q86"/>
    <mergeCell ref="R85:R86"/>
    <mergeCell ref="S85:S86"/>
    <mergeCell ref="T85:T86"/>
    <mergeCell ref="U85:U86"/>
    <mergeCell ref="V85:V86"/>
    <mergeCell ref="W85:W86"/>
    <mergeCell ref="X85:X86"/>
    <mergeCell ref="Y85:Y86"/>
    <mergeCell ref="Z85:Z86"/>
    <mergeCell ref="AA85:AA86"/>
    <mergeCell ref="AB85:AB86"/>
    <mergeCell ref="AC85:AC86"/>
    <mergeCell ref="AJ85:AJ86"/>
    <mergeCell ref="AK85:AK86"/>
    <mergeCell ref="AL85:AL86"/>
    <mergeCell ref="A89:I89"/>
    <mergeCell ref="A90:I90"/>
    <mergeCell ref="BB87:BB88"/>
    <mergeCell ref="BC87:BC88"/>
    <mergeCell ref="BD87:BD88"/>
    <mergeCell ref="BE87:BE88"/>
    <mergeCell ref="AP87:AP88"/>
    <mergeCell ref="AQ87:AQ88"/>
    <mergeCell ref="AR87:AR88"/>
    <mergeCell ref="AS87:AS88"/>
    <mergeCell ref="G87:G88"/>
    <mergeCell ref="H87:H88"/>
    <mergeCell ref="I87:I88"/>
    <mergeCell ref="J87:J88"/>
    <mergeCell ref="N87:N88"/>
    <mergeCell ref="Q87:Q88"/>
    <mergeCell ref="R87:R88"/>
    <mergeCell ref="S87:S88"/>
    <mergeCell ref="T87:T88"/>
    <mergeCell ref="U87:U88"/>
    <mergeCell ref="V87:V88"/>
    <mergeCell ref="W87:W88"/>
    <mergeCell ref="X87:X88"/>
    <mergeCell ref="Y87:Y88"/>
    <mergeCell ref="BF87:BF88"/>
    <mergeCell ref="BG87:BG88"/>
    <mergeCell ref="AV87:AV88"/>
    <mergeCell ref="AW87:AW88"/>
    <mergeCell ref="AX87:AX88"/>
    <mergeCell ref="AY87:AY88"/>
    <mergeCell ref="AZ87:AZ88"/>
    <mergeCell ref="BA87:BA88"/>
    <mergeCell ref="Z87:Z88"/>
    <mergeCell ref="AA87:AA88"/>
    <mergeCell ref="AB87:AB88"/>
    <mergeCell ref="AC87:AC88"/>
    <mergeCell ref="AD87:AD88"/>
    <mergeCell ref="AE87:AE88"/>
    <mergeCell ref="AF87:AF88"/>
    <mergeCell ref="AG87:AG88"/>
    <mergeCell ref="AH87:AH88"/>
    <mergeCell ref="AI87:AI88"/>
    <mergeCell ref="AT87:AT88"/>
    <mergeCell ref="AU87:AU88"/>
    <mergeCell ref="AJ87:AJ88"/>
    <mergeCell ref="AK87:AK88"/>
    <mergeCell ref="AL87:AL88"/>
    <mergeCell ref="AM87:AM88"/>
    <mergeCell ref="AN87:AN88"/>
    <mergeCell ref="AO87:AO88"/>
  </mergeCells>
  <phoneticPr fontId="61" type="noConversion"/>
  <pageMargins left="0" right="0" top="0" bottom="0" header="0" footer="0"/>
  <pageSetup paperSize="9" scale="65"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1"/>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45265</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2" si="0">L5-M5</f>
        <v>0</v>
      </c>
      <c r="P5" s="27">
        <v>0</v>
      </c>
      <c r="Q5" s="99">
        <f>+L6-P6</f>
        <v>36</v>
      </c>
      <c r="R5" s="85" t="s">
        <v>64</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f>
        <v>2194</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45265</v>
      </c>
      <c r="B7" s="87" t="s">
        <v>37</v>
      </c>
      <c r="C7" s="89">
        <v>1</v>
      </c>
      <c r="D7" s="91" t="s">
        <v>38</v>
      </c>
      <c r="E7" s="89">
        <v>84217</v>
      </c>
      <c r="F7" s="89" t="s">
        <v>49</v>
      </c>
      <c r="G7" s="93" t="s">
        <v>61</v>
      </c>
      <c r="H7" s="90" t="s">
        <v>41</v>
      </c>
      <c r="I7" s="90">
        <v>1883</v>
      </c>
      <c r="J7" s="90">
        <v>1883</v>
      </c>
      <c r="K7" s="20">
        <v>0</v>
      </c>
      <c r="L7" s="20">
        <v>0</v>
      </c>
      <c r="M7" s="20">
        <v>0</v>
      </c>
      <c r="N7" s="97">
        <f>O8/L8</f>
        <v>0.75730217737652683</v>
      </c>
      <c r="O7" s="21">
        <f t="shared" si="0"/>
        <v>0</v>
      </c>
      <c r="P7" s="27">
        <v>117</v>
      </c>
      <c r="Q7" s="99">
        <f>+L8-P8</f>
        <v>201</v>
      </c>
      <c r="R7" s="85"/>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197+105+183+94+214+167+177+130+264+162+127+63</f>
        <v>1883</v>
      </c>
      <c r="L8" s="18">
        <f>197+105+183+30+30+262+272+188+20+20+10+255+311</f>
        <v>1883</v>
      </c>
      <c r="M8" s="18">
        <f>20+34+27+8+72+93+39+5+4+65+90</f>
        <v>457</v>
      </c>
      <c r="N8" s="98"/>
      <c r="O8" s="19">
        <f t="shared" si="0"/>
        <v>1426</v>
      </c>
      <c r="P8" s="22">
        <f>20+138+161+8+180+320+119+34+33+127+181+244+117</f>
        <v>1682</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5.75" customHeight="1">
      <c r="A9" s="108">
        <v>45265</v>
      </c>
      <c r="B9" s="87" t="s">
        <v>37</v>
      </c>
      <c r="C9" s="89">
        <v>1</v>
      </c>
      <c r="D9" s="91" t="s">
        <v>38</v>
      </c>
      <c r="E9" s="89">
        <v>84217</v>
      </c>
      <c r="F9" s="89" t="s">
        <v>49</v>
      </c>
      <c r="G9" s="93" t="s">
        <v>63</v>
      </c>
      <c r="H9" s="90" t="s">
        <v>47</v>
      </c>
      <c r="I9" s="90">
        <v>2103</v>
      </c>
      <c r="J9" s="90">
        <v>2103</v>
      </c>
      <c r="K9" s="20">
        <v>4</v>
      </c>
      <c r="L9" s="20">
        <v>4</v>
      </c>
      <c r="M9" s="20">
        <v>4</v>
      </c>
      <c r="N9" s="97">
        <f>O10/L10</f>
        <v>0.57584403233475989</v>
      </c>
      <c r="O9" s="21">
        <f t="shared" si="0"/>
        <v>0</v>
      </c>
      <c r="P9" s="27">
        <v>4</v>
      </c>
      <c r="Q9" s="99">
        <f>+L10-P10</f>
        <v>436</v>
      </c>
      <c r="R9" s="85"/>
      <c r="S9" s="96"/>
      <c r="T9" s="96"/>
      <c r="U9" s="96"/>
      <c r="V9" s="96"/>
      <c r="W9" s="96"/>
      <c r="X9" s="96"/>
      <c r="Y9" s="96"/>
      <c r="Z9" s="96"/>
      <c r="AA9" s="96"/>
      <c r="AB9" s="96"/>
      <c r="AC9" s="96"/>
      <c r="AD9" s="96"/>
      <c r="AE9" s="96"/>
      <c r="AF9" s="96"/>
      <c r="AG9" s="96"/>
      <c r="AH9" s="96"/>
      <c r="AI9" s="96"/>
      <c r="AJ9" s="96"/>
      <c r="AK9" s="96"/>
      <c r="AL9" s="96"/>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646+325+235+397+185+288+15+8+4</f>
        <v>2103</v>
      </c>
      <c r="L10" s="18">
        <f>180+224+270+114+100+89+460+662+4</f>
        <v>2103</v>
      </c>
      <c r="M10" s="18">
        <f>49+99+127+52+44+48+223+246+4</f>
        <v>892</v>
      </c>
      <c r="N10" s="98"/>
      <c r="O10" s="19">
        <f t="shared" si="0"/>
        <v>1211</v>
      </c>
      <c r="P10" s="22">
        <f>49+102+165+80+231+48+228+760+4</f>
        <v>1667</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5.75" customHeight="1">
      <c r="A11" s="108">
        <v>45265</v>
      </c>
      <c r="B11" s="87" t="s">
        <v>37</v>
      </c>
      <c r="C11" s="89">
        <v>1</v>
      </c>
      <c r="D11" s="91" t="s">
        <v>38</v>
      </c>
      <c r="E11" s="89">
        <v>84217</v>
      </c>
      <c r="F11" s="89" t="s">
        <v>49</v>
      </c>
      <c r="G11" s="93" t="s">
        <v>63</v>
      </c>
      <c r="H11" s="90" t="s">
        <v>39</v>
      </c>
      <c r="I11" s="90">
        <v>4965</v>
      </c>
      <c r="J11" s="90">
        <v>965</v>
      </c>
      <c r="K11" s="20">
        <v>75</v>
      </c>
      <c r="L11" s="20">
        <v>40</v>
      </c>
      <c r="M11" s="20">
        <v>30</v>
      </c>
      <c r="N11" s="97">
        <f>O12/L12</f>
        <v>0.74137931034482762</v>
      </c>
      <c r="O11" s="21">
        <f t="shared" si="0"/>
        <v>10</v>
      </c>
      <c r="P11" s="27">
        <v>41</v>
      </c>
      <c r="Q11" s="99">
        <f>+L12-P12</f>
        <v>189</v>
      </c>
      <c r="R11" s="85"/>
      <c r="S11" s="96"/>
      <c r="T11" s="96"/>
      <c r="U11" s="96">
        <v>2</v>
      </c>
      <c r="V11" s="96"/>
      <c r="W11" s="96"/>
      <c r="X11" s="96"/>
      <c r="Y11" s="96"/>
      <c r="Z11" s="96"/>
      <c r="AA11" s="96"/>
      <c r="AB11" s="96"/>
      <c r="AC11" s="96">
        <v>2</v>
      </c>
      <c r="AD11" s="96"/>
      <c r="AE11" s="96"/>
      <c r="AF11" s="96"/>
      <c r="AG11" s="96"/>
      <c r="AH11" s="96">
        <v>6</v>
      </c>
      <c r="AI11" s="96"/>
      <c r="AJ11" s="96"/>
      <c r="AK11" s="96"/>
      <c r="AL11" s="96"/>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5+13+70+100+67+52+57+45+75</f>
        <v>484</v>
      </c>
      <c r="L12" s="18">
        <f>5+13+60+10+10+10+50+150+40</f>
        <v>348</v>
      </c>
      <c r="M12" s="18">
        <f>10+10+40+30</f>
        <v>90</v>
      </c>
      <c r="N12" s="98"/>
      <c r="O12" s="19">
        <f t="shared" si="0"/>
        <v>258</v>
      </c>
      <c r="P12" s="22">
        <f>10+30+30+10+38+41</f>
        <v>159</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45265</v>
      </c>
      <c r="B13" s="87" t="s">
        <v>37</v>
      </c>
      <c r="C13" s="89">
        <v>1</v>
      </c>
      <c r="D13" s="91" t="s">
        <v>38</v>
      </c>
      <c r="E13" s="89">
        <v>84217</v>
      </c>
      <c r="F13" s="89" t="s">
        <v>49</v>
      </c>
      <c r="G13" s="93" t="s">
        <v>63</v>
      </c>
      <c r="H13" s="90" t="s">
        <v>41</v>
      </c>
      <c r="I13" s="90">
        <v>1219</v>
      </c>
      <c r="J13" s="90">
        <v>1219</v>
      </c>
      <c r="K13" s="20">
        <v>86</v>
      </c>
      <c r="L13" s="20">
        <v>10</v>
      </c>
      <c r="M13" s="20">
        <v>0</v>
      </c>
      <c r="N13" s="97">
        <f>O14/L14</f>
        <v>0.47211895910780671</v>
      </c>
      <c r="O13" s="21">
        <f t="shared" si="0"/>
        <v>10</v>
      </c>
      <c r="P13" s="27">
        <v>10</v>
      </c>
      <c r="Q13" s="99">
        <f>+L14-P14</f>
        <v>107</v>
      </c>
      <c r="R13" s="85"/>
      <c r="S13" s="96"/>
      <c r="T13" s="96">
        <v>4</v>
      </c>
      <c r="U13" s="96"/>
      <c r="V13" s="96"/>
      <c r="W13" s="96"/>
      <c r="X13" s="96"/>
      <c r="Y13" s="96"/>
      <c r="Z13" s="96"/>
      <c r="AA13" s="96"/>
      <c r="AB13" s="96"/>
      <c r="AC13" s="96">
        <v>2</v>
      </c>
      <c r="AD13" s="96"/>
      <c r="AE13" s="96"/>
      <c r="AF13" s="96">
        <v>2</v>
      </c>
      <c r="AG13" s="96"/>
      <c r="AH13" s="96">
        <v>1</v>
      </c>
      <c r="AI13" s="96"/>
      <c r="AJ13" s="96"/>
      <c r="AK13" s="96"/>
      <c r="AL13" s="96">
        <v>1</v>
      </c>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103+85+198+61+57+39+86</f>
        <v>629</v>
      </c>
      <c r="L14" s="18">
        <f>9+46+10+10+10+10+164+10</f>
        <v>269</v>
      </c>
      <c r="M14" s="18">
        <f>9+17+10+106</f>
        <v>142</v>
      </c>
      <c r="N14" s="98"/>
      <c r="O14" s="19">
        <f t="shared" si="0"/>
        <v>127</v>
      </c>
      <c r="P14" s="22">
        <f>9+17+10+10+10+96+10</f>
        <v>162</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45265</v>
      </c>
      <c r="B15" s="87" t="s">
        <v>37</v>
      </c>
      <c r="C15" s="89">
        <v>1</v>
      </c>
      <c r="D15" s="91" t="s">
        <v>38</v>
      </c>
      <c r="E15" s="89">
        <v>84217</v>
      </c>
      <c r="F15" s="89" t="s">
        <v>49</v>
      </c>
      <c r="G15" s="93" t="s">
        <v>63</v>
      </c>
      <c r="H15" s="90" t="s">
        <v>73</v>
      </c>
      <c r="I15" s="90">
        <v>760</v>
      </c>
      <c r="J15" s="90">
        <v>760</v>
      </c>
      <c r="K15" s="20">
        <v>95</v>
      </c>
      <c r="L15" s="20">
        <v>90</v>
      </c>
      <c r="M15" s="20">
        <v>45</v>
      </c>
      <c r="N15" s="97">
        <f>O16/L16</f>
        <v>0.5</v>
      </c>
      <c r="O15" s="21">
        <f t="shared" si="0"/>
        <v>45</v>
      </c>
      <c r="P15" s="27">
        <v>45</v>
      </c>
      <c r="Q15" s="99">
        <f>+L16-P16</f>
        <v>45</v>
      </c>
      <c r="R15" s="85"/>
      <c r="S15" s="96"/>
      <c r="T15" s="96">
        <v>12</v>
      </c>
      <c r="U15" s="96">
        <v>15</v>
      </c>
      <c r="V15" s="96"/>
      <c r="W15" s="96"/>
      <c r="X15" s="96"/>
      <c r="Y15" s="96"/>
      <c r="Z15" s="96"/>
      <c r="AA15" s="96"/>
      <c r="AB15" s="96"/>
      <c r="AC15" s="96">
        <v>4</v>
      </c>
      <c r="AD15" s="96"/>
      <c r="AE15" s="96">
        <v>3</v>
      </c>
      <c r="AF15" s="96">
        <v>2</v>
      </c>
      <c r="AG15" s="96">
        <v>4</v>
      </c>
      <c r="AH15" s="96">
        <v>5</v>
      </c>
      <c r="AI15" s="96"/>
      <c r="AJ15" s="96"/>
      <c r="AK15" s="96"/>
      <c r="AL15" s="96"/>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535+95</f>
        <v>630</v>
      </c>
      <c r="L16" s="18">
        <f>90</f>
        <v>90</v>
      </c>
      <c r="M16" s="18">
        <f>45</f>
        <v>45</v>
      </c>
      <c r="N16" s="98"/>
      <c r="O16" s="19">
        <f t="shared" si="0"/>
        <v>45</v>
      </c>
      <c r="P16" s="22">
        <f>45</f>
        <v>45</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45265</v>
      </c>
      <c r="B17" s="87" t="s">
        <v>37</v>
      </c>
      <c r="C17" s="89">
        <v>1</v>
      </c>
      <c r="D17" s="91" t="s">
        <v>38</v>
      </c>
      <c r="E17" s="89">
        <v>84212</v>
      </c>
      <c r="F17" s="89" t="s">
        <v>49</v>
      </c>
      <c r="G17" s="93" t="s">
        <v>55</v>
      </c>
      <c r="H17" s="90" t="s">
        <v>62</v>
      </c>
      <c r="I17" s="90">
        <v>2248</v>
      </c>
      <c r="J17" s="90">
        <v>608</v>
      </c>
      <c r="K17" s="20">
        <v>0</v>
      </c>
      <c r="L17" s="20">
        <v>0</v>
      </c>
      <c r="M17" s="20">
        <v>0</v>
      </c>
      <c r="N17" s="97">
        <f>O18/L18</f>
        <v>0.76470588235294112</v>
      </c>
      <c r="O17" s="21">
        <f t="shared" si="0"/>
        <v>0</v>
      </c>
      <c r="P17" s="27">
        <v>0</v>
      </c>
      <c r="Q17" s="99">
        <f>+L18-P18</f>
        <v>30</v>
      </c>
      <c r="R17" s="85"/>
      <c r="S17" s="96"/>
      <c r="T17" s="96"/>
      <c r="U17" s="96"/>
      <c r="V17" s="96"/>
      <c r="W17" s="96"/>
      <c r="X17" s="96"/>
      <c r="Y17" s="96"/>
      <c r="Z17" s="96"/>
      <c r="AA17" s="96"/>
      <c r="AB17" s="96"/>
      <c r="AC17" s="96"/>
      <c r="AD17" s="96"/>
      <c r="AE17" s="96"/>
      <c r="AF17" s="96"/>
      <c r="AG17" s="96"/>
      <c r="AH17" s="96"/>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63+36+60+117+70+60+110+60+19</f>
        <v>595</v>
      </c>
      <c r="L18" s="18">
        <f>63+36+20+10+141+94+102+10+10+10+99</f>
        <v>595</v>
      </c>
      <c r="M18" s="18">
        <f>13+7+34+21+22+4+39</f>
        <v>140</v>
      </c>
      <c r="N18" s="98"/>
      <c r="O18" s="19">
        <f t="shared" si="0"/>
        <v>455</v>
      </c>
      <c r="P18" s="22">
        <f>13+52+71+138+116+10+4+46+115</f>
        <v>565</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45265</v>
      </c>
      <c r="B19" s="87" t="s">
        <v>37</v>
      </c>
      <c r="C19" s="89">
        <v>1</v>
      </c>
      <c r="D19" s="91" t="s">
        <v>38</v>
      </c>
      <c r="E19" s="89">
        <v>84212</v>
      </c>
      <c r="F19" s="89" t="s">
        <v>49</v>
      </c>
      <c r="G19" s="93" t="s">
        <v>55</v>
      </c>
      <c r="H19" s="90" t="s">
        <v>59</v>
      </c>
      <c r="I19" s="90">
        <v>708</v>
      </c>
      <c r="J19" s="90">
        <v>708</v>
      </c>
      <c r="K19" s="20">
        <v>34</v>
      </c>
      <c r="L19" s="20">
        <v>30</v>
      </c>
      <c r="M19" s="20">
        <v>5</v>
      </c>
      <c r="N19" s="97">
        <f>O20/L20</f>
        <v>0.77272727272727271</v>
      </c>
      <c r="O19" s="21">
        <f t="shared" si="0"/>
        <v>25</v>
      </c>
      <c r="P19" s="27">
        <v>5</v>
      </c>
      <c r="Q19" s="99">
        <f>+L20-P20</f>
        <v>240</v>
      </c>
      <c r="R19" s="85"/>
      <c r="S19" s="96"/>
      <c r="T19" s="96">
        <v>12</v>
      </c>
      <c r="U19" s="96">
        <v>2</v>
      </c>
      <c r="V19" s="96"/>
      <c r="W19" s="96"/>
      <c r="X19" s="96"/>
      <c r="Y19" s="96"/>
      <c r="Z19" s="96"/>
      <c r="AA19" s="96"/>
      <c r="AB19" s="96"/>
      <c r="AC19" s="96">
        <v>2</v>
      </c>
      <c r="AD19" s="96"/>
      <c r="AE19" s="96"/>
      <c r="AF19" s="96">
        <v>2</v>
      </c>
      <c r="AG19" s="96">
        <v>5</v>
      </c>
      <c r="AH19" s="96">
        <v>2</v>
      </c>
      <c r="AI19" s="96"/>
      <c r="AJ19" s="96"/>
      <c r="AK19" s="96"/>
      <c r="AL19" s="96"/>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105+109+70+77+65+110+122+34</f>
        <v>692</v>
      </c>
      <c r="L20" s="18">
        <f>25+50+65+80+80+30</f>
        <v>330</v>
      </c>
      <c r="M20" s="18">
        <f>15+20+20+15+5</f>
        <v>75</v>
      </c>
      <c r="N20" s="98"/>
      <c r="O20" s="19">
        <f t="shared" si="0"/>
        <v>255</v>
      </c>
      <c r="P20" s="22">
        <f>15+20+35+15+5</f>
        <v>90</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45265</v>
      </c>
      <c r="B21" s="87" t="s">
        <v>37</v>
      </c>
      <c r="C21" s="89">
        <v>1</v>
      </c>
      <c r="D21" s="91" t="s">
        <v>38</v>
      </c>
      <c r="E21" s="89">
        <v>84212</v>
      </c>
      <c r="F21" s="89" t="s">
        <v>49</v>
      </c>
      <c r="G21" s="93" t="s">
        <v>55</v>
      </c>
      <c r="H21" s="90" t="s">
        <v>67</v>
      </c>
      <c r="I21" s="90">
        <v>1813</v>
      </c>
      <c r="J21" s="90">
        <v>1813</v>
      </c>
      <c r="K21" s="20">
        <v>148</v>
      </c>
      <c r="L21" s="20">
        <v>0</v>
      </c>
      <c r="M21" s="20">
        <v>0</v>
      </c>
      <c r="N21" s="97">
        <f>O22/L22</f>
        <v>0.8928571428571429</v>
      </c>
      <c r="O21" s="21">
        <f t="shared" si="0"/>
        <v>0</v>
      </c>
      <c r="P21" s="27">
        <v>0</v>
      </c>
      <c r="Q21" s="99">
        <f>+L22-P22</f>
        <v>125</v>
      </c>
      <c r="R21" s="85"/>
      <c r="S21" s="96"/>
      <c r="T21" s="96"/>
      <c r="U21" s="96"/>
      <c r="V21" s="96"/>
      <c r="W21" s="96"/>
      <c r="X21" s="96"/>
      <c r="Y21" s="96"/>
      <c r="Z21" s="96"/>
      <c r="AA21" s="96"/>
      <c r="AB21" s="96"/>
      <c r="AC21" s="96"/>
      <c r="AD21" s="96"/>
      <c r="AE21" s="96"/>
      <c r="AF21" s="96"/>
      <c r="AG21" s="96"/>
      <c r="AH21" s="96"/>
      <c r="AI21" s="96"/>
      <c r="AJ21" s="96"/>
      <c r="AK21" s="96"/>
      <c r="AL21" s="96"/>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272+145+148</f>
        <v>565</v>
      </c>
      <c r="L22" s="18">
        <f>30+110</f>
        <v>140</v>
      </c>
      <c r="M22" s="18">
        <f>5+10</f>
        <v>15</v>
      </c>
      <c r="N22" s="98"/>
      <c r="O22" s="19">
        <f t="shared" si="0"/>
        <v>125</v>
      </c>
      <c r="P22" s="22">
        <f>5+10</f>
        <v>15</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45265</v>
      </c>
      <c r="B23" s="87" t="s">
        <v>37</v>
      </c>
      <c r="C23" s="89">
        <v>1</v>
      </c>
      <c r="D23" s="91" t="s">
        <v>38</v>
      </c>
      <c r="E23" s="89">
        <v>84212</v>
      </c>
      <c r="F23" s="89" t="s">
        <v>49</v>
      </c>
      <c r="G23" s="93" t="s">
        <v>55</v>
      </c>
      <c r="H23" s="90" t="s">
        <v>62</v>
      </c>
      <c r="I23" s="90">
        <v>2218</v>
      </c>
      <c r="J23" s="90">
        <v>1640</v>
      </c>
      <c r="K23" s="20">
        <v>22</v>
      </c>
      <c r="L23" s="20">
        <v>0</v>
      </c>
      <c r="M23" s="20">
        <v>0</v>
      </c>
      <c r="N23" s="97">
        <f>O24/L24</f>
        <v>0.75</v>
      </c>
      <c r="O23" s="21">
        <f t="shared" si="0"/>
        <v>0</v>
      </c>
      <c r="P23" s="27">
        <v>0</v>
      </c>
      <c r="Q23" s="99">
        <f>+L24-P24</f>
        <v>60</v>
      </c>
      <c r="R23" s="85"/>
      <c r="S23" s="96"/>
      <c r="T23" s="96"/>
      <c r="U23" s="96"/>
      <c r="V23" s="96"/>
      <c r="W23" s="96"/>
      <c r="X23" s="96"/>
      <c r="Y23" s="96"/>
      <c r="Z23" s="96"/>
      <c r="AA23" s="96"/>
      <c r="AB23" s="96"/>
      <c r="AC23" s="96"/>
      <c r="AD23" s="96"/>
      <c r="AE23" s="96"/>
      <c r="AF23" s="96"/>
      <c r="AG23" s="96"/>
      <c r="AH23" s="96"/>
      <c r="AI23" s="96"/>
      <c r="AJ23" s="96"/>
      <c r="AK23" s="96"/>
      <c r="AL23" s="96"/>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166+95+22</f>
        <v>283</v>
      </c>
      <c r="L24" s="18">
        <f>40+40</f>
        <v>80</v>
      </c>
      <c r="M24" s="18">
        <f>6+14</f>
        <v>20</v>
      </c>
      <c r="N24" s="98"/>
      <c r="O24" s="19">
        <f t="shared" si="0"/>
        <v>60</v>
      </c>
      <c r="P24" s="22">
        <f>6+14</f>
        <v>20</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45265</v>
      </c>
      <c r="B25" s="87" t="s">
        <v>37</v>
      </c>
      <c r="C25" s="89">
        <v>1</v>
      </c>
      <c r="D25" s="91" t="s">
        <v>38</v>
      </c>
      <c r="E25" s="89">
        <v>84212</v>
      </c>
      <c r="F25" s="89" t="s">
        <v>49</v>
      </c>
      <c r="G25" s="93" t="s">
        <v>55</v>
      </c>
      <c r="H25" s="90" t="s">
        <v>78</v>
      </c>
      <c r="I25" s="90">
        <v>747</v>
      </c>
      <c r="J25" s="90">
        <v>747</v>
      </c>
      <c r="K25" s="20">
        <v>117</v>
      </c>
      <c r="L25" s="20">
        <v>0</v>
      </c>
      <c r="M25" s="20">
        <v>0</v>
      </c>
      <c r="N25" s="97" t="e">
        <f>O26/L26</f>
        <v>#DIV/0!</v>
      </c>
      <c r="O25" s="21">
        <f t="shared" si="0"/>
        <v>0</v>
      </c>
      <c r="P25" s="27">
        <v>0</v>
      </c>
      <c r="Q25" s="99">
        <f>+L26-P26</f>
        <v>0</v>
      </c>
      <c r="R25" s="85"/>
      <c r="S25" s="96"/>
      <c r="T25" s="96"/>
      <c r="U25" s="96"/>
      <c r="V25" s="96"/>
      <c r="W25" s="96"/>
      <c r="X25" s="96"/>
      <c r="Y25" s="96"/>
      <c r="Z25" s="96"/>
      <c r="AA25" s="96"/>
      <c r="AB25" s="96"/>
      <c r="AC25" s="96"/>
      <c r="AD25" s="96"/>
      <c r="AE25" s="96"/>
      <c r="AF25" s="96"/>
      <c r="AG25" s="96"/>
      <c r="AH25" s="96"/>
      <c r="AI25" s="96"/>
      <c r="AJ25" s="96"/>
      <c r="AK25" s="96"/>
      <c r="AL25" s="96"/>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5"/>
      <c r="B26" s="88"/>
      <c r="C26" s="90"/>
      <c r="D26" s="92"/>
      <c r="E26" s="90"/>
      <c r="F26" s="90"/>
      <c r="G26" s="94"/>
      <c r="H26" s="95"/>
      <c r="I26" s="95"/>
      <c r="J26" s="95"/>
      <c r="K26" s="22">
        <f>117</f>
        <v>117</v>
      </c>
      <c r="L26" s="18">
        <v>0</v>
      </c>
      <c r="M26" s="18">
        <v>0</v>
      </c>
      <c r="N26" s="98"/>
      <c r="O26" s="19">
        <f t="shared" si="0"/>
        <v>0</v>
      </c>
      <c r="P26" s="22">
        <v>0</v>
      </c>
      <c r="Q26" s="100"/>
      <c r="R26" s="86"/>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108">
        <v>45265</v>
      </c>
      <c r="B27" s="87" t="s">
        <v>37</v>
      </c>
      <c r="C27" s="89">
        <v>1</v>
      </c>
      <c r="D27" s="91" t="s">
        <v>38</v>
      </c>
      <c r="E27" s="89">
        <v>84212</v>
      </c>
      <c r="F27" s="89" t="s">
        <v>49</v>
      </c>
      <c r="G27" s="93" t="s">
        <v>61</v>
      </c>
      <c r="H27" s="89" t="s">
        <v>65</v>
      </c>
      <c r="I27" s="89">
        <v>533</v>
      </c>
      <c r="J27" s="89">
        <v>533</v>
      </c>
      <c r="K27" s="20">
        <v>53</v>
      </c>
      <c r="L27" s="20">
        <v>10</v>
      </c>
      <c r="M27" s="20">
        <v>0</v>
      </c>
      <c r="N27" s="146">
        <f>O28/L28</f>
        <v>0.7857142857142857</v>
      </c>
      <c r="O27" s="21">
        <f t="shared" si="0"/>
        <v>10</v>
      </c>
      <c r="P27" s="27">
        <v>40</v>
      </c>
      <c r="Q27" s="99">
        <f>+L28-P28</f>
        <v>50</v>
      </c>
      <c r="R27" s="108"/>
      <c r="S27" s="149"/>
      <c r="T27" s="149">
        <v>2</v>
      </c>
      <c r="U27" s="149">
        <v>1</v>
      </c>
      <c r="V27" s="149"/>
      <c r="W27" s="149"/>
      <c r="X27" s="149"/>
      <c r="Y27" s="149"/>
      <c r="Z27" s="149"/>
      <c r="AA27" s="149"/>
      <c r="AB27" s="149"/>
      <c r="AC27" s="149">
        <v>2</v>
      </c>
      <c r="AD27" s="149"/>
      <c r="AE27" s="149">
        <v>2</v>
      </c>
      <c r="AF27" s="149"/>
      <c r="AG27" s="149"/>
      <c r="AH27" s="149"/>
      <c r="AI27" s="149"/>
      <c r="AJ27" s="149"/>
      <c r="AK27" s="149"/>
      <c r="AL27" s="149">
        <v>3</v>
      </c>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81+92+53</f>
        <v>226</v>
      </c>
      <c r="L28" s="18">
        <f>10+10+110+10</f>
        <v>140</v>
      </c>
      <c r="M28" s="18">
        <f>30</f>
        <v>30</v>
      </c>
      <c r="N28" s="147"/>
      <c r="O28" s="19">
        <f t="shared" si="0"/>
        <v>110</v>
      </c>
      <c r="P28" s="22">
        <f>50+40</f>
        <v>90</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45265</v>
      </c>
      <c r="B29" s="87" t="s">
        <v>37</v>
      </c>
      <c r="C29" s="89">
        <v>1</v>
      </c>
      <c r="D29" s="91" t="s">
        <v>38</v>
      </c>
      <c r="E29" s="89">
        <v>84426</v>
      </c>
      <c r="F29" s="89" t="s">
        <v>49</v>
      </c>
      <c r="G29" s="93" t="s">
        <v>55</v>
      </c>
      <c r="H29" s="90" t="s">
        <v>58</v>
      </c>
      <c r="I29" s="90">
        <v>549</v>
      </c>
      <c r="J29" s="90">
        <v>549</v>
      </c>
      <c r="K29" s="20">
        <v>0</v>
      </c>
      <c r="L29" s="20">
        <v>0</v>
      </c>
      <c r="M29" s="20">
        <v>0</v>
      </c>
      <c r="N29" s="97">
        <f>O30/L30</f>
        <v>0.81238615664845171</v>
      </c>
      <c r="O29" s="21">
        <f t="shared" si="0"/>
        <v>0</v>
      </c>
      <c r="P29" s="27">
        <v>0</v>
      </c>
      <c r="Q29" s="99">
        <f>+L30-P30</f>
        <v>3</v>
      </c>
      <c r="R29" s="108"/>
      <c r="S29" s="96"/>
      <c r="T29" s="96"/>
      <c r="U29" s="96"/>
      <c r="V29" s="96"/>
      <c r="W29" s="96"/>
      <c r="X29" s="96"/>
      <c r="Y29" s="96"/>
      <c r="Z29" s="96"/>
      <c r="AA29" s="96"/>
      <c r="AB29" s="96"/>
      <c r="AC29" s="96"/>
      <c r="AD29" s="96"/>
      <c r="AE29" s="96"/>
      <c r="AF29" s="96"/>
      <c r="AG29" s="96"/>
      <c r="AH29" s="96"/>
      <c r="AI29" s="96"/>
      <c r="AJ29" s="96"/>
      <c r="AK29" s="96"/>
      <c r="AL29" s="96"/>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5"/>
      <c r="B30" s="88"/>
      <c r="C30" s="90"/>
      <c r="D30" s="92"/>
      <c r="E30" s="90"/>
      <c r="F30" s="90"/>
      <c r="G30" s="94"/>
      <c r="H30" s="95"/>
      <c r="I30" s="95"/>
      <c r="J30" s="95"/>
      <c r="K30" s="22">
        <f>483+66</f>
        <v>549</v>
      </c>
      <c r="L30" s="18">
        <f>483+66</f>
        <v>549</v>
      </c>
      <c r="M30" s="18">
        <f>86+17</f>
        <v>103</v>
      </c>
      <c r="N30" s="98"/>
      <c r="O30" s="19">
        <f t="shared" si="0"/>
        <v>446</v>
      </c>
      <c r="P30" s="22">
        <f>453+80+11+2</f>
        <v>546</v>
      </c>
      <c r="Q30" s="100"/>
      <c r="R30" s="85"/>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108">
        <v>45265</v>
      </c>
      <c r="B31" s="87" t="s">
        <v>37</v>
      </c>
      <c r="C31" s="89">
        <v>1</v>
      </c>
      <c r="D31" s="91" t="s">
        <v>38</v>
      </c>
      <c r="E31" s="89">
        <v>84352</v>
      </c>
      <c r="F31" s="89" t="s">
        <v>49</v>
      </c>
      <c r="G31" s="93" t="s">
        <v>55</v>
      </c>
      <c r="H31" s="109" t="s">
        <v>39</v>
      </c>
      <c r="I31" s="90">
        <v>1050</v>
      </c>
      <c r="J31" s="90">
        <v>1053</v>
      </c>
      <c r="K31" s="20">
        <v>109</v>
      </c>
      <c r="L31" s="20">
        <f>60+10</f>
        <v>70</v>
      </c>
      <c r="M31" s="20">
        <v>30</v>
      </c>
      <c r="N31" s="97">
        <f>O32/L32</f>
        <v>0.68656716417910446</v>
      </c>
      <c r="O31" s="21">
        <f t="shared" si="0"/>
        <v>40</v>
      </c>
      <c r="P31" s="27">
        <v>70</v>
      </c>
      <c r="Q31" s="99">
        <f>+L32-P32</f>
        <v>160</v>
      </c>
      <c r="R31" s="85"/>
      <c r="S31" s="96"/>
      <c r="T31" s="96">
        <v>2</v>
      </c>
      <c r="U31" s="96"/>
      <c r="V31" s="96"/>
      <c r="W31" s="96"/>
      <c r="X31" s="96">
        <v>1</v>
      </c>
      <c r="Y31" s="96"/>
      <c r="Z31" s="96"/>
      <c r="AA31" s="96"/>
      <c r="AB31" s="96"/>
      <c r="AC31" s="96">
        <v>4</v>
      </c>
      <c r="AD31" s="96"/>
      <c r="AE31" s="96">
        <v>1</v>
      </c>
      <c r="AF31" s="96">
        <v>5</v>
      </c>
      <c r="AG31" s="96">
        <v>8</v>
      </c>
      <c r="AH31" s="96">
        <v>5</v>
      </c>
      <c r="AI31" s="96"/>
      <c r="AJ31" s="96"/>
      <c r="AK31" s="96"/>
      <c r="AL31" s="96">
        <v>14</v>
      </c>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41">
        <f>320+108+237+109</f>
        <v>774</v>
      </c>
      <c r="L32" s="18">
        <f>10+10+10+235+60+10</f>
        <v>335</v>
      </c>
      <c r="M32" s="18">
        <f>75+30</f>
        <v>105</v>
      </c>
      <c r="N32" s="98"/>
      <c r="O32" s="19">
        <f t="shared" si="0"/>
        <v>230</v>
      </c>
      <c r="P32" s="22">
        <f>105+70</f>
        <v>175</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45265</v>
      </c>
      <c r="B33" s="87" t="s">
        <v>37</v>
      </c>
      <c r="C33" s="89">
        <v>1</v>
      </c>
      <c r="D33" s="91" t="s">
        <v>38</v>
      </c>
      <c r="E33" s="89">
        <v>84031</v>
      </c>
      <c r="F33" s="89" t="s">
        <v>49</v>
      </c>
      <c r="G33" s="93" t="s">
        <v>53</v>
      </c>
      <c r="H33" s="90" t="s">
        <v>57</v>
      </c>
      <c r="I33" s="90">
        <v>563</v>
      </c>
      <c r="J33" s="90">
        <v>563</v>
      </c>
      <c r="K33" s="43">
        <v>0</v>
      </c>
      <c r="L33" s="20">
        <v>0</v>
      </c>
      <c r="M33" s="20">
        <v>0</v>
      </c>
      <c r="N33" s="97">
        <f>O34/L34</f>
        <v>0.85343228200371057</v>
      </c>
      <c r="O33" s="21">
        <f t="shared" si="0"/>
        <v>0</v>
      </c>
      <c r="P33" s="27">
        <v>0</v>
      </c>
      <c r="Q33" s="99">
        <f>+L34-P34</f>
        <v>0</v>
      </c>
      <c r="R33" s="85" t="s">
        <v>68</v>
      </c>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22">
        <f>516+20+3</f>
        <v>539</v>
      </c>
      <c r="L34" s="18">
        <f>516+20+3</f>
        <v>539</v>
      </c>
      <c r="M34" s="18">
        <f>74+2+3</f>
        <v>79</v>
      </c>
      <c r="N34" s="98"/>
      <c r="O34" s="19">
        <f t="shared" si="0"/>
        <v>460</v>
      </c>
      <c r="P34" s="22">
        <f>516+20+3</f>
        <v>539</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45265</v>
      </c>
      <c r="B35" s="87" t="s">
        <v>37</v>
      </c>
      <c r="C35" s="89">
        <v>1</v>
      </c>
      <c r="D35" s="91" t="s">
        <v>38</v>
      </c>
      <c r="E35" s="89">
        <v>84031</v>
      </c>
      <c r="F35" s="89" t="s">
        <v>49</v>
      </c>
      <c r="G35" s="93" t="s">
        <v>53</v>
      </c>
      <c r="H35" s="90" t="s">
        <v>39</v>
      </c>
      <c r="I35" s="90">
        <v>623</v>
      </c>
      <c r="J35" s="90">
        <v>623</v>
      </c>
      <c r="K35" s="20">
        <v>0</v>
      </c>
      <c r="L35" s="20">
        <v>0</v>
      </c>
      <c r="M35" s="20">
        <v>0</v>
      </c>
      <c r="N35" s="97">
        <f>O36/L36</f>
        <v>0.79710144927536231</v>
      </c>
      <c r="O35" s="21">
        <f t="shared" si="0"/>
        <v>0</v>
      </c>
      <c r="P35" s="27">
        <v>0</v>
      </c>
      <c r="Q35" s="99">
        <f>+L36-P36</f>
        <v>0</v>
      </c>
      <c r="R35" s="85" t="s">
        <v>68</v>
      </c>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574+9+30+5+3</f>
        <v>621</v>
      </c>
      <c r="L36" s="18">
        <f>574+9+30+5+3</f>
        <v>621</v>
      </c>
      <c r="M36" s="18">
        <f>109+9+5+3</f>
        <v>126</v>
      </c>
      <c r="N36" s="98"/>
      <c r="O36" s="19">
        <f t="shared" si="0"/>
        <v>495</v>
      </c>
      <c r="P36" s="22">
        <f>574+9+30+5+3</f>
        <v>621</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45265</v>
      </c>
      <c r="B37" s="87" t="s">
        <v>37</v>
      </c>
      <c r="C37" s="89">
        <v>1</v>
      </c>
      <c r="D37" s="91" t="s">
        <v>38</v>
      </c>
      <c r="E37" s="89">
        <v>61363</v>
      </c>
      <c r="F37" s="89" t="s">
        <v>49</v>
      </c>
      <c r="G37" s="93" t="s">
        <v>55</v>
      </c>
      <c r="H37" s="90" t="s">
        <v>66</v>
      </c>
      <c r="I37" s="90">
        <v>590</v>
      </c>
      <c r="J37" s="90">
        <v>590</v>
      </c>
      <c r="K37" s="20">
        <v>0</v>
      </c>
      <c r="L37" s="20">
        <v>30</v>
      </c>
      <c r="M37" s="20">
        <v>0</v>
      </c>
      <c r="N37" s="97">
        <f>O38/L38</f>
        <v>0.625</v>
      </c>
      <c r="O37" s="21">
        <f t="shared" si="0"/>
        <v>30</v>
      </c>
      <c r="P37" s="27">
        <v>158</v>
      </c>
      <c r="Q37" s="99">
        <f>+L38-P38</f>
        <v>0</v>
      </c>
      <c r="R37" s="85"/>
      <c r="S37" s="96"/>
      <c r="T37" s="96">
        <v>10</v>
      </c>
      <c r="U37" s="96"/>
      <c r="V37" s="96"/>
      <c r="W37" s="96"/>
      <c r="X37" s="96"/>
      <c r="Y37" s="96"/>
      <c r="Z37" s="96"/>
      <c r="AA37" s="96"/>
      <c r="AB37" s="96"/>
      <c r="AC37" s="96">
        <v>10</v>
      </c>
      <c r="AD37" s="96"/>
      <c r="AE37" s="96"/>
      <c r="AF37" s="96"/>
      <c r="AG37" s="96"/>
      <c r="AH37" s="96"/>
      <c r="AI37" s="96"/>
      <c r="AJ37" s="96"/>
      <c r="AK37" s="96"/>
      <c r="AL37" s="96">
        <v>10</v>
      </c>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563+29</f>
        <v>592</v>
      </c>
      <c r="L38" s="18">
        <f>210+352+30</f>
        <v>592</v>
      </c>
      <c r="M38" s="18">
        <f>70+152</f>
        <v>222</v>
      </c>
      <c r="N38" s="98"/>
      <c r="O38" s="19">
        <f t="shared" si="0"/>
        <v>370</v>
      </c>
      <c r="P38" s="22">
        <f>130+304+158</f>
        <v>592</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45265</v>
      </c>
      <c r="B39" s="87" t="s">
        <v>37</v>
      </c>
      <c r="C39" s="89">
        <v>1</v>
      </c>
      <c r="D39" s="91" t="s">
        <v>77</v>
      </c>
      <c r="E39" s="89">
        <v>20785</v>
      </c>
      <c r="F39" s="89" t="s">
        <v>76</v>
      </c>
      <c r="G39" s="93" t="s">
        <v>71</v>
      </c>
      <c r="H39" s="90" t="s">
        <v>70</v>
      </c>
      <c r="I39" s="90">
        <v>1475</v>
      </c>
      <c r="J39" s="90">
        <v>1475</v>
      </c>
      <c r="K39" s="20">
        <v>20</v>
      </c>
      <c r="L39" s="20">
        <v>10</v>
      </c>
      <c r="M39" s="20">
        <v>0</v>
      </c>
      <c r="N39" s="97">
        <f>O40/L40</f>
        <v>1</v>
      </c>
      <c r="O39" s="21">
        <f t="shared" si="0"/>
        <v>10</v>
      </c>
      <c r="P39" s="27">
        <v>10</v>
      </c>
      <c r="Q39" s="99">
        <f>+L40-P40</f>
        <v>26</v>
      </c>
      <c r="R39" s="85"/>
      <c r="S39" s="96"/>
      <c r="T39" s="96"/>
      <c r="U39" s="96"/>
      <c r="V39" s="96"/>
      <c r="W39" s="96"/>
      <c r="X39" s="96"/>
      <c r="Y39" s="96"/>
      <c r="Z39" s="96"/>
      <c r="AA39" s="96"/>
      <c r="AB39" s="96"/>
      <c r="AC39" s="96">
        <v>1</v>
      </c>
      <c r="AD39" s="96"/>
      <c r="AE39" s="96"/>
      <c r="AF39" s="96">
        <v>3</v>
      </c>
      <c r="AG39" s="96">
        <v>2</v>
      </c>
      <c r="AH39" s="96">
        <v>4</v>
      </c>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26+20</f>
        <v>46</v>
      </c>
      <c r="L40" s="18">
        <f>26+10</f>
        <v>36</v>
      </c>
      <c r="M40" s="18">
        <v>0</v>
      </c>
      <c r="N40" s="98"/>
      <c r="O40" s="19">
        <f t="shared" si="0"/>
        <v>36</v>
      </c>
      <c r="P40" s="22">
        <f>10</f>
        <v>10</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45265</v>
      </c>
      <c r="B41" s="87" t="s">
        <v>37</v>
      </c>
      <c r="C41" s="89">
        <v>1</v>
      </c>
      <c r="D41" s="91" t="s">
        <v>77</v>
      </c>
      <c r="E41" s="89">
        <v>20785</v>
      </c>
      <c r="F41" s="89" t="s">
        <v>76</v>
      </c>
      <c r="G41" s="93" t="s">
        <v>71</v>
      </c>
      <c r="H41" s="90" t="s">
        <v>75</v>
      </c>
      <c r="I41" s="90">
        <v>501</v>
      </c>
      <c r="J41" s="90">
        <v>501</v>
      </c>
      <c r="K41" s="20">
        <v>24</v>
      </c>
      <c r="L41" s="20">
        <v>10</v>
      </c>
      <c r="M41" s="20">
        <v>0</v>
      </c>
      <c r="N41" s="97">
        <f>O42/L42</f>
        <v>1</v>
      </c>
      <c r="O41" s="21">
        <f t="shared" si="0"/>
        <v>10</v>
      </c>
      <c r="P41" s="27">
        <v>0</v>
      </c>
      <c r="Q41" s="99">
        <f>+L42-P42</f>
        <v>10</v>
      </c>
      <c r="R41" s="85"/>
      <c r="S41" s="96"/>
      <c r="T41" s="96">
        <v>7</v>
      </c>
      <c r="U41" s="96"/>
      <c r="V41" s="96"/>
      <c r="W41" s="96"/>
      <c r="X41" s="96"/>
      <c r="Y41" s="96"/>
      <c r="Z41" s="96"/>
      <c r="AA41" s="96"/>
      <c r="AB41" s="96"/>
      <c r="AC41" s="96">
        <v>1</v>
      </c>
      <c r="AD41" s="96"/>
      <c r="AE41" s="96"/>
      <c r="AF41" s="96"/>
      <c r="AG41" s="96"/>
      <c r="AH41" s="96">
        <v>2</v>
      </c>
      <c r="AI41" s="96"/>
      <c r="AJ41" s="96"/>
      <c r="AK41" s="96"/>
      <c r="AL41" s="96"/>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24</f>
        <v>24</v>
      </c>
      <c r="L42" s="18">
        <f>10</f>
        <v>10</v>
      </c>
      <c r="M42" s="18">
        <v>0</v>
      </c>
      <c r="N42" s="98"/>
      <c r="O42" s="19">
        <f t="shared" si="0"/>
        <v>10</v>
      </c>
      <c r="P42" s="22">
        <f>0</f>
        <v>0</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ht="24.75" customHeight="1">
      <c r="A43" s="111" t="s">
        <v>15</v>
      </c>
      <c r="B43" s="112"/>
      <c r="C43" s="112"/>
      <c r="D43" s="112"/>
      <c r="E43" s="112"/>
      <c r="F43" s="112"/>
      <c r="G43" s="112"/>
      <c r="H43" s="112"/>
      <c r="I43" s="113"/>
      <c r="J43" s="5">
        <f>SUM(J5:J42)</f>
        <v>20591</v>
      </c>
      <c r="K43" s="5">
        <f>+SUMPRODUCT(((MOD(ROW(K5:K42),2)=1)*(K5:K42)))</f>
        <v>787</v>
      </c>
      <c r="L43" s="5">
        <f>+SUMPRODUCT(((MOD(ROW(L5:L42),2)=1)*(L5:L42)))</f>
        <v>304</v>
      </c>
      <c r="M43" s="5">
        <f>+SUMPRODUCT(((MOD(ROW(M5:M42),2)=1)*(M5:M42)))</f>
        <v>114</v>
      </c>
      <c r="N43" s="23">
        <f>O43/L43</f>
        <v>0.625</v>
      </c>
      <c r="O43" s="5">
        <f>+SUMPRODUCT(((MOD(ROW(O5:O42),2)=1)*(O5:O42)))</f>
        <v>190</v>
      </c>
      <c r="P43" s="5">
        <f>+SUMPRODUCT(((MOD(ROW(P5:P42),2)=1)*(P5:P42)))</f>
        <v>500</v>
      </c>
      <c r="Q43" s="5">
        <f>+SUMPRODUCT(((MOD(ROW(Q5:Q42),2)=1)*(Q5:Q42)))</f>
        <v>1718</v>
      </c>
      <c r="R43" s="29"/>
      <c r="S43" s="5">
        <f t="shared" ref="S43:BG43" si="1">SUM(S5:S42)</f>
        <v>0</v>
      </c>
      <c r="T43" s="5">
        <f t="shared" si="1"/>
        <v>49</v>
      </c>
      <c r="U43" s="5">
        <f t="shared" si="1"/>
        <v>20</v>
      </c>
      <c r="V43" s="5">
        <f t="shared" si="1"/>
        <v>0</v>
      </c>
      <c r="W43" s="5">
        <f t="shared" si="1"/>
        <v>0</v>
      </c>
      <c r="X43" s="5">
        <f t="shared" si="1"/>
        <v>1</v>
      </c>
      <c r="Y43" s="5">
        <f t="shared" si="1"/>
        <v>0</v>
      </c>
      <c r="Z43" s="5">
        <f t="shared" si="1"/>
        <v>0</v>
      </c>
      <c r="AA43" s="5">
        <f t="shared" si="1"/>
        <v>0</v>
      </c>
      <c r="AB43" s="5">
        <f t="shared" si="1"/>
        <v>0</v>
      </c>
      <c r="AC43" s="5">
        <f t="shared" si="1"/>
        <v>28</v>
      </c>
      <c r="AD43" s="5">
        <f t="shared" si="1"/>
        <v>0</v>
      </c>
      <c r="AE43" s="5">
        <f t="shared" si="1"/>
        <v>6</v>
      </c>
      <c r="AF43" s="5">
        <f t="shared" si="1"/>
        <v>14</v>
      </c>
      <c r="AG43" s="5">
        <f t="shared" si="1"/>
        <v>19</v>
      </c>
      <c r="AH43" s="5">
        <f t="shared" si="1"/>
        <v>25</v>
      </c>
      <c r="AI43" s="5">
        <f t="shared" si="1"/>
        <v>0</v>
      </c>
      <c r="AJ43" s="5">
        <f t="shared" si="1"/>
        <v>0</v>
      </c>
      <c r="AK43" s="5">
        <f t="shared" si="1"/>
        <v>0</v>
      </c>
      <c r="AL43" s="5">
        <f t="shared" si="1"/>
        <v>28</v>
      </c>
      <c r="AM43" s="5">
        <f t="shared" si="1"/>
        <v>0</v>
      </c>
      <c r="AN43" s="5">
        <f t="shared" si="1"/>
        <v>0</v>
      </c>
      <c r="AO43" s="5">
        <f t="shared" si="1"/>
        <v>0</v>
      </c>
      <c r="AP43" s="5">
        <f t="shared" si="1"/>
        <v>0</v>
      </c>
      <c r="AQ43" s="5">
        <f t="shared" si="1"/>
        <v>0</v>
      </c>
      <c r="AR43" s="5">
        <f t="shared" si="1"/>
        <v>0</v>
      </c>
      <c r="AS43" s="5">
        <f t="shared" si="1"/>
        <v>0</v>
      </c>
      <c r="AT43" s="5">
        <f t="shared" si="1"/>
        <v>0</v>
      </c>
      <c r="AU43" s="5">
        <f t="shared" si="1"/>
        <v>0</v>
      </c>
      <c r="AV43" s="5">
        <f t="shared" si="1"/>
        <v>0</v>
      </c>
      <c r="AW43" s="5">
        <f t="shared" si="1"/>
        <v>0</v>
      </c>
      <c r="AX43" s="5">
        <f t="shared" si="1"/>
        <v>0</v>
      </c>
      <c r="AY43" s="5">
        <f t="shared" si="1"/>
        <v>0</v>
      </c>
      <c r="AZ43" s="5">
        <f t="shared" si="1"/>
        <v>0</v>
      </c>
      <c r="BA43" s="5">
        <f t="shared" si="1"/>
        <v>0</v>
      </c>
      <c r="BB43" s="5">
        <f t="shared" si="1"/>
        <v>0</v>
      </c>
      <c r="BC43" s="5">
        <f t="shared" si="1"/>
        <v>0</v>
      </c>
      <c r="BD43" s="5">
        <f t="shared" si="1"/>
        <v>0</v>
      </c>
      <c r="BE43" s="5">
        <f t="shared" si="1"/>
        <v>0</v>
      </c>
      <c r="BF43" s="5">
        <f t="shared" si="1"/>
        <v>0</v>
      </c>
      <c r="BG43" s="5">
        <f t="shared" si="1"/>
        <v>0</v>
      </c>
    </row>
    <row r="44" spans="1:59" s="17" customFormat="1" ht="15.75" hidden="1" customHeight="1">
      <c r="A44" s="85"/>
      <c r="B44" s="87"/>
      <c r="C44" s="89"/>
      <c r="D44" s="91"/>
      <c r="E44" s="89"/>
      <c r="F44" s="89"/>
      <c r="G44" s="93"/>
      <c r="H44" s="90"/>
      <c r="I44" s="90"/>
      <c r="J44" s="90"/>
      <c r="K44" s="20"/>
      <c r="L44" s="20"/>
      <c r="M44" s="20"/>
      <c r="N44" s="97" t="e">
        <f>O45/L45</f>
        <v>#DIV/0!</v>
      </c>
      <c r="O44" s="21">
        <f>+L44-M44</f>
        <v>0</v>
      </c>
      <c r="P44" s="27">
        <v>0</v>
      </c>
      <c r="Q44" s="99">
        <f>+L45-P45</f>
        <v>0</v>
      </c>
      <c r="R44" s="169"/>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6"/>
      <c r="AZ44" s="106"/>
      <c r="BA44" s="106"/>
      <c r="BB44" s="106"/>
      <c r="BC44" s="106"/>
      <c r="BD44" s="106"/>
      <c r="BE44" s="103"/>
      <c r="BF44" s="104"/>
      <c r="BG44" s="104"/>
    </row>
    <row r="45" spans="1:59" s="17" customFormat="1" ht="15.75" hidden="1" customHeight="1">
      <c r="A45" s="86"/>
      <c r="B45" s="88"/>
      <c r="C45" s="90"/>
      <c r="D45" s="92"/>
      <c r="E45" s="90"/>
      <c r="F45" s="90"/>
      <c r="G45" s="94"/>
      <c r="H45" s="95"/>
      <c r="I45" s="95"/>
      <c r="J45" s="95"/>
      <c r="K45" s="22"/>
      <c r="L45" s="18"/>
      <c r="M45" s="18"/>
      <c r="N45" s="98"/>
      <c r="O45" s="19">
        <f>+L45-M45</f>
        <v>0</v>
      </c>
      <c r="P45" s="22">
        <v>0</v>
      </c>
      <c r="Q45" s="100"/>
      <c r="R45" s="86"/>
      <c r="S45" s="96"/>
      <c r="T45" s="96"/>
      <c r="U45" s="96"/>
      <c r="V45" s="96"/>
      <c r="W45" s="96"/>
      <c r="X45" s="96"/>
      <c r="Y45" s="96"/>
      <c r="Z45" s="96"/>
      <c r="AA45" s="96"/>
      <c r="AB45" s="96"/>
      <c r="AC45" s="96"/>
      <c r="AD45" s="96"/>
      <c r="AE45" s="96"/>
      <c r="AF45" s="96"/>
      <c r="AG45" s="96"/>
      <c r="AH45" s="96"/>
      <c r="AI45" s="96"/>
      <c r="AJ45" s="96"/>
      <c r="AK45" s="96"/>
      <c r="AL45" s="96"/>
      <c r="AM45" s="103"/>
      <c r="AN45" s="103"/>
      <c r="AO45" s="103"/>
      <c r="AP45" s="103"/>
      <c r="AQ45" s="103"/>
      <c r="AR45" s="103"/>
      <c r="AS45" s="103"/>
      <c r="AT45" s="103"/>
      <c r="AU45" s="103"/>
      <c r="AV45" s="103"/>
      <c r="AW45" s="103"/>
      <c r="AX45" s="103"/>
      <c r="AY45" s="107"/>
      <c r="AZ45" s="107"/>
      <c r="BA45" s="107"/>
      <c r="BB45" s="107"/>
      <c r="BC45" s="107"/>
      <c r="BD45" s="107"/>
      <c r="BE45" s="103"/>
      <c r="BF45" s="105"/>
      <c r="BG45" s="105"/>
    </row>
    <row r="46" spans="1:59" s="17" customFormat="1" ht="15.75" hidden="1" customHeight="1">
      <c r="A46" s="101"/>
      <c r="B46" s="114"/>
      <c r="C46" s="116"/>
      <c r="D46" s="118"/>
      <c r="E46" s="116"/>
      <c r="F46" s="116"/>
      <c r="G46" s="120"/>
      <c r="H46" s="90"/>
      <c r="I46" s="90"/>
      <c r="J46" s="90"/>
      <c r="K46" s="20"/>
      <c r="L46" s="20"/>
      <c r="M46" s="20"/>
      <c r="N46" s="97"/>
      <c r="O46" s="21"/>
      <c r="P46" s="27"/>
      <c r="Q46" s="99"/>
      <c r="R46" s="110"/>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6"/>
      <c r="AZ46" s="106"/>
      <c r="BA46" s="106"/>
      <c r="BB46" s="106"/>
      <c r="BC46" s="106"/>
      <c r="BD46" s="106"/>
      <c r="BE46" s="103"/>
      <c r="BF46" s="104"/>
      <c r="BG46" s="104"/>
    </row>
    <row r="47" spans="1:59" s="17" customFormat="1" ht="15.75" hidden="1" customHeight="1">
      <c r="A47" s="102"/>
      <c r="B47" s="115"/>
      <c r="C47" s="117"/>
      <c r="D47" s="119"/>
      <c r="E47" s="117"/>
      <c r="F47" s="117"/>
      <c r="G47" s="121"/>
      <c r="H47" s="95"/>
      <c r="I47" s="95"/>
      <c r="J47" s="95"/>
      <c r="K47" s="22"/>
      <c r="L47" s="18"/>
      <c r="M47" s="18"/>
      <c r="N47" s="98"/>
      <c r="O47" s="19"/>
      <c r="P47" s="22"/>
      <c r="Q47" s="100"/>
      <c r="R47" s="102"/>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7"/>
      <c r="AZ47" s="107"/>
      <c r="BA47" s="107"/>
      <c r="BB47" s="107"/>
      <c r="BC47" s="107"/>
      <c r="BD47" s="107"/>
      <c r="BE47" s="103"/>
      <c r="BF47" s="105"/>
      <c r="BG47" s="105"/>
    </row>
    <row r="48" spans="1:59" s="17" customFormat="1" ht="15.75" hidden="1" customHeight="1">
      <c r="A48" s="101"/>
      <c r="B48" s="114"/>
      <c r="C48" s="116"/>
      <c r="D48" s="118"/>
      <c r="E48" s="116"/>
      <c r="F48" s="116"/>
      <c r="G48" s="120"/>
      <c r="H48" s="90"/>
      <c r="I48" s="90"/>
      <c r="J48" s="90"/>
      <c r="K48" s="20"/>
      <c r="L48" s="20"/>
      <c r="M48" s="20"/>
      <c r="N48" s="97"/>
      <c r="O48" s="21"/>
      <c r="P48" s="27"/>
      <c r="Q48" s="99"/>
      <c r="R48" s="110"/>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6"/>
      <c r="AZ48" s="106"/>
      <c r="BA48" s="106"/>
      <c r="BB48" s="106"/>
      <c r="BC48" s="106"/>
      <c r="BD48" s="106"/>
      <c r="BE48" s="103"/>
      <c r="BF48" s="104"/>
      <c r="BG48" s="104"/>
    </row>
    <row r="49" spans="1:59" s="17" customFormat="1" ht="15.75" hidden="1" customHeight="1">
      <c r="A49" s="102"/>
      <c r="B49" s="115"/>
      <c r="C49" s="117"/>
      <c r="D49" s="119"/>
      <c r="E49" s="117"/>
      <c r="F49" s="117"/>
      <c r="G49" s="121"/>
      <c r="H49" s="95"/>
      <c r="I49" s="95"/>
      <c r="J49" s="95"/>
      <c r="K49" s="22"/>
      <c r="L49" s="18"/>
      <c r="M49" s="18"/>
      <c r="N49" s="98"/>
      <c r="O49" s="19"/>
      <c r="P49" s="22"/>
      <c r="Q49" s="100"/>
      <c r="R49" s="102"/>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7"/>
      <c r="AZ49" s="107"/>
      <c r="BA49" s="107"/>
      <c r="BB49" s="107"/>
      <c r="BC49" s="107"/>
      <c r="BD49" s="107"/>
      <c r="BE49" s="103"/>
      <c r="BF49" s="105"/>
      <c r="BG49" s="105"/>
    </row>
    <row r="50" spans="1:59" ht="24.75" hidden="1" customHeight="1">
      <c r="A50" s="111" t="s">
        <v>48</v>
      </c>
      <c r="B50" s="112"/>
      <c r="C50" s="112"/>
      <c r="D50" s="112"/>
      <c r="E50" s="112"/>
      <c r="F50" s="112"/>
      <c r="G50" s="112"/>
      <c r="H50" s="112"/>
      <c r="I50" s="113"/>
      <c r="J50" s="5">
        <f>SUM(J44:J49)</f>
        <v>0</v>
      </c>
      <c r="K50" s="5">
        <f>+SUMPRODUCT(((MOD(ROW(K44:K49),2)=0)*(K44:K49)))</f>
        <v>0</v>
      </c>
      <c r="L50" s="5">
        <f>+SUMPRODUCT(((MOD(ROW(L44:L49),2)=0)*(L44:L49)))</f>
        <v>0</v>
      </c>
      <c r="M50" s="5">
        <f>+SUMPRODUCT(((MOD(ROW(M44:M49),2)=0)*(M44:M49)))</f>
        <v>0</v>
      </c>
      <c r="N50" s="23" t="e">
        <f>O50/L50</f>
        <v>#DIV/0!</v>
      </c>
      <c r="O50" s="5">
        <f>+SUMPRODUCT(((MOD(ROW(O44:O49),2)=0)*(O44:O49)))</f>
        <v>0</v>
      </c>
      <c r="P50" s="5">
        <f>+SUMPRODUCT(((MOD(ROW(P44:P49),2)=0)*(P44:P49)))</f>
        <v>0</v>
      </c>
      <c r="Q50" s="29">
        <f>SUM(Q44:Q49)</f>
        <v>0</v>
      </c>
      <c r="R50" s="29"/>
      <c r="S50" s="5">
        <f t="shared" ref="S50:BG50" si="2">SUM(S44:S49)</f>
        <v>0</v>
      </c>
      <c r="T50" s="5">
        <f t="shared" si="2"/>
        <v>0</v>
      </c>
      <c r="U50" s="5">
        <f t="shared" si="2"/>
        <v>0</v>
      </c>
      <c r="V50" s="5">
        <f t="shared" si="2"/>
        <v>0</v>
      </c>
      <c r="W50" s="5">
        <f t="shared" si="2"/>
        <v>0</v>
      </c>
      <c r="X50" s="5">
        <f t="shared" si="2"/>
        <v>0</v>
      </c>
      <c r="Y50" s="5">
        <f t="shared" si="2"/>
        <v>0</v>
      </c>
      <c r="Z50" s="5">
        <f t="shared" si="2"/>
        <v>0</v>
      </c>
      <c r="AA50" s="5">
        <f t="shared" si="2"/>
        <v>0</v>
      </c>
      <c r="AB50" s="5">
        <f t="shared" si="2"/>
        <v>0</v>
      </c>
      <c r="AC50" s="5">
        <f t="shared" si="2"/>
        <v>0</v>
      </c>
      <c r="AD50" s="5">
        <f t="shared" si="2"/>
        <v>0</v>
      </c>
      <c r="AE50" s="5">
        <f t="shared" si="2"/>
        <v>0</v>
      </c>
      <c r="AF50" s="5">
        <f t="shared" si="2"/>
        <v>0</v>
      </c>
      <c r="AG50" s="5">
        <f t="shared" si="2"/>
        <v>0</v>
      </c>
      <c r="AH50" s="5">
        <f t="shared" si="2"/>
        <v>0</v>
      </c>
      <c r="AI50" s="5">
        <f t="shared" si="2"/>
        <v>0</v>
      </c>
      <c r="AJ50" s="5">
        <f t="shared" si="2"/>
        <v>0</v>
      </c>
      <c r="AK50" s="5">
        <f t="shared" si="2"/>
        <v>0</v>
      </c>
      <c r="AL50" s="5">
        <f t="shared" si="2"/>
        <v>0</v>
      </c>
      <c r="AM50" s="5">
        <f t="shared" si="2"/>
        <v>0</v>
      </c>
      <c r="AN50" s="5">
        <f t="shared" si="2"/>
        <v>0</v>
      </c>
      <c r="AO50" s="5">
        <f t="shared" si="2"/>
        <v>0</v>
      </c>
      <c r="AP50" s="5">
        <f t="shared" si="2"/>
        <v>0</v>
      </c>
      <c r="AQ50" s="5">
        <f t="shared" si="2"/>
        <v>0</v>
      </c>
      <c r="AR50" s="5">
        <f t="shared" si="2"/>
        <v>0</v>
      </c>
      <c r="AS50" s="5">
        <f t="shared" si="2"/>
        <v>0</v>
      </c>
      <c r="AT50" s="5">
        <f t="shared" si="2"/>
        <v>0</v>
      </c>
      <c r="AU50" s="5">
        <f t="shared" si="2"/>
        <v>0</v>
      </c>
      <c r="AV50" s="5">
        <f t="shared" si="2"/>
        <v>0</v>
      </c>
      <c r="AW50" s="5">
        <f t="shared" si="2"/>
        <v>0</v>
      </c>
      <c r="AX50" s="5">
        <f t="shared" si="2"/>
        <v>0</v>
      </c>
      <c r="AY50" s="5">
        <f t="shared" si="2"/>
        <v>0</v>
      </c>
      <c r="AZ50" s="5">
        <f t="shared" si="2"/>
        <v>0</v>
      </c>
      <c r="BA50" s="5">
        <f t="shared" si="2"/>
        <v>0</v>
      </c>
      <c r="BB50" s="5">
        <f t="shared" si="2"/>
        <v>0</v>
      </c>
      <c r="BC50" s="5">
        <f t="shared" si="2"/>
        <v>0</v>
      </c>
      <c r="BD50" s="5">
        <f t="shared" si="2"/>
        <v>0</v>
      </c>
      <c r="BE50" s="5">
        <f t="shared" si="2"/>
        <v>0</v>
      </c>
      <c r="BF50" s="5">
        <f t="shared" si="2"/>
        <v>0</v>
      </c>
      <c r="BG50" s="5">
        <f t="shared" si="2"/>
        <v>0</v>
      </c>
    </row>
    <row r="51" spans="1:59" s="17" customFormat="1" ht="15.75" hidden="1" customHeight="1">
      <c r="A51" s="85"/>
      <c r="B51" s="87"/>
      <c r="C51" s="89"/>
      <c r="D51" s="91"/>
      <c r="E51" s="89"/>
      <c r="F51" s="89"/>
      <c r="G51" s="93"/>
      <c r="H51" s="90"/>
      <c r="I51" s="90"/>
      <c r="J51" s="90"/>
      <c r="K51" s="20"/>
      <c r="L51" s="20"/>
      <c r="M51" s="20"/>
      <c r="N51" s="97"/>
      <c r="O51" s="21"/>
      <c r="P51" s="27"/>
      <c r="Q51" s="99"/>
      <c r="R51" s="110"/>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6"/>
      <c r="AZ51" s="106"/>
      <c r="BA51" s="106"/>
      <c r="BB51" s="106"/>
      <c r="BC51" s="106"/>
      <c r="BD51" s="106"/>
      <c r="BE51" s="103"/>
      <c r="BF51" s="104"/>
      <c r="BG51" s="104"/>
    </row>
    <row r="52" spans="1:59" s="17" customFormat="1" ht="15.75" hidden="1" customHeight="1">
      <c r="A52" s="86"/>
      <c r="B52" s="88"/>
      <c r="C52" s="90"/>
      <c r="D52" s="92"/>
      <c r="E52" s="90"/>
      <c r="F52" s="90"/>
      <c r="G52" s="94"/>
      <c r="H52" s="95"/>
      <c r="I52" s="95"/>
      <c r="J52" s="95"/>
      <c r="K52" s="22"/>
      <c r="L52" s="18"/>
      <c r="M52" s="18"/>
      <c r="N52" s="98"/>
      <c r="O52" s="19"/>
      <c r="P52" s="22"/>
      <c r="Q52" s="100"/>
      <c r="R52" s="102"/>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7"/>
      <c r="AZ52" s="107"/>
      <c r="BA52" s="107"/>
      <c r="BB52" s="107"/>
      <c r="BC52" s="107"/>
      <c r="BD52" s="107"/>
      <c r="BE52" s="103"/>
      <c r="BF52" s="105"/>
      <c r="BG52" s="105"/>
    </row>
    <row r="53" spans="1:59" s="17" customFormat="1" ht="15.75" hidden="1" customHeight="1">
      <c r="A53" s="101"/>
      <c r="B53" s="114"/>
      <c r="C53" s="116"/>
      <c r="D53" s="118"/>
      <c r="E53" s="118"/>
      <c r="F53" s="116"/>
      <c r="G53" s="120"/>
      <c r="H53" s="90"/>
      <c r="I53" s="90"/>
      <c r="J53" s="90"/>
      <c r="K53" s="20"/>
      <c r="L53" s="20"/>
      <c r="M53" s="20"/>
      <c r="N53" s="97" t="e">
        <f>O54/L54</f>
        <v>#DIV/0!</v>
      </c>
      <c r="O53" s="21">
        <f t="shared" ref="O53:O60" si="3">L53-M53</f>
        <v>0</v>
      </c>
      <c r="P53" s="27"/>
      <c r="Q53" s="99">
        <f>+L54-P54</f>
        <v>0</v>
      </c>
      <c r="R53" s="110"/>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5.75" hidden="1" customHeight="1">
      <c r="A54" s="102"/>
      <c r="B54" s="115"/>
      <c r="C54" s="117"/>
      <c r="D54" s="119"/>
      <c r="E54" s="119"/>
      <c r="F54" s="117"/>
      <c r="G54" s="121"/>
      <c r="H54" s="95"/>
      <c r="I54" s="95"/>
      <c r="J54" s="95"/>
      <c r="K54" s="22"/>
      <c r="L54" s="18"/>
      <c r="M54" s="18"/>
      <c r="N54" s="98"/>
      <c r="O54" s="19">
        <f t="shared" si="3"/>
        <v>0</v>
      </c>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5.75" hidden="1" customHeight="1">
      <c r="A55" s="101"/>
      <c r="B55" s="114"/>
      <c r="C55" s="116"/>
      <c r="D55" s="118"/>
      <c r="E55" s="118"/>
      <c r="F55" s="116"/>
      <c r="G55" s="120"/>
      <c r="H55" s="90"/>
      <c r="I55" s="90"/>
      <c r="J55" s="90"/>
      <c r="K55" s="20"/>
      <c r="L55" s="20"/>
      <c r="M55" s="20"/>
      <c r="N55" s="97" t="e">
        <f>O56/L56</f>
        <v>#DIV/0!</v>
      </c>
      <c r="O55" s="21">
        <f t="shared" si="3"/>
        <v>0</v>
      </c>
      <c r="P55" s="27"/>
      <c r="Q55" s="99">
        <f>+L56-P56</f>
        <v>0</v>
      </c>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102"/>
      <c r="B56" s="115"/>
      <c r="C56" s="117"/>
      <c r="D56" s="119"/>
      <c r="E56" s="119"/>
      <c r="F56" s="117"/>
      <c r="G56" s="121"/>
      <c r="H56" s="95"/>
      <c r="I56" s="95"/>
      <c r="J56" s="95"/>
      <c r="K56" s="22"/>
      <c r="L56" s="18"/>
      <c r="M56" s="18"/>
      <c r="N56" s="98"/>
      <c r="O56" s="19">
        <f t="shared" si="3"/>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si="3"/>
        <v>0</v>
      </c>
      <c r="P57" s="27"/>
      <c r="Q57" s="99">
        <f>+L58-P58</f>
        <v>0</v>
      </c>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109"/>
      <c r="I59" s="90"/>
      <c r="J59" s="90"/>
      <c r="K59" s="20"/>
      <c r="L59" s="20"/>
      <c r="M59" s="20"/>
      <c r="N59" s="97" t="e">
        <f>O60/L60</f>
        <v>#DIV/0!</v>
      </c>
      <c r="O59" s="21">
        <f t="shared" si="3"/>
        <v>0</v>
      </c>
      <c r="P59" s="27"/>
      <c r="Q59" s="99">
        <f>+L60-P60</f>
        <v>0</v>
      </c>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6"/>
      <c r="F61" s="116"/>
      <c r="G61" s="120"/>
      <c r="H61" s="90"/>
      <c r="I61" s="90"/>
      <c r="J61" s="90"/>
      <c r="K61" s="20"/>
      <c r="L61" s="20"/>
      <c r="M61" s="20"/>
      <c r="N61" s="97" t="e">
        <f>O62/L62</f>
        <v>#DIV/0!</v>
      </c>
      <c r="O61" s="21"/>
      <c r="P61" s="27"/>
      <c r="Q61" s="99"/>
      <c r="R61" s="110"/>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7"/>
      <c r="F62" s="117"/>
      <c r="G62" s="121"/>
      <c r="H62" s="95"/>
      <c r="I62" s="95"/>
      <c r="J62" s="95"/>
      <c r="K62" s="22"/>
      <c r="L62" s="18"/>
      <c r="M62" s="18"/>
      <c r="N62" s="98"/>
      <c r="O62" s="19"/>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ht="24.75" hidden="1" customHeight="1">
      <c r="A63" s="111" t="s">
        <v>74</v>
      </c>
      <c r="B63" s="112"/>
      <c r="C63" s="112"/>
      <c r="D63" s="112"/>
      <c r="E63" s="112"/>
      <c r="F63" s="112"/>
      <c r="G63" s="112"/>
      <c r="H63" s="112"/>
      <c r="I63" s="113"/>
      <c r="J63" s="5">
        <f>+SUMPRODUCT(((MOD(ROW(J51:J62),2)=1)*(J51:J62)))</f>
        <v>0</v>
      </c>
      <c r="K63" s="5">
        <f>+SUMPRODUCT(((MOD(ROW(K51:K62),2)=1)*(K51:K62)))</f>
        <v>0</v>
      </c>
      <c r="L63" s="5">
        <f>+SUMPRODUCT(((MOD(ROW(L51:L62),2)=1)*(L51:L62)))</f>
        <v>0</v>
      </c>
      <c r="M63" s="5">
        <f>+SUMPRODUCT(((MOD(ROW(M51:M62),2)=1)*(M51:M62)))</f>
        <v>0</v>
      </c>
      <c r="N63" s="23" t="e">
        <f>O63/L63</f>
        <v>#DIV/0!</v>
      </c>
      <c r="O63" s="5">
        <f>+SUMPRODUCT(((MOD(ROW(O51:O62),2)=1)*(O51:O62)))</f>
        <v>0</v>
      </c>
      <c r="P63" s="5">
        <f>+SUMPRODUCT(((MOD(ROW(P51:P62),2)=1)*(P51:P62)))</f>
        <v>0</v>
      </c>
      <c r="Q63" s="29">
        <f>SUM(Q51:Q62)</f>
        <v>0</v>
      </c>
      <c r="R63" s="29"/>
      <c r="S63" s="5">
        <f t="shared" ref="S63:BG63" si="4">SUM(S51:S62)</f>
        <v>0</v>
      </c>
      <c r="T63" s="5">
        <f t="shared" si="4"/>
        <v>0</v>
      </c>
      <c r="U63" s="5">
        <f t="shared" si="4"/>
        <v>0</v>
      </c>
      <c r="V63" s="5">
        <f t="shared" si="4"/>
        <v>0</v>
      </c>
      <c r="W63" s="5">
        <f t="shared" si="4"/>
        <v>0</v>
      </c>
      <c r="X63" s="5">
        <f t="shared" si="4"/>
        <v>0</v>
      </c>
      <c r="Y63" s="5">
        <f t="shared" si="4"/>
        <v>0</v>
      </c>
      <c r="Z63" s="5">
        <f t="shared" si="4"/>
        <v>0</v>
      </c>
      <c r="AA63" s="5">
        <f t="shared" si="4"/>
        <v>0</v>
      </c>
      <c r="AB63" s="5">
        <f t="shared" si="4"/>
        <v>0</v>
      </c>
      <c r="AC63" s="5">
        <f t="shared" si="4"/>
        <v>0</v>
      </c>
      <c r="AD63" s="5">
        <f t="shared" si="4"/>
        <v>0</v>
      </c>
      <c r="AE63" s="5">
        <f t="shared" si="4"/>
        <v>0</v>
      </c>
      <c r="AF63" s="5">
        <f t="shared" si="4"/>
        <v>0</v>
      </c>
      <c r="AG63" s="5">
        <f t="shared" si="4"/>
        <v>0</v>
      </c>
      <c r="AH63" s="5">
        <f t="shared" si="4"/>
        <v>0</v>
      </c>
      <c r="AI63" s="5">
        <f t="shared" si="4"/>
        <v>0</v>
      </c>
      <c r="AJ63" s="5">
        <f t="shared" si="4"/>
        <v>0</v>
      </c>
      <c r="AK63" s="5">
        <f t="shared" si="4"/>
        <v>0</v>
      </c>
      <c r="AL63" s="5">
        <f t="shared" si="4"/>
        <v>0</v>
      </c>
      <c r="AM63" s="5">
        <f t="shared" si="4"/>
        <v>0</v>
      </c>
      <c r="AN63" s="5">
        <f t="shared" si="4"/>
        <v>0</v>
      </c>
      <c r="AO63" s="5">
        <f t="shared" si="4"/>
        <v>0</v>
      </c>
      <c r="AP63" s="5">
        <f t="shared" si="4"/>
        <v>0</v>
      </c>
      <c r="AQ63" s="5">
        <f t="shared" si="4"/>
        <v>0</v>
      </c>
      <c r="AR63" s="5">
        <f t="shared" si="4"/>
        <v>0</v>
      </c>
      <c r="AS63" s="5">
        <f t="shared" si="4"/>
        <v>0</v>
      </c>
      <c r="AT63" s="5">
        <f t="shared" si="4"/>
        <v>0</v>
      </c>
      <c r="AU63" s="5">
        <f t="shared" si="4"/>
        <v>0</v>
      </c>
      <c r="AV63" s="5">
        <f t="shared" si="4"/>
        <v>0</v>
      </c>
      <c r="AW63" s="5">
        <f t="shared" si="4"/>
        <v>0</v>
      </c>
      <c r="AX63" s="5">
        <f t="shared" si="4"/>
        <v>0</v>
      </c>
      <c r="AY63" s="5">
        <f t="shared" si="4"/>
        <v>0</v>
      </c>
      <c r="AZ63" s="5">
        <f t="shared" si="4"/>
        <v>0</v>
      </c>
      <c r="BA63" s="5">
        <f t="shared" si="4"/>
        <v>0</v>
      </c>
      <c r="BB63" s="5">
        <f t="shared" si="4"/>
        <v>0</v>
      </c>
      <c r="BC63" s="5">
        <f t="shared" si="4"/>
        <v>0</v>
      </c>
      <c r="BD63" s="5">
        <f t="shared" si="4"/>
        <v>0</v>
      </c>
      <c r="BE63" s="5">
        <f t="shared" si="4"/>
        <v>0</v>
      </c>
      <c r="BF63" s="5">
        <f t="shared" si="4"/>
        <v>0</v>
      </c>
      <c r="BG63" s="5">
        <f t="shared" si="4"/>
        <v>0</v>
      </c>
    </row>
    <row r="64" spans="1:59" ht="24.75" customHeight="1">
      <c r="A64" s="122" t="s">
        <v>5</v>
      </c>
      <c r="B64" s="122"/>
      <c r="C64" s="122"/>
      <c r="D64" s="122"/>
      <c r="E64" s="122"/>
      <c r="F64" s="122"/>
      <c r="G64" s="122"/>
      <c r="H64" s="122"/>
      <c r="I64" s="122"/>
      <c r="J64" s="30">
        <f>J43+J63+J50</f>
        <v>20591</v>
      </c>
      <c r="K64" s="40">
        <f>K43+K50+K63</f>
        <v>787</v>
      </c>
      <c r="L64" s="40">
        <f>L43+L50+L63</f>
        <v>304</v>
      </c>
      <c r="M64" s="40">
        <f>M43+M50+M63</f>
        <v>114</v>
      </c>
      <c r="N64" s="32">
        <f>N43</f>
        <v>0.625</v>
      </c>
      <c r="O64" s="40">
        <f>O43+O50+O63</f>
        <v>190</v>
      </c>
      <c r="P64" s="40">
        <f>P43+P50+P63</f>
        <v>500</v>
      </c>
      <c r="Q64" s="40">
        <f>Q43+Q50+Q63</f>
        <v>1718</v>
      </c>
      <c r="R64" s="40"/>
      <c r="S64" s="40">
        <f t="shared" ref="S64:BG64" si="5">S43+S50+S63</f>
        <v>0</v>
      </c>
      <c r="T64" s="40">
        <f t="shared" si="5"/>
        <v>49</v>
      </c>
      <c r="U64" s="40">
        <f t="shared" si="5"/>
        <v>20</v>
      </c>
      <c r="V64" s="40">
        <f t="shared" si="5"/>
        <v>0</v>
      </c>
      <c r="W64" s="40">
        <f t="shared" si="5"/>
        <v>0</v>
      </c>
      <c r="X64" s="40">
        <f t="shared" si="5"/>
        <v>1</v>
      </c>
      <c r="Y64" s="40">
        <f t="shared" si="5"/>
        <v>0</v>
      </c>
      <c r="Z64" s="40">
        <f t="shared" si="5"/>
        <v>0</v>
      </c>
      <c r="AA64" s="40">
        <f t="shared" si="5"/>
        <v>0</v>
      </c>
      <c r="AB64" s="40">
        <f t="shared" si="5"/>
        <v>0</v>
      </c>
      <c r="AC64" s="40">
        <f t="shared" si="5"/>
        <v>28</v>
      </c>
      <c r="AD64" s="40">
        <f t="shared" si="5"/>
        <v>0</v>
      </c>
      <c r="AE64" s="40">
        <f t="shared" si="5"/>
        <v>6</v>
      </c>
      <c r="AF64" s="40">
        <f t="shared" si="5"/>
        <v>14</v>
      </c>
      <c r="AG64" s="40">
        <f t="shared" si="5"/>
        <v>19</v>
      </c>
      <c r="AH64" s="40">
        <f t="shared" si="5"/>
        <v>25</v>
      </c>
      <c r="AI64" s="40">
        <f t="shared" si="5"/>
        <v>0</v>
      </c>
      <c r="AJ64" s="40">
        <f t="shared" si="5"/>
        <v>0</v>
      </c>
      <c r="AK64" s="40">
        <f t="shared" si="5"/>
        <v>0</v>
      </c>
      <c r="AL64" s="40">
        <f t="shared" si="5"/>
        <v>28</v>
      </c>
      <c r="AM64" s="40">
        <f t="shared" si="5"/>
        <v>0</v>
      </c>
      <c r="AN64" s="40">
        <f t="shared" si="5"/>
        <v>0</v>
      </c>
      <c r="AO64" s="40">
        <f t="shared" si="5"/>
        <v>0</v>
      </c>
      <c r="AP64" s="40">
        <f t="shared" si="5"/>
        <v>0</v>
      </c>
      <c r="AQ64" s="40">
        <f t="shared" si="5"/>
        <v>0</v>
      </c>
      <c r="AR64" s="40">
        <f t="shared" si="5"/>
        <v>0</v>
      </c>
      <c r="AS64" s="40">
        <f t="shared" si="5"/>
        <v>0</v>
      </c>
      <c r="AT64" s="40">
        <f t="shared" si="5"/>
        <v>0</v>
      </c>
      <c r="AU64" s="40">
        <f t="shared" si="5"/>
        <v>0</v>
      </c>
      <c r="AV64" s="40">
        <f t="shared" si="5"/>
        <v>0</v>
      </c>
      <c r="AW64" s="40">
        <f t="shared" si="5"/>
        <v>0</v>
      </c>
      <c r="AX64" s="40">
        <f t="shared" si="5"/>
        <v>0</v>
      </c>
      <c r="AY64" s="40">
        <f t="shared" si="5"/>
        <v>0</v>
      </c>
      <c r="AZ64" s="40">
        <f t="shared" si="5"/>
        <v>0</v>
      </c>
      <c r="BA64" s="40">
        <f t="shared" si="5"/>
        <v>0</v>
      </c>
      <c r="BB64" s="40">
        <f t="shared" si="5"/>
        <v>0</v>
      </c>
      <c r="BC64" s="40">
        <f t="shared" si="5"/>
        <v>0</v>
      </c>
      <c r="BD64" s="40">
        <f t="shared" si="5"/>
        <v>0</v>
      </c>
      <c r="BE64" s="40">
        <f t="shared" si="5"/>
        <v>0</v>
      </c>
      <c r="BF64" s="40">
        <f t="shared" si="5"/>
        <v>0</v>
      </c>
      <c r="BG64" s="40">
        <f t="shared" si="5"/>
        <v>0</v>
      </c>
    </row>
    <row r="65" spans="1:59" ht="31.8">
      <c r="A65" s="81" t="s">
        <v>36</v>
      </c>
      <c r="B65" s="81"/>
      <c r="C65" s="81"/>
      <c r="D65" s="81"/>
      <c r="E65" s="81"/>
      <c r="F65" s="81"/>
      <c r="G65" s="81"/>
      <c r="H65" s="81"/>
      <c r="I65" s="81"/>
      <c r="J65" s="81"/>
      <c r="K65" s="81"/>
      <c r="L65" s="81"/>
      <c r="M65" s="81"/>
      <c r="N65" s="81"/>
      <c r="O65" s="81"/>
      <c r="P65" s="24"/>
      <c r="Q65" s="24"/>
      <c r="R65" s="24"/>
      <c r="AM65" s="34"/>
      <c r="AN65" s="34"/>
      <c r="AO65" s="34"/>
      <c r="AP65" s="34"/>
      <c r="AQ65" s="34"/>
      <c r="AR65" s="34"/>
      <c r="AS65" s="34"/>
      <c r="AT65" s="34"/>
      <c r="AU65" s="34"/>
      <c r="AV65" s="34"/>
      <c r="AW65" s="34"/>
      <c r="AX65" s="34"/>
      <c r="AY65" s="34"/>
      <c r="AZ65" s="34"/>
      <c r="BA65" s="34"/>
      <c r="BB65" s="34"/>
      <c r="BC65" s="34"/>
      <c r="BD65" s="34"/>
      <c r="BE65" s="34"/>
      <c r="BF65" s="34"/>
      <c r="BG65" s="34"/>
    </row>
    <row r="66" spans="1:59" ht="33.75" customHeight="1">
      <c r="A66" s="82" t="s">
        <v>13</v>
      </c>
      <c r="B66" s="82"/>
      <c r="C66" s="82"/>
      <c r="D66" s="82"/>
      <c r="E66" s="82"/>
      <c r="F66" s="82"/>
      <c r="G66" s="82"/>
      <c r="H66" s="82"/>
      <c r="I66" s="82"/>
      <c r="J66" s="82"/>
      <c r="K66" s="82"/>
      <c r="L66" s="82"/>
      <c r="M66" s="82"/>
      <c r="N66" s="82"/>
      <c r="O66" s="82"/>
      <c r="AM66" s="34"/>
      <c r="AN66" s="34"/>
      <c r="AO66" s="34"/>
      <c r="AP66" s="34"/>
      <c r="AQ66" s="34"/>
      <c r="AR66" s="34"/>
      <c r="AS66" s="34"/>
      <c r="AT66" s="34"/>
      <c r="AU66" s="34"/>
      <c r="AV66" s="34"/>
      <c r="AW66" s="34"/>
      <c r="AX66" s="34"/>
      <c r="AY66" s="34"/>
      <c r="AZ66" s="34"/>
      <c r="BA66" s="34"/>
      <c r="BB66" s="34"/>
      <c r="BC66" s="34"/>
      <c r="BD66" s="34"/>
      <c r="BE66" s="34"/>
      <c r="BF66" s="34"/>
      <c r="BG66" s="34"/>
    </row>
    <row r="67" spans="1:59" ht="62.4">
      <c r="A67" s="9" t="s">
        <v>0</v>
      </c>
      <c r="B67" s="10" t="s">
        <v>34</v>
      </c>
      <c r="C67" s="11" t="s">
        <v>7</v>
      </c>
      <c r="D67" s="12" t="s">
        <v>1</v>
      </c>
      <c r="E67" s="13" t="s">
        <v>4</v>
      </c>
      <c r="F67" s="13" t="s">
        <v>2</v>
      </c>
      <c r="G67" s="13" t="s">
        <v>3</v>
      </c>
      <c r="H67" s="11" t="s">
        <v>6</v>
      </c>
      <c r="I67" s="14" t="s">
        <v>8</v>
      </c>
      <c r="J67" s="14" t="s">
        <v>17</v>
      </c>
      <c r="K67" s="12" t="s">
        <v>9</v>
      </c>
      <c r="L67" s="15" t="s">
        <v>10</v>
      </c>
      <c r="M67" s="15" t="s">
        <v>11</v>
      </c>
      <c r="N67" s="15" t="s">
        <v>12</v>
      </c>
      <c r="O67" s="15" t="s">
        <v>14</v>
      </c>
      <c r="P67" s="26" t="s">
        <v>16</v>
      </c>
      <c r="Q67" s="15" t="s">
        <v>42</v>
      </c>
      <c r="R67" s="15" t="s">
        <v>44</v>
      </c>
      <c r="S67" s="83">
        <v>101</v>
      </c>
      <c r="T67" s="83">
        <v>102</v>
      </c>
      <c r="U67" s="80">
        <v>106</v>
      </c>
      <c r="V67" s="80">
        <v>108</v>
      </c>
      <c r="W67" s="80">
        <v>109</v>
      </c>
      <c r="X67" s="80">
        <v>113</v>
      </c>
      <c r="Y67" s="80">
        <v>114</v>
      </c>
      <c r="Z67" s="80">
        <v>115</v>
      </c>
      <c r="AA67" s="80">
        <v>116</v>
      </c>
      <c r="AB67" s="80">
        <v>199</v>
      </c>
      <c r="AC67" s="80">
        <v>201</v>
      </c>
      <c r="AD67" s="80">
        <v>202</v>
      </c>
      <c r="AE67" s="80">
        <v>203</v>
      </c>
      <c r="AF67" s="80">
        <v>205</v>
      </c>
      <c r="AG67" s="80">
        <v>206</v>
      </c>
      <c r="AH67" s="79">
        <v>209</v>
      </c>
      <c r="AI67" s="79">
        <v>212</v>
      </c>
      <c r="AJ67" s="79">
        <v>216</v>
      </c>
      <c r="AK67" s="79">
        <v>217</v>
      </c>
      <c r="AL67" s="79">
        <v>299</v>
      </c>
      <c r="AM67" s="79">
        <v>301</v>
      </c>
      <c r="AN67" s="79">
        <v>302</v>
      </c>
      <c r="AO67" s="79">
        <v>399</v>
      </c>
      <c r="AP67" s="79">
        <v>401</v>
      </c>
      <c r="AQ67" s="79">
        <v>402</v>
      </c>
      <c r="AR67" s="79">
        <v>411</v>
      </c>
      <c r="AS67" s="79">
        <v>412</v>
      </c>
      <c r="AT67" s="79">
        <v>413</v>
      </c>
      <c r="AU67" s="79">
        <v>499</v>
      </c>
      <c r="AV67" s="79">
        <v>501</v>
      </c>
      <c r="AW67" s="79">
        <v>502</v>
      </c>
      <c r="AX67" s="79">
        <v>599</v>
      </c>
      <c r="AY67" s="79">
        <v>604</v>
      </c>
      <c r="AZ67" s="79">
        <v>605</v>
      </c>
      <c r="BA67" s="79">
        <v>699</v>
      </c>
      <c r="BB67" s="79">
        <v>701</v>
      </c>
      <c r="BC67" s="79">
        <v>702</v>
      </c>
      <c r="BD67" s="79">
        <v>703</v>
      </c>
      <c r="BE67" s="79">
        <v>704</v>
      </c>
      <c r="BF67" s="79">
        <v>799</v>
      </c>
      <c r="BG67" s="84">
        <v>999</v>
      </c>
    </row>
    <row r="68" spans="1:59" ht="62.25" customHeight="1">
      <c r="A68" s="10" t="s">
        <v>18</v>
      </c>
      <c r="B68" s="10" t="s">
        <v>19</v>
      </c>
      <c r="C68" s="13" t="s">
        <v>20</v>
      </c>
      <c r="D68" s="12" t="s">
        <v>21</v>
      </c>
      <c r="E68" s="13" t="s">
        <v>22</v>
      </c>
      <c r="F68" s="13" t="s">
        <v>23</v>
      </c>
      <c r="G68" s="13" t="s">
        <v>25</v>
      </c>
      <c r="H68" s="13" t="s">
        <v>24</v>
      </c>
      <c r="I68" s="14" t="s">
        <v>26</v>
      </c>
      <c r="J68" s="14" t="s">
        <v>27</v>
      </c>
      <c r="K68" s="15" t="s">
        <v>28</v>
      </c>
      <c r="L68" s="15" t="s">
        <v>29</v>
      </c>
      <c r="M68" s="15" t="s">
        <v>30</v>
      </c>
      <c r="N68" s="15" t="s">
        <v>32</v>
      </c>
      <c r="O68" s="15" t="s">
        <v>31</v>
      </c>
      <c r="P68" s="26" t="s">
        <v>33</v>
      </c>
      <c r="Q68" s="15" t="s">
        <v>43</v>
      </c>
      <c r="R68" s="15" t="s">
        <v>45</v>
      </c>
      <c r="S68" s="83"/>
      <c r="T68" s="83"/>
      <c r="U68" s="80"/>
      <c r="V68" s="80"/>
      <c r="W68" s="80"/>
      <c r="X68" s="80"/>
      <c r="Y68" s="80"/>
      <c r="Z68" s="80"/>
      <c r="AA68" s="80"/>
      <c r="AB68" s="80"/>
      <c r="AC68" s="80"/>
      <c r="AD68" s="80"/>
      <c r="AE68" s="80"/>
      <c r="AF68" s="80"/>
      <c r="AG68" s="80"/>
      <c r="AH68" s="79"/>
      <c r="AI68" s="79"/>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84"/>
    </row>
    <row r="69" spans="1:59" s="17" customFormat="1" ht="15.75" hidden="1" customHeight="1">
      <c r="A69" s="108"/>
      <c r="B69" s="87"/>
      <c r="C69" s="89"/>
      <c r="D69" s="91"/>
      <c r="E69" s="89"/>
      <c r="F69" s="89"/>
      <c r="G69" s="93"/>
      <c r="H69" s="89"/>
      <c r="I69" s="89"/>
      <c r="J69" s="89"/>
      <c r="K69" s="20"/>
      <c r="L69" s="20"/>
      <c r="M69" s="20"/>
      <c r="N69" s="146" t="e">
        <f>O70/L70</f>
        <v>#DIV/0!</v>
      </c>
      <c r="O69" s="21">
        <f t="shared" ref="O69:O74" si="6">L69-M69</f>
        <v>0</v>
      </c>
      <c r="P69" s="27"/>
      <c r="Q69" s="99">
        <f>+L70-P70</f>
        <v>0</v>
      </c>
      <c r="R69" s="108"/>
      <c r="S69" s="149"/>
      <c r="T69" s="149"/>
      <c r="U69" s="149"/>
      <c r="V69" s="149"/>
      <c r="W69" s="149"/>
      <c r="X69" s="149"/>
      <c r="Y69" s="149"/>
      <c r="Z69" s="149"/>
      <c r="AA69" s="149"/>
      <c r="AB69" s="149"/>
      <c r="AC69" s="149"/>
      <c r="AD69" s="149"/>
      <c r="AE69" s="149"/>
      <c r="AF69" s="149"/>
      <c r="AG69" s="149"/>
      <c r="AH69" s="149"/>
      <c r="AI69" s="149"/>
      <c r="AJ69" s="149"/>
      <c r="AK69" s="149"/>
      <c r="AL69" s="149"/>
      <c r="AM69" s="163"/>
      <c r="AN69" s="163"/>
      <c r="AO69" s="163"/>
      <c r="AP69" s="163"/>
      <c r="AQ69" s="163"/>
      <c r="AR69" s="163"/>
      <c r="AS69" s="163"/>
      <c r="AT69" s="163"/>
      <c r="AU69" s="163"/>
      <c r="AV69" s="163"/>
      <c r="AW69" s="163"/>
      <c r="AX69" s="163"/>
      <c r="AY69" s="167"/>
      <c r="AZ69" s="167"/>
      <c r="BA69" s="167"/>
      <c r="BB69" s="167"/>
      <c r="BC69" s="167"/>
      <c r="BD69" s="161"/>
      <c r="BE69" s="163"/>
      <c r="BF69" s="165"/>
      <c r="BG69" s="165"/>
    </row>
    <row r="70" spans="1:59" s="17" customFormat="1" ht="15.75" hidden="1" customHeight="1">
      <c r="A70" s="85"/>
      <c r="B70" s="88"/>
      <c r="C70" s="90"/>
      <c r="D70" s="92"/>
      <c r="E70" s="90"/>
      <c r="F70" s="90"/>
      <c r="G70" s="94"/>
      <c r="H70" s="90"/>
      <c r="I70" s="90"/>
      <c r="J70" s="90"/>
      <c r="K70" s="22"/>
      <c r="L70" s="18"/>
      <c r="M70" s="18"/>
      <c r="N70" s="147"/>
      <c r="O70" s="19">
        <f t="shared" si="6"/>
        <v>0</v>
      </c>
      <c r="P70" s="22"/>
      <c r="Q70" s="100"/>
      <c r="R70" s="85"/>
      <c r="S70" s="150"/>
      <c r="T70" s="150"/>
      <c r="U70" s="150"/>
      <c r="V70" s="150"/>
      <c r="W70" s="150"/>
      <c r="X70" s="150"/>
      <c r="Y70" s="150"/>
      <c r="Z70" s="150"/>
      <c r="AA70" s="150"/>
      <c r="AB70" s="150"/>
      <c r="AC70" s="150"/>
      <c r="AD70" s="150"/>
      <c r="AE70" s="150"/>
      <c r="AF70" s="150"/>
      <c r="AG70" s="150"/>
      <c r="AH70" s="150"/>
      <c r="AI70" s="150"/>
      <c r="AJ70" s="150"/>
      <c r="AK70" s="150"/>
      <c r="AL70" s="150"/>
      <c r="AM70" s="164"/>
      <c r="AN70" s="164"/>
      <c r="AO70" s="164"/>
      <c r="AP70" s="164"/>
      <c r="AQ70" s="164"/>
      <c r="AR70" s="164"/>
      <c r="AS70" s="164"/>
      <c r="AT70" s="164"/>
      <c r="AU70" s="164"/>
      <c r="AV70" s="164"/>
      <c r="AW70" s="164"/>
      <c r="AX70" s="164"/>
      <c r="AY70" s="168"/>
      <c r="AZ70" s="168"/>
      <c r="BA70" s="168"/>
      <c r="BB70" s="168"/>
      <c r="BC70" s="168"/>
      <c r="BD70" s="162"/>
      <c r="BE70" s="164"/>
      <c r="BF70" s="166"/>
      <c r="BG70" s="166"/>
    </row>
    <row r="71" spans="1:59" s="17" customFormat="1" ht="18" customHeight="1">
      <c r="A71" s="108">
        <v>45265</v>
      </c>
      <c r="B71" s="138" t="s">
        <v>37</v>
      </c>
      <c r="C71" s="90" t="s">
        <v>56</v>
      </c>
      <c r="D71" s="91" t="s">
        <v>38</v>
      </c>
      <c r="E71" s="89">
        <v>84217</v>
      </c>
      <c r="F71" s="89" t="s">
        <v>49</v>
      </c>
      <c r="G71" s="137" t="s">
        <v>61</v>
      </c>
      <c r="H71" s="95" t="s">
        <v>39</v>
      </c>
      <c r="I71" s="90">
        <v>4497</v>
      </c>
      <c r="J71" s="90">
        <v>4097</v>
      </c>
      <c r="K71" s="20">
        <v>230</v>
      </c>
      <c r="L71" s="20">
        <v>60</v>
      </c>
      <c r="M71" s="20">
        <v>34</v>
      </c>
      <c r="N71" s="97">
        <f>O72/L72</f>
        <v>0.60476190476190472</v>
      </c>
      <c r="O71" s="21">
        <f t="shared" si="6"/>
        <v>26</v>
      </c>
      <c r="P71" s="27">
        <v>34</v>
      </c>
      <c r="Q71" s="99">
        <f>+L72-P72</f>
        <v>66</v>
      </c>
      <c r="R71" s="85"/>
      <c r="S71" s="96">
        <v>6</v>
      </c>
      <c r="T71" s="96"/>
      <c r="U71" s="96"/>
      <c r="V71" s="96"/>
      <c r="W71" s="96"/>
      <c r="X71" s="96"/>
      <c r="Y71" s="96"/>
      <c r="Z71" s="96"/>
      <c r="AA71" s="96"/>
      <c r="AB71" s="96"/>
      <c r="AC71" s="96">
        <v>10</v>
      </c>
      <c r="AD71" s="96"/>
      <c r="AE71" s="96"/>
      <c r="AF71" s="96"/>
      <c r="AG71" s="96"/>
      <c r="AH71" s="96"/>
      <c r="AI71" s="96"/>
      <c r="AJ71" s="96"/>
      <c r="AK71" s="96"/>
      <c r="AL71" s="96">
        <v>10</v>
      </c>
      <c r="AM71" s="103"/>
      <c r="AN71" s="103"/>
      <c r="AO71" s="103"/>
      <c r="AP71" s="103"/>
      <c r="AQ71" s="103"/>
      <c r="AR71" s="103"/>
      <c r="AS71" s="103"/>
      <c r="AT71" s="103"/>
      <c r="AU71" s="103"/>
      <c r="AV71" s="103"/>
      <c r="AW71" s="103"/>
      <c r="AX71" s="103"/>
      <c r="AY71" s="106"/>
      <c r="AZ71" s="106"/>
      <c r="BA71" s="106"/>
      <c r="BB71" s="106"/>
      <c r="BC71" s="106"/>
      <c r="BD71" s="106"/>
      <c r="BE71" s="103"/>
      <c r="BF71" s="104"/>
      <c r="BG71" s="104"/>
    </row>
    <row r="72" spans="1:59" s="17" customFormat="1" ht="17.25" customHeight="1">
      <c r="A72" s="85"/>
      <c r="B72" s="139"/>
      <c r="C72" s="95"/>
      <c r="D72" s="92"/>
      <c r="E72" s="90"/>
      <c r="F72" s="90"/>
      <c r="G72" s="95"/>
      <c r="H72" s="95"/>
      <c r="I72" s="95"/>
      <c r="J72" s="95"/>
      <c r="K72" s="18">
        <f>260+160+50+100+100+240+349+166+150+60+120+30+30+230</f>
        <v>2045</v>
      </c>
      <c r="L72" s="18">
        <f>260+160+50+100+140+100+240+150+60</f>
        <v>1260</v>
      </c>
      <c r="M72" s="18">
        <f>120+55+27+40+30+60+87+45+34</f>
        <v>498</v>
      </c>
      <c r="N72" s="98"/>
      <c r="O72" s="19">
        <f t="shared" si="6"/>
        <v>762</v>
      </c>
      <c r="P72" s="22">
        <f>170+70+15+112+30+30+83+50+100+127+218+53+42+60+34</f>
        <v>1194</v>
      </c>
      <c r="Q72" s="100"/>
      <c r="R72" s="86"/>
      <c r="S72" s="96"/>
      <c r="T72" s="96"/>
      <c r="U72" s="96"/>
      <c r="V72" s="96"/>
      <c r="W72" s="96"/>
      <c r="X72" s="96"/>
      <c r="Y72" s="96"/>
      <c r="Z72" s="96"/>
      <c r="AA72" s="96"/>
      <c r="AB72" s="96"/>
      <c r="AC72" s="96"/>
      <c r="AD72" s="96"/>
      <c r="AE72" s="96"/>
      <c r="AF72" s="96"/>
      <c r="AG72" s="96"/>
      <c r="AH72" s="96"/>
      <c r="AI72" s="96"/>
      <c r="AJ72" s="96"/>
      <c r="AK72" s="96"/>
      <c r="AL72" s="96"/>
      <c r="AM72" s="103"/>
      <c r="AN72" s="103"/>
      <c r="AO72" s="103"/>
      <c r="AP72" s="103"/>
      <c r="AQ72" s="103"/>
      <c r="AR72" s="103"/>
      <c r="AS72" s="103"/>
      <c r="AT72" s="103"/>
      <c r="AU72" s="103"/>
      <c r="AV72" s="103"/>
      <c r="AW72" s="103"/>
      <c r="AX72" s="103"/>
      <c r="AY72" s="107"/>
      <c r="AZ72" s="107"/>
      <c r="BA72" s="107"/>
      <c r="BB72" s="107"/>
      <c r="BC72" s="107"/>
      <c r="BD72" s="107"/>
      <c r="BE72" s="103"/>
      <c r="BF72" s="105"/>
      <c r="BG72" s="105"/>
    </row>
    <row r="73" spans="1:59" s="17" customFormat="1" ht="18" hidden="1" customHeight="1">
      <c r="A73" s="101">
        <v>45217</v>
      </c>
      <c r="B73" s="132" t="s">
        <v>37</v>
      </c>
      <c r="C73" s="117"/>
      <c r="D73" s="118" t="s">
        <v>38</v>
      </c>
      <c r="E73" s="116">
        <v>84217</v>
      </c>
      <c r="F73" s="116" t="s">
        <v>49</v>
      </c>
      <c r="G73" s="141"/>
      <c r="H73" s="95"/>
      <c r="I73" s="90"/>
      <c r="J73" s="90"/>
      <c r="K73" s="20"/>
      <c r="L73" s="20"/>
      <c r="M73" s="20"/>
      <c r="N73" s="143" t="e">
        <f>O74/L74</f>
        <v>#DIV/0!</v>
      </c>
      <c r="O73" s="21">
        <f t="shared" si="6"/>
        <v>0</v>
      </c>
      <c r="P73" s="27"/>
      <c r="Q73" s="99">
        <f>+L74-P74</f>
        <v>0</v>
      </c>
      <c r="R73" s="101">
        <v>45023</v>
      </c>
      <c r="S73" s="96"/>
      <c r="T73" s="96"/>
      <c r="U73" s="96"/>
      <c r="V73" s="96"/>
      <c r="W73" s="96"/>
      <c r="X73" s="96"/>
      <c r="Y73" s="96"/>
      <c r="Z73" s="96"/>
      <c r="AA73" s="96"/>
      <c r="AB73" s="96"/>
      <c r="AC73" s="140"/>
      <c r="AD73" s="96"/>
      <c r="AE73" s="96"/>
      <c r="AF73" s="96"/>
      <c r="AG73" s="96"/>
      <c r="AH73" s="96"/>
      <c r="AI73" s="96"/>
      <c r="AJ73" s="96"/>
      <c r="AK73" s="96"/>
      <c r="AL73" s="96"/>
      <c r="AM73" s="96"/>
      <c r="AN73" s="96"/>
      <c r="AO73" s="96"/>
      <c r="AP73" s="96"/>
      <c r="AQ73" s="96"/>
      <c r="AR73" s="96"/>
      <c r="AS73" s="96"/>
      <c r="AT73" s="96"/>
      <c r="AU73" s="96"/>
      <c r="AV73" s="96"/>
      <c r="AW73" s="96"/>
      <c r="AX73" s="96"/>
      <c r="AY73" s="124"/>
      <c r="AZ73" s="123"/>
      <c r="BA73" s="123"/>
      <c r="BB73" s="123"/>
      <c r="BC73" s="123"/>
      <c r="BD73" s="123"/>
      <c r="BE73" s="123"/>
      <c r="BF73" s="123"/>
      <c r="BG73" s="123"/>
    </row>
    <row r="74" spans="1:59" s="17" customFormat="1" ht="17.25" hidden="1" customHeight="1">
      <c r="A74" s="102"/>
      <c r="B74" s="145"/>
      <c r="C74" s="142"/>
      <c r="D74" s="119"/>
      <c r="E74" s="117"/>
      <c r="F74" s="117"/>
      <c r="G74" s="142"/>
      <c r="H74" s="95"/>
      <c r="I74" s="95"/>
      <c r="J74" s="95"/>
      <c r="K74" s="3"/>
      <c r="L74" s="3"/>
      <c r="M74" s="3"/>
      <c r="N74" s="144"/>
      <c r="O74" s="7">
        <f t="shared" si="6"/>
        <v>0</v>
      </c>
      <c r="P74" s="28"/>
      <c r="Q74" s="100"/>
      <c r="R74" s="102"/>
      <c r="S74" s="96"/>
      <c r="T74" s="96"/>
      <c r="U74" s="96"/>
      <c r="V74" s="96"/>
      <c r="W74" s="96"/>
      <c r="X74" s="96"/>
      <c r="Y74" s="96"/>
      <c r="Z74" s="96"/>
      <c r="AA74" s="96"/>
      <c r="AB74" s="96"/>
      <c r="AC74" s="140"/>
      <c r="AD74" s="96"/>
      <c r="AE74" s="96"/>
      <c r="AF74" s="96"/>
      <c r="AG74" s="96"/>
      <c r="AH74" s="96"/>
      <c r="AI74" s="96"/>
      <c r="AJ74" s="96"/>
      <c r="AK74" s="96"/>
      <c r="AL74" s="96"/>
      <c r="AM74" s="96"/>
      <c r="AN74" s="96"/>
      <c r="AO74" s="96"/>
      <c r="AP74" s="96"/>
      <c r="AQ74" s="96"/>
      <c r="AR74" s="96"/>
      <c r="AS74" s="96"/>
      <c r="AT74" s="96"/>
      <c r="AU74" s="96"/>
      <c r="AV74" s="96"/>
      <c r="AW74" s="96"/>
      <c r="AX74" s="96"/>
      <c r="AY74" s="124"/>
      <c r="AZ74" s="124"/>
      <c r="BA74" s="124"/>
      <c r="BB74" s="124"/>
      <c r="BC74" s="124"/>
      <c r="BD74" s="124"/>
      <c r="BE74" s="124"/>
      <c r="BF74" s="124"/>
      <c r="BG74" s="124"/>
    </row>
    <row r="75" spans="1:59" ht="24.75" customHeight="1">
      <c r="A75" s="111" t="s">
        <v>15</v>
      </c>
      <c r="B75" s="112"/>
      <c r="C75" s="112"/>
      <c r="D75" s="112"/>
      <c r="E75" s="112"/>
      <c r="F75" s="112"/>
      <c r="G75" s="112"/>
      <c r="H75" s="112"/>
      <c r="I75" s="113"/>
      <c r="J75" s="5">
        <f>SUM(J69:J74)</f>
        <v>4097</v>
      </c>
      <c r="K75" s="5">
        <f>+K69++K71</f>
        <v>230</v>
      </c>
      <c r="L75" s="5">
        <f>+SUMPRODUCT(((MOD(ROW(L69:L74),2)=1)*(L69:L74)))</f>
        <v>60</v>
      </c>
      <c r="M75" s="5">
        <f>+SUMPRODUCT(((MOD(ROW(M69:M74),2)=1)*(M69:M74)))</f>
        <v>34</v>
      </c>
      <c r="N75" s="23">
        <f>O75/L75</f>
        <v>0.43333333333333335</v>
      </c>
      <c r="O75" s="5">
        <f>+SUMPRODUCT(((MOD(ROW(O69:O74),2)=1)*(O69:O74)))</f>
        <v>26</v>
      </c>
      <c r="P75" s="5">
        <f>+SUMPRODUCT(((MOD(ROW(P69:P74),2)=1)*(P69:P74)))</f>
        <v>34</v>
      </c>
      <c r="Q75" s="5">
        <f>+SUMPRODUCT(((MOD(ROW(Q69:Q74),2)=1)*(Q69:Q74)))</f>
        <v>66</v>
      </c>
      <c r="R75" s="5"/>
      <c r="S75" s="5">
        <f t="shared" ref="S75:BG75" si="7">SUM(S69:S74)</f>
        <v>6</v>
      </c>
      <c r="T75" s="5">
        <f t="shared" si="7"/>
        <v>0</v>
      </c>
      <c r="U75" s="5">
        <f t="shared" si="7"/>
        <v>0</v>
      </c>
      <c r="V75" s="5">
        <f t="shared" si="7"/>
        <v>0</v>
      </c>
      <c r="W75" s="5">
        <f t="shared" si="7"/>
        <v>0</v>
      </c>
      <c r="X75" s="5">
        <f t="shared" si="7"/>
        <v>0</v>
      </c>
      <c r="Y75" s="5">
        <f t="shared" si="7"/>
        <v>0</v>
      </c>
      <c r="Z75" s="5">
        <f t="shared" si="7"/>
        <v>0</v>
      </c>
      <c r="AA75" s="5">
        <f t="shared" si="7"/>
        <v>0</v>
      </c>
      <c r="AB75" s="5">
        <f t="shared" si="7"/>
        <v>0</v>
      </c>
      <c r="AC75" s="5">
        <f t="shared" si="7"/>
        <v>10</v>
      </c>
      <c r="AD75" s="5">
        <f t="shared" si="7"/>
        <v>0</v>
      </c>
      <c r="AE75" s="5">
        <f t="shared" si="7"/>
        <v>0</v>
      </c>
      <c r="AF75" s="5">
        <f t="shared" si="7"/>
        <v>0</v>
      </c>
      <c r="AG75" s="5">
        <f t="shared" si="7"/>
        <v>0</v>
      </c>
      <c r="AH75" s="5">
        <f t="shared" si="7"/>
        <v>0</v>
      </c>
      <c r="AI75" s="5">
        <f t="shared" si="7"/>
        <v>0</v>
      </c>
      <c r="AJ75" s="5">
        <f t="shared" si="7"/>
        <v>0</v>
      </c>
      <c r="AK75" s="5">
        <f t="shared" si="7"/>
        <v>0</v>
      </c>
      <c r="AL75" s="5">
        <f t="shared" si="7"/>
        <v>10</v>
      </c>
      <c r="AM75" s="5">
        <f t="shared" si="7"/>
        <v>0</v>
      </c>
      <c r="AN75" s="5">
        <f t="shared" si="7"/>
        <v>0</v>
      </c>
      <c r="AO75" s="5">
        <f t="shared" si="7"/>
        <v>0</v>
      </c>
      <c r="AP75" s="5">
        <f t="shared" si="7"/>
        <v>0</v>
      </c>
      <c r="AQ75" s="5">
        <f t="shared" si="7"/>
        <v>0</v>
      </c>
      <c r="AR75" s="5">
        <f t="shared" si="7"/>
        <v>0</v>
      </c>
      <c r="AS75" s="5">
        <f t="shared" si="7"/>
        <v>0</v>
      </c>
      <c r="AT75" s="5">
        <f t="shared" si="7"/>
        <v>0</v>
      </c>
      <c r="AU75" s="5">
        <f t="shared" si="7"/>
        <v>0</v>
      </c>
      <c r="AV75" s="5">
        <f t="shared" si="7"/>
        <v>0</v>
      </c>
      <c r="AW75" s="5">
        <f t="shared" si="7"/>
        <v>0</v>
      </c>
      <c r="AX75" s="5">
        <f t="shared" si="7"/>
        <v>0</v>
      </c>
      <c r="AY75" s="5">
        <f t="shared" si="7"/>
        <v>0</v>
      </c>
      <c r="AZ75" s="5">
        <f t="shared" si="7"/>
        <v>0</v>
      </c>
      <c r="BA75" s="5">
        <f t="shared" si="7"/>
        <v>0</v>
      </c>
      <c r="BB75" s="5">
        <f t="shared" si="7"/>
        <v>0</v>
      </c>
      <c r="BC75" s="5">
        <f t="shared" si="7"/>
        <v>0</v>
      </c>
      <c r="BD75" s="5">
        <f t="shared" si="7"/>
        <v>0</v>
      </c>
      <c r="BE75" s="5">
        <f t="shared" si="7"/>
        <v>0</v>
      </c>
      <c r="BF75" s="5">
        <f t="shared" si="7"/>
        <v>0</v>
      </c>
      <c r="BG75" s="5">
        <f t="shared" si="7"/>
        <v>0</v>
      </c>
    </row>
    <row r="76" spans="1:59" s="17" customFormat="1" ht="15.75" hidden="1" customHeight="1">
      <c r="A76" s="101"/>
      <c r="B76" s="114"/>
      <c r="C76" s="116"/>
      <c r="D76" s="118"/>
      <c r="E76" s="116"/>
      <c r="F76" s="116"/>
      <c r="G76" s="120"/>
      <c r="H76" s="151"/>
      <c r="I76" s="89"/>
      <c r="J76" s="89"/>
      <c r="K76" s="20"/>
      <c r="L76" s="20"/>
      <c r="M76" s="20"/>
      <c r="N76" s="146"/>
      <c r="O76" s="21"/>
      <c r="P76" s="27"/>
      <c r="Q76" s="99"/>
      <c r="R76" s="148"/>
      <c r="S76" s="149"/>
      <c r="T76" s="149"/>
      <c r="U76" s="149"/>
      <c r="V76" s="149"/>
      <c r="W76" s="149"/>
      <c r="X76" s="149"/>
      <c r="Y76" s="149"/>
      <c r="Z76" s="149"/>
      <c r="AA76" s="149"/>
      <c r="AB76" s="149"/>
      <c r="AC76" s="149"/>
      <c r="AD76" s="149"/>
      <c r="AE76" s="149"/>
      <c r="AF76" s="149"/>
      <c r="AG76" s="149"/>
      <c r="AH76" s="149"/>
      <c r="AI76" s="149"/>
      <c r="AJ76" s="149"/>
      <c r="AK76" s="149"/>
      <c r="AL76" s="149"/>
      <c r="AM76" s="149"/>
      <c r="AN76" s="149"/>
      <c r="AO76" s="149"/>
      <c r="AP76" s="149"/>
      <c r="AQ76" s="149"/>
      <c r="AR76" s="149"/>
      <c r="AS76" s="149"/>
      <c r="AT76" s="149"/>
      <c r="AU76" s="149"/>
      <c r="AV76" s="149"/>
      <c r="AW76" s="149"/>
      <c r="AX76" s="149"/>
      <c r="AY76" s="152"/>
      <c r="AZ76" s="152"/>
      <c r="BA76" s="152"/>
      <c r="BB76" s="152"/>
      <c r="BC76" s="152"/>
      <c r="BD76" s="152"/>
      <c r="BE76" s="149"/>
      <c r="BF76" s="152"/>
      <c r="BG76" s="152"/>
    </row>
    <row r="77" spans="1:59" s="17" customFormat="1" ht="15.75" hidden="1" customHeight="1">
      <c r="A77" s="102"/>
      <c r="B77" s="115"/>
      <c r="C77" s="117"/>
      <c r="D77" s="119"/>
      <c r="E77" s="117"/>
      <c r="F77" s="117"/>
      <c r="G77" s="121"/>
      <c r="H77" s="90"/>
      <c r="I77" s="90"/>
      <c r="J77" s="90"/>
      <c r="K77" s="22"/>
      <c r="L77" s="18"/>
      <c r="M77" s="18"/>
      <c r="N77" s="147"/>
      <c r="O77" s="19"/>
      <c r="P77" s="22"/>
      <c r="Q77" s="100"/>
      <c r="R77" s="101"/>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3"/>
      <c r="AZ77" s="153"/>
      <c r="BA77" s="153"/>
      <c r="BB77" s="153"/>
      <c r="BC77" s="153"/>
      <c r="BD77" s="153"/>
      <c r="BE77" s="150"/>
      <c r="BF77" s="153"/>
      <c r="BG77" s="153"/>
    </row>
    <row r="78" spans="1:59" s="17" customFormat="1" ht="15.75" hidden="1" customHeight="1">
      <c r="A78" s="101"/>
      <c r="B78" s="114"/>
      <c r="C78" s="116"/>
      <c r="D78" s="118"/>
      <c r="E78" s="116"/>
      <c r="F78" s="116"/>
      <c r="G78" s="120"/>
      <c r="H78" s="151"/>
      <c r="I78" s="89"/>
      <c r="J78" s="89"/>
      <c r="K78" s="20"/>
      <c r="L78" s="20"/>
      <c r="M78" s="20"/>
      <c r="N78" s="146"/>
      <c r="O78" s="21"/>
      <c r="P78" s="27"/>
      <c r="Q78" s="99"/>
      <c r="R78" s="148"/>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52"/>
      <c r="AZ78" s="152"/>
      <c r="BA78" s="152"/>
      <c r="BB78" s="152"/>
      <c r="BC78" s="152"/>
      <c r="BD78" s="152"/>
      <c r="BE78" s="149"/>
      <c r="BF78" s="152"/>
      <c r="BG78" s="152"/>
    </row>
    <row r="79" spans="1:59" s="17" customFormat="1" ht="15.75" hidden="1" customHeight="1">
      <c r="A79" s="102"/>
      <c r="B79" s="115"/>
      <c r="C79" s="117"/>
      <c r="D79" s="119"/>
      <c r="E79" s="117"/>
      <c r="F79" s="117"/>
      <c r="G79" s="121"/>
      <c r="H79" s="90"/>
      <c r="I79" s="90"/>
      <c r="J79" s="90"/>
      <c r="K79" s="22"/>
      <c r="L79" s="18"/>
      <c r="M79" s="18"/>
      <c r="N79" s="147"/>
      <c r="O79" s="19"/>
      <c r="P79" s="22"/>
      <c r="Q79" s="100"/>
      <c r="R79" s="101"/>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3"/>
      <c r="AZ79" s="153"/>
      <c r="BA79" s="153"/>
      <c r="BB79" s="153"/>
      <c r="BC79" s="153"/>
      <c r="BD79" s="153"/>
      <c r="BE79" s="150"/>
      <c r="BF79" s="153"/>
      <c r="BG79" s="153"/>
    </row>
    <row r="80" spans="1:59" s="17" customFormat="1" ht="15.75" hidden="1" customHeight="1">
      <c r="A80" s="101"/>
      <c r="B80" s="114"/>
      <c r="C80" s="116"/>
      <c r="D80" s="118"/>
      <c r="E80" s="116"/>
      <c r="F80" s="116"/>
      <c r="G80" s="120"/>
      <c r="H80" s="109"/>
      <c r="I80" s="90"/>
      <c r="J80" s="90"/>
      <c r="K80" s="20"/>
      <c r="L80" s="20"/>
      <c r="M80" s="20"/>
      <c r="N80" s="97"/>
      <c r="O80" s="21"/>
      <c r="P80" s="27"/>
      <c r="Q80" s="99"/>
      <c r="R80" s="154"/>
      <c r="S80" s="96"/>
      <c r="T80" s="96"/>
      <c r="U80" s="96"/>
      <c r="V80" s="96"/>
      <c r="W80" s="96"/>
      <c r="X80" s="96"/>
      <c r="Y80" s="96"/>
      <c r="Z80" s="96"/>
      <c r="AA80" s="96"/>
      <c r="AB80" s="96"/>
      <c r="AC80" s="96"/>
      <c r="AD80" s="96"/>
      <c r="AE80" s="96"/>
      <c r="AF80" s="96"/>
      <c r="AG80" s="96"/>
      <c r="AH80" s="96"/>
      <c r="AI80" s="96"/>
      <c r="AJ80" s="96"/>
      <c r="AK80" s="96"/>
      <c r="AL80" s="96"/>
      <c r="AM80" s="96"/>
      <c r="AN80" s="96"/>
      <c r="AO80" s="96"/>
      <c r="AP80" s="96"/>
      <c r="AQ80" s="96"/>
      <c r="AR80" s="96"/>
      <c r="AS80" s="96"/>
      <c r="AT80" s="96"/>
      <c r="AU80" s="96"/>
      <c r="AV80" s="96"/>
      <c r="AW80" s="96"/>
      <c r="AX80" s="96"/>
      <c r="AY80" s="155"/>
      <c r="AZ80" s="155"/>
      <c r="BA80" s="155"/>
      <c r="BB80" s="155"/>
      <c r="BC80" s="155"/>
      <c r="BD80" s="155"/>
      <c r="BE80" s="96"/>
      <c r="BF80" s="155"/>
      <c r="BG80" s="155"/>
    </row>
    <row r="81" spans="1:61" s="17" customFormat="1" ht="15.75" hidden="1" customHeight="1">
      <c r="A81" s="102"/>
      <c r="B81" s="115"/>
      <c r="C81" s="117"/>
      <c r="D81" s="119"/>
      <c r="E81" s="117"/>
      <c r="F81" s="117"/>
      <c r="G81" s="121"/>
      <c r="H81" s="95"/>
      <c r="I81" s="95"/>
      <c r="J81" s="95"/>
      <c r="K81" s="22"/>
      <c r="L81" s="18"/>
      <c r="M81" s="18"/>
      <c r="N81" s="98"/>
      <c r="O81" s="19"/>
      <c r="P81" s="22"/>
      <c r="Q81" s="100"/>
      <c r="R81" s="101"/>
      <c r="S81" s="96"/>
      <c r="T81" s="96"/>
      <c r="U81" s="96"/>
      <c r="V81" s="96"/>
      <c r="W81" s="96"/>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6"/>
      <c r="AY81" s="156"/>
      <c r="AZ81" s="156"/>
      <c r="BA81" s="156"/>
      <c r="BB81" s="156"/>
      <c r="BC81" s="156"/>
      <c r="BD81" s="156"/>
      <c r="BE81" s="96"/>
      <c r="BF81" s="156"/>
      <c r="BG81" s="156"/>
    </row>
    <row r="82" spans="1:61" s="17" customFormat="1" ht="15.75" hidden="1" customHeight="1">
      <c r="A82" s="101"/>
      <c r="B82" s="114"/>
      <c r="C82" s="116"/>
      <c r="D82" s="118"/>
      <c r="E82" s="116"/>
      <c r="F82" s="116"/>
      <c r="G82" s="120"/>
      <c r="H82" s="109"/>
      <c r="I82" s="90"/>
      <c r="J82" s="90"/>
      <c r="K82" s="20"/>
      <c r="L82" s="20"/>
      <c r="M82" s="20"/>
      <c r="N82" s="97"/>
      <c r="O82" s="21"/>
      <c r="P82" s="27"/>
      <c r="Q82" s="99"/>
      <c r="R82" s="148"/>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5"/>
      <c r="AZ82" s="155"/>
      <c r="BA82" s="155"/>
      <c r="BB82" s="155"/>
      <c r="BC82" s="155"/>
      <c r="BD82" s="155"/>
      <c r="BE82" s="96"/>
      <c r="BF82" s="155"/>
      <c r="BG82" s="155"/>
    </row>
    <row r="83" spans="1:61" s="17" customFormat="1" ht="15.75" hidden="1" customHeight="1">
      <c r="A83" s="102"/>
      <c r="B83" s="115"/>
      <c r="C83" s="117"/>
      <c r="D83" s="119"/>
      <c r="E83" s="117"/>
      <c r="F83" s="117"/>
      <c r="G83" s="121"/>
      <c r="H83" s="95"/>
      <c r="I83" s="95"/>
      <c r="J83" s="95"/>
      <c r="K83" s="22"/>
      <c r="L83" s="18"/>
      <c r="M83" s="18"/>
      <c r="N83" s="98"/>
      <c r="O83" s="19"/>
      <c r="P83" s="22"/>
      <c r="Q83" s="100"/>
      <c r="R83" s="101"/>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6"/>
      <c r="AZ83" s="156"/>
      <c r="BA83" s="156"/>
      <c r="BB83" s="156"/>
      <c r="BC83" s="156"/>
      <c r="BD83" s="156"/>
      <c r="BE83" s="96"/>
      <c r="BF83" s="156"/>
      <c r="BG83" s="156"/>
    </row>
    <row r="84" spans="1:61" s="17" customFormat="1" ht="15.75" hidden="1" customHeight="1">
      <c r="A84" s="101">
        <v>45084</v>
      </c>
      <c r="B84" s="114" t="s">
        <v>37</v>
      </c>
      <c r="C84" s="116"/>
      <c r="D84" s="118"/>
      <c r="E84" s="116"/>
      <c r="F84" s="116"/>
      <c r="G84" s="120"/>
      <c r="H84" s="109"/>
      <c r="I84" s="90"/>
      <c r="J84" s="90"/>
      <c r="K84" s="20"/>
      <c r="L84" s="20"/>
      <c r="M84" s="20"/>
      <c r="N84" s="97" t="e">
        <f>O85/L85</f>
        <v>#DIV/0!</v>
      </c>
      <c r="O84" s="21"/>
      <c r="P84" s="27"/>
      <c r="Q84" s="99">
        <f>+L85-P85</f>
        <v>0</v>
      </c>
      <c r="R84" s="101"/>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2"/>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ht="24.75" hidden="1" customHeight="1">
      <c r="A86" s="111" t="s">
        <v>40</v>
      </c>
      <c r="B86" s="112"/>
      <c r="C86" s="112"/>
      <c r="D86" s="112"/>
      <c r="E86" s="112"/>
      <c r="F86" s="112"/>
      <c r="G86" s="112"/>
      <c r="H86" s="112"/>
      <c r="I86" s="113"/>
      <c r="J86" s="5">
        <f>SUM(J76:J85)</f>
        <v>0</v>
      </c>
      <c r="K86" s="5">
        <f>+SUMPRODUCT(((MOD(ROW(K76:K83),2)=0)*(K76:K83)))</f>
        <v>0</v>
      </c>
      <c r="L86" s="5">
        <f>+SUMPRODUCT(((MOD(ROW(L76:L83),2)=0)*(L76:L83)))</f>
        <v>0</v>
      </c>
      <c r="M86" s="5">
        <f>+SUMPRODUCT(((MOD(ROW(M76:M83),2)=0)*(M76:M83)))</f>
        <v>0</v>
      </c>
      <c r="N86" s="6" t="e">
        <f>O86/L86</f>
        <v>#DIV/0!</v>
      </c>
      <c r="O86" s="5">
        <f>+SUMPRODUCT(((MOD(ROW(O76:O83),2)=0)*(O76:O83)))</f>
        <v>0</v>
      </c>
      <c r="P86" s="5">
        <f>+SUMPRODUCT(((MOD(ROW(P76:P83),2)=0)*(P76:P83)))</f>
        <v>0</v>
      </c>
      <c r="Q86" s="29">
        <f>SUM(Q76:Q85)</f>
        <v>0</v>
      </c>
      <c r="R86" s="29"/>
      <c r="S86" s="29">
        <f t="shared" ref="S86:BG86" si="8">SUM(S76:S85)</f>
        <v>0</v>
      </c>
      <c r="T86" s="29">
        <f t="shared" si="8"/>
        <v>0</v>
      </c>
      <c r="U86" s="29">
        <f t="shared" si="8"/>
        <v>0</v>
      </c>
      <c r="V86" s="29">
        <f t="shared" si="8"/>
        <v>0</v>
      </c>
      <c r="W86" s="29">
        <f t="shared" si="8"/>
        <v>0</v>
      </c>
      <c r="X86" s="29">
        <f t="shared" si="8"/>
        <v>0</v>
      </c>
      <c r="Y86" s="29">
        <f t="shared" si="8"/>
        <v>0</v>
      </c>
      <c r="Z86" s="29">
        <f t="shared" si="8"/>
        <v>0</v>
      </c>
      <c r="AA86" s="29">
        <f t="shared" si="8"/>
        <v>0</v>
      </c>
      <c r="AB86" s="29">
        <f t="shared" si="8"/>
        <v>0</v>
      </c>
      <c r="AC86" s="29">
        <f t="shared" si="8"/>
        <v>0</v>
      </c>
      <c r="AD86" s="29">
        <f t="shared" si="8"/>
        <v>0</v>
      </c>
      <c r="AE86" s="29">
        <f t="shared" si="8"/>
        <v>0</v>
      </c>
      <c r="AF86" s="29">
        <f t="shared" si="8"/>
        <v>0</v>
      </c>
      <c r="AG86" s="29">
        <f t="shared" si="8"/>
        <v>0</v>
      </c>
      <c r="AH86" s="29">
        <f t="shared" si="8"/>
        <v>0</v>
      </c>
      <c r="AI86" s="29">
        <f t="shared" si="8"/>
        <v>0</v>
      </c>
      <c r="AJ86" s="29">
        <f t="shared" si="8"/>
        <v>0</v>
      </c>
      <c r="AK86" s="29">
        <f t="shared" si="8"/>
        <v>0</v>
      </c>
      <c r="AL86" s="29">
        <f t="shared" si="8"/>
        <v>0</v>
      </c>
      <c r="AM86" s="29">
        <f t="shared" si="8"/>
        <v>0</v>
      </c>
      <c r="AN86" s="29">
        <f t="shared" si="8"/>
        <v>0</v>
      </c>
      <c r="AO86" s="29">
        <f t="shared" si="8"/>
        <v>0</v>
      </c>
      <c r="AP86" s="29">
        <f t="shared" si="8"/>
        <v>0</v>
      </c>
      <c r="AQ86" s="29">
        <f t="shared" si="8"/>
        <v>0</v>
      </c>
      <c r="AR86" s="29">
        <f t="shared" si="8"/>
        <v>0</v>
      </c>
      <c r="AS86" s="29">
        <f t="shared" si="8"/>
        <v>0</v>
      </c>
      <c r="AT86" s="29">
        <f t="shared" si="8"/>
        <v>0</v>
      </c>
      <c r="AU86" s="29">
        <f t="shared" si="8"/>
        <v>0</v>
      </c>
      <c r="AV86" s="29">
        <f t="shared" si="8"/>
        <v>0</v>
      </c>
      <c r="AW86" s="29">
        <f t="shared" si="8"/>
        <v>0</v>
      </c>
      <c r="AX86" s="29">
        <f t="shared" si="8"/>
        <v>0</v>
      </c>
      <c r="AY86" s="29">
        <f t="shared" si="8"/>
        <v>0</v>
      </c>
      <c r="AZ86" s="29">
        <f t="shared" si="8"/>
        <v>0</v>
      </c>
      <c r="BA86" s="29">
        <f t="shared" si="8"/>
        <v>0</v>
      </c>
      <c r="BB86" s="29">
        <f t="shared" si="8"/>
        <v>0</v>
      </c>
      <c r="BC86" s="29">
        <f t="shared" si="8"/>
        <v>0</v>
      </c>
      <c r="BD86" s="29">
        <f t="shared" si="8"/>
        <v>0</v>
      </c>
      <c r="BE86" s="29">
        <f t="shared" si="8"/>
        <v>0</v>
      </c>
      <c r="BF86" s="29">
        <f t="shared" si="8"/>
        <v>0</v>
      </c>
      <c r="BG86" s="29">
        <f t="shared" si="8"/>
        <v>0</v>
      </c>
      <c r="BH86" s="17"/>
      <c r="BI86" s="17"/>
    </row>
    <row r="87" spans="1:61" s="17" customFormat="1" ht="15.75" hidden="1" customHeight="1">
      <c r="A87" s="101"/>
      <c r="B87" s="114"/>
      <c r="C87" s="116"/>
      <c r="D87" s="118"/>
      <c r="E87" s="116"/>
      <c r="F87" s="116"/>
      <c r="G87" s="120"/>
      <c r="H87" s="109"/>
      <c r="I87" s="90"/>
      <c r="J87" s="90"/>
      <c r="K87" s="20"/>
      <c r="L87" s="20"/>
      <c r="M87" s="20"/>
      <c r="N87" s="97"/>
      <c r="O87" s="21"/>
      <c r="P87" s="27"/>
      <c r="Q87" s="99"/>
      <c r="R87" s="154"/>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5"/>
      <c r="AZ87" s="155"/>
      <c r="BA87" s="155"/>
      <c r="BB87" s="155"/>
      <c r="BC87" s="155"/>
      <c r="BD87" s="155"/>
      <c r="BE87" s="96"/>
      <c r="BF87" s="155"/>
      <c r="BG87" s="155"/>
    </row>
    <row r="88" spans="1:61" s="17" customFormat="1" ht="15.75" hidden="1" customHeight="1">
      <c r="A88" s="102"/>
      <c r="B88" s="115"/>
      <c r="C88" s="117"/>
      <c r="D88" s="119"/>
      <c r="E88" s="117"/>
      <c r="F88" s="117"/>
      <c r="G88" s="121"/>
      <c r="H88" s="95"/>
      <c r="I88" s="95"/>
      <c r="J88" s="95"/>
      <c r="K88" s="22"/>
      <c r="L88" s="18"/>
      <c r="M88" s="18"/>
      <c r="N88" s="98"/>
      <c r="O88" s="19"/>
      <c r="P88" s="22"/>
      <c r="Q88" s="100"/>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6"/>
      <c r="AZ88" s="156"/>
      <c r="BA88" s="156"/>
      <c r="BB88" s="156"/>
      <c r="BC88" s="156"/>
      <c r="BD88" s="156"/>
      <c r="BE88" s="96"/>
      <c r="BF88" s="156"/>
      <c r="BG88" s="156"/>
    </row>
    <row r="89" spans="1:61" s="17" customFormat="1" ht="15.75" hidden="1" customHeight="1">
      <c r="A89" s="101"/>
      <c r="B89" s="114"/>
      <c r="C89" s="116"/>
      <c r="D89" s="118"/>
      <c r="E89" s="116"/>
      <c r="F89" s="116"/>
      <c r="G89" s="120"/>
      <c r="H89" s="90"/>
      <c r="I89" s="90"/>
      <c r="J89" s="90"/>
      <c r="K89" s="20"/>
      <c r="L89" s="20"/>
      <c r="M89" s="20"/>
      <c r="N89" s="97"/>
      <c r="O89" s="21"/>
      <c r="P89" s="27"/>
      <c r="Q89" s="99"/>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row>
    <row r="91" spans="1:61" s="17" customFormat="1" ht="15.75" hidden="1" customHeight="1">
      <c r="A91" s="101">
        <v>45163</v>
      </c>
      <c r="B91" s="114" t="s">
        <v>37</v>
      </c>
      <c r="C91" s="116"/>
      <c r="D91" s="118"/>
      <c r="E91" s="116"/>
      <c r="F91" s="116"/>
      <c r="G91" s="120"/>
      <c r="H91" s="90"/>
      <c r="I91" s="90"/>
      <c r="J91" s="90"/>
      <c r="K91" s="20"/>
      <c r="L91" s="20"/>
      <c r="M91" s="20"/>
      <c r="N91" s="97" t="e">
        <f>O92/L92</f>
        <v>#DIV/0!</v>
      </c>
      <c r="O91" s="21">
        <f>L91-M91</f>
        <v>0</v>
      </c>
      <c r="P91" s="27"/>
      <c r="Q91" s="99">
        <f>+L92-P92</f>
        <v>0</v>
      </c>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f>L92-M92</f>
        <v>0</v>
      </c>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v>45163</v>
      </c>
      <c r="B93" s="114" t="s">
        <v>37</v>
      </c>
      <c r="C93" s="116"/>
      <c r="D93" s="118"/>
      <c r="E93" s="116"/>
      <c r="F93" s="116"/>
      <c r="G93" s="120"/>
      <c r="H93" s="90"/>
      <c r="I93" s="90"/>
      <c r="J93" s="90"/>
      <c r="K93" s="20"/>
      <c r="L93" s="20"/>
      <c r="M93" s="20"/>
      <c r="N93" s="97" t="e">
        <f>O94/L94</f>
        <v>#DIV/0!</v>
      </c>
      <c r="O93" s="21">
        <f>L93-M93</f>
        <v>0</v>
      </c>
      <c r="P93" s="27"/>
      <c r="Q93" s="99">
        <f>+L94-P94</f>
        <v>0</v>
      </c>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f>L94-M94</f>
        <v>0</v>
      </c>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c r="BH94" s="1"/>
      <c r="BI94" s="1"/>
    </row>
    <row r="95" spans="1:61" ht="24.75" hidden="1" customHeight="1">
      <c r="A95" s="111" t="s">
        <v>48</v>
      </c>
      <c r="B95" s="112"/>
      <c r="C95" s="112"/>
      <c r="D95" s="112"/>
      <c r="E95" s="112"/>
      <c r="F95" s="112"/>
      <c r="G95" s="112"/>
      <c r="H95" s="112"/>
      <c r="I95" s="113"/>
      <c r="J95" s="5">
        <f>SUM(J87:J94)</f>
        <v>0</v>
      </c>
      <c r="K95" s="5">
        <f>+SUMPRODUCT(((MOD(ROW(K87:K94),2)=0)*(K87:K94)))</f>
        <v>0</v>
      </c>
      <c r="L95" s="5">
        <f>+SUMPRODUCT(((MOD(ROW(L87:L94),2)=0)*(L87:L94)))</f>
        <v>0</v>
      </c>
      <c r="M95" s="5">
        <f>+SUMPRODUCT(((MOD(ROW(M87:M94),2)=0)*(M87:M94)))</f>
        <v>0</v>
      </c>
      <c r="N95" s="6" t="e">
        <f>O95/L95</f>
        <v>#DIV/0!</v>
      </c>
      <c r="O95" s="5">
        <f>+SUMPRODUCT(((MOD(ROW(O87:O94),2)=0)*(O87:O94)))</f>
        <v>0</v>
      </c>
      <c r="P95" s="5">
        <f>+SUMPRODUCT(((MOD(ROW(P87:P94),2)=0)*(P87:P94)))</f>
        <v>0</v>
      </c>
      <c r="Q95" s="29">
        <f>SUM(Q87:Q94)</f>
        <v>0</v>
      </c>
      <c r="R95" s="29"/>
      <c r="S95" s="29">
        <f t="shared" ref="S95:BG95" si="9">SUM(S87:S94)</f>
        <v>0</v>
      </c>
      <c r="T95" s="29">
        <f t="shared" si="9"/>
        <v>0</v>
      </c>
      <c r="U95" s="29">
        <f t="shared" si="9"/>
        <v>0</v>
      </c>
      <c r="V95" s="29">
        <f t="shared" si="9"/>
        <v>0</v>
      </c>
      <c r="W95" s="29">
        <f t="shared" si="9"/>
        <v>0</v>
      </c>
      <c r="X95" s="29">
        <f t="shared" si="9"/>
        <v>0</v>
      </c>
      <c r="Y95" s="29">
        <f t="shared" si="9"/>
        <v>0</v>
      </c>
      <c r="Z95" s="29">
        <f t="shared" si="9"/>
        <v>0</v>
      </c>
      <c r="AA95" s="29">
        <f t="shared" si="9"/>
        <v>0</v>
      </c>
      <c r="AB95" s="29">
        <f t="shared" si="9"/>
        <v>0</v>
      </c>
      <c r="AC95" s="29">
        <f t="shared" si="9"/>
        <v>0</v>
      </c>
      <c r="AD95" s="29">
        <f t="shared" si="9"/>
        <v>0</v>
      </c>
      <c r="AE95" s="29">
        <f t="shared" si="9"/>
        <v>0</v>
      </c>
      <c r="AF95" s="29">
        <f t="shared" si="9"/>
        <v>0</v>
      </c>
      <c r="AG95" s="29">
        <f t="shared" si="9"/>
        <v>0</v>
      </c>
      <c r="AH95" s="29">
        <f t="shared" si="9"/>
        <v>0</v>
      </c>
      <c r="AI95" s="29">
        <f t="shared" si="9"/>
        <v>0</v>
      </c>
      <c r="AJ95" s="29">
        <f t="shared" si="9"/>
        <v>0</v>
      </c>
      <c r="AK95" s="29">
        <f t="shared" si="9"/>
        <v>0</v>
      </c>
      <c r="AL95" s="29">
        <f t="shared" si="9"/>
        <v>0</v>
      </c>
      <c r="AM95" s="29">
        <f t="shared" si="9"/>
        <v>0</v>
      </c>
      <c r="AN95" s="29">
        <f t="shared" si="9"/>
        <v>0</v>
      </c>
      <c r="AO95" s="29">
        <f t="shared" si="9"/>
        <v>0</v>
      </c>
      <c r="AP95" s="29">
        <f t="shared" si="9"/>
        <v>0</v>
      </c>
      <c r="AQ95" s="29">
        <f t="shared" si="9"/>
        <v>0</v>
      </c>
      <c r="AR95" s="29">
        <f t="shared" si="9"/>
        <v>0</v>
      </c>
      <c r="AS95" s="29">
        <f t="shared" si="9"/>
        <v>0</v>
      </c>
      <c r="AT95" s="29">
        <f t="shared" si="9"/>
        <v>0</v>
      </c>
      <c r="AU95" s="29">
        <f t="shared" si="9"/>
        <v>0</v>
      </c>
      <c r="AV95" s="29">
        <f t="shared" si="9"/>
        <v>0</v>
      </c>
      <c r="AW95" s="29">
        <f t="shared" si="9"/>
        <v>0</v>
      </c>
      <c r="AX95" s="29">
        <f t="shared" si="9"/>
        <v>0</v>
      </c>
      <c r="AY95" s="29">
        <f t="shared" si="9"/>
        <v>0</v>
      </c>
      <c r="AZ95" s="29">
        <f t="shared" si="9"/>
        <v>0</v>
      </c>
      <c r="BA95" s="29">
        <f t="shared" si="9"/>
        <v>0</v>
      </c>
      <c r="BB95" s="29">
        <f t="shared" si="9"/>
        <v>0</v>
      </c>
      <c r="BC95" s="29">
        <f t="shared" si="9"/>
        <v>0</v>
      </c>
      <c r="BD95" s="29">
        <f t="shared" si="9"/>
        <v>0</v>
      </c>
      <c r="BE95" s="29">
        <f t="shared" si="9"/>
        <v>0</v>
      </c>
      <c r="BF95" s="29">
        <f t="shared" si="9"/>
        <v>0</v>
      </c>
      <c r="BG95" s="29">
        <f t="shared" si="9"/>
        <v>0</v>
      </c>
      <c r="BH95" s="17"/>
      <c r="BI95" s="17"/>
    </row>
    <row r="96" spans="1:61" s="17" customFormat="1" ht="15.75" hidden="1" customHeight="1">
      <c r="A96" s="101"/>
      <c r="B96" s="114"/>
      <c r="C96" s="116"/>
      <c r="D96" s="118"/>
      <c r="E96" s="157"/>
      <c r="F96" s="116"/>
      <c r="G96" s="120"/>
      <c r="H96" s="109"/>
      <c r="I96" s="90"/>
      <c r="J96" s="90"/>
      <c r="K96" s="20"/>
      <c r="L96" s="20"/>
      <c r="M96" s="20"/>
      <c r="N96" s="97"/>
      <c r="O96" s="21"/>
      <c r="P96" s="27"/>
      <c r="Q96" s="99"/>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5"/>
      <c r="AZ96" s="155"/>
      <c r="BA96" s="155"/>
      <c r="BB96" s="155"/>
      <c r="BC96" s="155"/>
      <c r="BD96" s="155"/>
      <c r="BE96" s="96"/>
      <c r="BF96" s="155"/>
      <c r="BG96" s="155"/>
    </row>
    <row r="97" spans="1:61" s="17" customFormat="1" ht="15.75" hidden="1" customHeight="1">
      <c r="A97" s="102"/>
      <c r="B97" s="115"/>
      <c r="C97" s="117"/>
      <c r="D97" s="119"/>
      <c r="E97" s="117"/>
      <c r="F97" s="117"/>
      <c r="G97" s="121"/>
      <c r="H97" s="95"/>
      <c r="I97" s="95"/>
      <c r="J97" s="95"/>
      <c r="K97" s="22"/>
      <c r="L97" s="18"/>
      <c r="M97" s="18"/>
      <c r="N97" s="98"/>
      <c r="O97" s="19"/>
      <c r="P97" s="22"/>
      <c r="Q97" s="100"/>
      <c r="R97" s="102"/>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6"/>
      <c r="AZ97" s="156"/>
      <c r="BA97" s="156"/>
      <c r="BB97" s="156"/>
      <c r="BC97" s="156"/>
      <c r="BD97" s="156"/>
      <c r="BE97" s="96"/>
      <c r="BF97" s="156"/>
      <c r="BG97" s="156"/>
    </row>
    <row r="98" spans="1:61" s="17" customFormat="1" ht="15.75" hidden="1" customHeight="1">
      <c r="A98" s="101">
        <v>45061</v>
      </c>
      <c r="B98" s="114" t="s">
        <v>37</v>
      </c>
      <c r="C98" s="116"/>
      <c r="D98" s="118"/>
      <c r="E98" s="157"/>
      <c r="F98" s="116"/>
      <c r="G98" s="120"/>
      <c r="H98" s="90"/>
      <c r="I98" s="90"/>
      <c r="J98" s="90"/>
      <c r="K98" s="20"/>
      <c r="L98" s="20"/>
      <c r="M98" s="20"/>
      <c r="N98" s="97" t="e">
        <f>O99/L99</f>
        <v>#DIV/0!</v>
      </c>
      <c r="O98" s="21">
        <f t="shared" ref="O98:O103" si="10">L98-M98</f>
        <v>0</v>
      </c>
      <c r="P98" s="27"/>
      <c r="Q98" s="99">
        <f>+L99-P99</f>
        <v>0</v>
      </c>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f t="shared" si="10"/>
        <v>0</v>
      </c>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row>
    <row r="100" spans="1:61" s="17" customFormat="1" ht="15.75" hidden="1" customHeight="1">
      <c r="A100" s="101">
        <v>44990</v>
      </c>
      <c r="B100" s="114" t="s">
        <v>37</v>
      </c>
      <c r="C100" s="116"/>
      <c r="D100" s="118"/>
      <c r="E100" s="116"/>
      <c r="F100" s="116"/>
      <c r="G100" s="120"/>
      <c r="H100" s="90"/>
      <c r="I100" s="90"/>
      <c r="J100" s="90"/>
      <c r="K100" s="20"/>
      <c r="L100" s="20"/>
      <c r="M100" s="20"/>
      <c r="N100" s="97" t="e">
        <f>O101/L101</f>
        <v>#DIV/0!</v>
      </c>
      <c r="O100" s="21">
        <f t="shared" si="10"/>
        <v>0</v>
      </c>
      <c r="P100" s="27"/>
      <c r="Q100" s="99">
        <f>+L101-P101</f>
        <v>0</v>
      </c>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f t="shared" si="10"/>
        <v>0</v>
      </c>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44990</v>
      </c>
      <c r="B102" s="114" t="s">
        <v>37</v>
      </c>
      <c r="C102" s="116"/>
      <c r="D102" s="118"/>
      <c r="E102" s="116"/>
      <c r="F102" s="116"/>
      <c r="G102" s="120"/>
      <c r="H102" s="90"/>
      <c r="I102" s="90"/>
      <c r="J102" s="90"/>
      <c r="K102" s="20"/>
      <c r="L102" s="20"/>
      <c r="M102" s="20"/>
      <c r="N102" s="97" t="e">
        <f>O103/L103</f>
        <v>#DIV/0!</v>
      </c>
      <c r="O102" s="21">
        <f t="shared" si="10"/>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c r="BH103" s="1"/>
      <c r="BI103" s="1"/>
    </row>
    <row r="104" spans="1:61" ht="24.75" hidden="1" customHeight="1">
      <c r="A104" s="111" t="s">
        <v>46</v>
      </c>
      <c r="B104" s="112"/>
      <c r="C104" s="112"/>
      <c r="D104" s="112"/>
      <c r="E104" s="112"/>
      <c r="F104" s="112"/>
      <c r="G104" s="112"/>
      <c r="H104" s="112"/>
      <c r="I104" s="113"/>
      <c r="J104" s="5">
        <f>SUM(J96:J103)</f>
        <v>0</v>
      </c>
      <c r="K104" s="5">
        <f>+SUMPRODUCT(((MOD(ROW(K96:K103),2)=0)*(K96:K103)))</f>
        <v>0</v>
      </c>
      <c r="L104" s="5">
        <f>+SUMPRODUCT(((MOD(ROW(L96:L103),2)=0)*(L96:L103)))</f>
        <v>0</v>
      </c>
      <c r="M104" s="5">
        <f>+SUMPRODUCT(((MOD(ROW(M96:M103),2)=0)*(M96:M103)))</f>
        <v>0</v>
      </c>
      <c r="N104" s="6" t="e">
        <f>O104/L104</f>
        <v>#DIV/0!</v>
      </c>
      <c r="O104" s="5">
        <f>+SUMPRODUCT(((MOD(ROW(O96:O103),2)=0)*(O96:O103)))</f>
        <v>0</v>
      </c>
      <c r="P104" s="5">
        <f>+SUMPRODUCT(((MOD(ROW(P96:P103),2)=0)*(P96:P103)))</f>
        <v>0</v>
      </c>
      <c r="Q104" s="29">
        <f>SUM(Q96:Q103)</f>
        <v>0</v>
      </c>
      <c r="R104" s="29"/>
      <c r="S104" s="29">
        <f t="shared" ref="S104:BG104" si="11">SUM(S96:S103)</f>
        <v>0</v>
      </c>
      <c r="T104" s="29">
        <f t="shared" si="11"/>
        <v>0</v>
      </c>
      <c r="U104" s="29">
        <f t="shared" si="11"/>
        <v>0</v>
      </c>
      <c r="V104" s="29">
        <f t="shared" si="11"/>
        <v>0</v>
      </c>
      <c r="W104" s="29">
        <f t="shared" si="11"/>
        <v>0</v>
      </c>
      <c r="X104" s="29">
        <f t="shared" si="11"/>
        <v>0</v>
      </c>
      <c r="Y104" s="29">
        <f t="shared" si="11"/>
        <v>0</v>
      </c>
      <c r="Z104" s="29">
        <f t="shared" si="11"/>
        <v>0</v>
      </c>
      <c r="AA104" s="29">
        <f t="shared" si="11"/>
        <v>0</v>
      </c>
      <c r="AB104" s="29">
        <f t="shared" si="11"/>
        <v>0</v>
      </c>
      <c r="AC104" s="29">
        <f t="shared" si="11"/>
        <v>0</v>
      </c>
      <c r="AD104" s="29">
        <f t="shared" si="11"/>
        <v>0</v>
      </c>
      <c r="AE104" s="29">
        <f t="shared" si="11"/>
        <v>0</v>
      </c>
      <c r="AF104" s="29">
        <f t="shared" si="11"/>
        <v>0</v>
      </c>
      <c r="AG104" s="29">
        <f t="shared" si="11"/>
        <v>0</v>
      </c>
      <c r="AH104" s="29">
        <f t="shared" si="11"/>
        <v>0</v>
      </c>
      <c r="AI104" s="29">
        <f t="shared" si="11"/>
        <v>0</v>
      </c>
      <c r="AJ104" s="29">
        <f t="shared" si="11"/>
        <v>0</v>
      </c>
      <c r="AK104" s="29">
        <f t="shared" si="11"/>
        <v>0</v>
      </c>
      <c r="AL104" s="29">
        <f t="shared" si="11"/>
        <v>0</v>
      </c>
      <c r="AM104" s="29">
        <f t="shared" si="11"/>
        <v>0</v>
      </c>
      <c r="AN104" s="29">
        <f t="shared" si="11"/>
        <v>0</v>
      </c>
      <c r="AO104" s="29">
        <f t="shared" si="11"/>
        <v>0</v>
      </c>
      <c r="AP104" s="29">
        <f t="shared" si="11"/>
        <v>0</v>
      </c>
      <c r="AQ104" s="29">
        <f t="shared" si="11"/>
        <v>0</v>
      </c>
      <c r="AR104" s="29">
        <f t="shared" si="11"/>
        <v>0</v>
      </c>
      <c r="AS104" s="29">
        <f t="shared" si="11"/>
        <v>0</v>
      </c>
      <c r="AT104" s="29">
        <f t="shared" si="11"/>
        <v>0</v>
      </c>
      <c r="AU104" s="29">
        <f t="shared" si="11"/>
        <v>0</v>
      </c>
      <c r="AV104" s="29">
        <f t="shared" si="11"/>
        <v>0</v>
      </c>
      <c r="AW104" s="29">
        <f t="shared" si="11"/>
        <v>0</v>
      </c>
      <c r="AX104" s="29">
        <f t="shared" si="11"/>
        <v>0</v>
      </c>
      <c r="AY104" s="29">
        <f t="shared" si="11"/>
        <v>0</v>
      </c>
      <c r="AZ104" s="29">
        <f t="shared" si="11"/>
        <v>0</v>
      </c>
      <c r="BA104" s="29">
        <f t="shared" si="11"/>
        <v>0</v>
      </c>
      <c r="BB104" s="29">
        <f t="shared" si="11"/>
        <v>0</v>
      </c>
      <c r="BC104" s="29">
        <f t="shared" si="11"/>
        <v>0</v>
      </c>
      <c r="BD104" s="29">
        <f t="shared" si="11"/>
        <v>0</v>
      </c>
      <c r="BE104" s="29">
        <f t="shared" si="11"/>
        <v>0</v>
      </c>
      <c r="BF104" s="29">
        <f t="shared" si="11"/>
        <v>0</v>
      </c>
      <c r="BG104" s="29">
        <f t="shared" si="11"/>
        <v>0</v>
      </c>
    </row>
    <row r="105" spans="1:61" ht="24.75" customHeight="1">
      <c r="A105" s="122" t="s">
        <v>5</v>
      </c>
      <c r="B105" s="122"/>
      <c r="C105" s="122"/>
      <c r="D105" s="122"/>
      <c r="E105" s="122"/>
      <c r="F105" s="122"/>
      <c r="G105" s="122"/>
      <c r="H105" s="122"/>
      <c r="I105" s="122"/>
      <c r="J105" s="4">
        <f>J75+J86+J95+J104</f>
        <v>4097</v>
      </c>
      <c r="K105" s="4">
        <f>K75+K86+K95+K104</f>
        <v>230</v>
      </c>
      <c r="L105" s="4">
        <f>L75+L86+L95+L104</f>
        <v>60</v>
      </c>
      <c r="M105" s="4">
        <f>M75+M86+M95+M104</f>
        <v>34</v>
      </c>
      <c r="N105" s="33">
        <f>O105/L105</f>
        <v>0.43333333333333335</v>
      </c>
      <c r="O105" s="4">
        <f>O75+O86+O95+O104</f>
        <v>26</v>
      </c>
      <c r="P105" s="31">
        <f>P75+P86+P95+P104</f>
        <v>34</v>
      </c>
      <c r="Q105" s="31">
        <f>Q75+Q86+Q95+Q104</f>
        <v>66</v>
      </c>
      <c r="R105" s="4"/>
      <c r="S105" s="31">
        <f t="shared" ref="S105:BG105" si="12">S75+S86+S95+S104</f>
        <v>6</v>
      </c>
      <c r="T105" s="31">
        <f t="shared" si="12"/>
        <v>0</v>
      </c>
      <c r="U105" s="31">
        <f t="shared" si="12"/>
        <v>0</v>
      </c>
      <c r="V105" s="31">
        <f t="shared" si="12"/>
        <v>0</v>
      </c>
      <c r="W105" s="31">
        <f t="shared" si="12"/>
        <v>0</v>
      </c>
      <c r="X105" s="31">
        <f t="shared" si="12"/>
        <v>0</v>
      </c>
      <c r="Y105" s="31">
        <f t="shared" si="12"/>
        <v>0</v>
      </c>
      <c r="Z105" s="31">
        <f t="shared" si="12"/>
        <v>0</v>
      </c>
      <c r="AA105" s="31">
        <f t="shared" si="12"/>
        <v>0</v>
      </c>
      <c r="AB105" s="31">
        <f t="shared" si="12"/>
        <v>0</v>
      </c>
      <c r="AC105" s="31">
        <f t="shared" si="12"/>
        <v>10</v>
      </c>
      <c r="AD105" s="31">
        <f t="shared" si="12"/>
        <v>0</v>
      </c>
      <c r="AE105" s="31">
        <f t="shared" si="12"/>
        <v>0</v>
      </c>
      <c r="AF105" s="31">
        <f t="shared" si="12"/>
        <v>0</v>
      </c>
      <c r="AG105" s="31">
        <f t="shared" si="12"/>
        <v>0</v>
      </c>
      <c r="AH105" s="31">
        <f t="shared" si="12"/>
        <v>0</v>
      </c>
      <c r="AI105" s="31">
        <f t="shared" si="12"/>
        <v>0</v>
      </c>
      <c r="AJ105" s="31">
        <f t="shared" si="12"/>
        <v>0</v>
      </c>
      <c r="AK105" s="31">
        <f t="shared" si="12"/>
        <v>0</v>
      </c>
      <c r="AL105" s="31">
        <f t="shared" si="12"/>
        <v>10</v>
      </c>
      <c r="AM105" s="31">
        <f t="shared" si="12"/>
        <v>0</v>
      </c>
      <c r="AN105" s="31">
        <f t="shared" si="12"/>
        <v>0</v>
      </c>
      <c r="AO105" s="31">
        <f t="shared" si="12"/>
        <v>0</v>
      </c>
      <c r="AP105" s="31">
        <f t="shared" si="12"/>
        <v>0</v>
      </c>
      <c r="AQ105" s="31">
        <f t="shared" si="12"/>
        <v>0</v>
      </c>
      <c r="AR105" s="31">
        <f t="shared" si="12"/>
        <v>0</v>
      </c>
      <c r="AS105" s="31">
        <f t="shared" si="12"/>
        <v>0</v>
      </c>
      <c r="AT105" s="31">
        <f t="shared" si="12"/>
        <v>0</v>
      </c>
      <c r="AU105" s="31">
        <f t="shared" si="12"/>
        <v>0</v>
      </c>
      <c r="AV105" s="31">
        <f t="shared" si="12"/>
        <v>0</v>
      </c>
      <c r="AW105" s="31">
        <f t="shared" si="12"/>
        <v>0</v>
      </c>
      <c r="AX105" s="31">
        <f t="shared" si="12"/>
        <v>0</v>
      </c>
      <c r="AY105" s="31">
        <f t="shared" si="12"/>
        <v>0</v>
      </c>
      <c r="AZ105" s="31">
        <f t="shared" si="12"/>
        <v>0</v>
      </c>
      <c r="BA105" s="31">
        <f t="shared" si="12"/>
        <v>0</v>
      </c>
      <c r="BB105" s="31">
        <f t="shared" si="12"/>
        <v>0</v>
      </c>
      <c r="BC105" s="31">
        <f t="shared" si="12"/>
        <v>0</v>
      </c>
      <c r="BD105" s="31">
        <f t="shared" si="12"/>
        <v>0</v>
      </c>
      <c r="BE105" s="31">
        <f t="shared" si="12"/>
        <v>0</v>
      </c>
      <c r="BF105" s="31">
        <f t="shared" si="12"/>
        <v>0</v>
      </c>
      <c r="BG105" s="31">
        <f t="shared" si="12"/>
        <v>0</v>
      </c>
    </row>
    <row r="108" spans="1:61" s="25" customFormat="1" ht="35.25" customHeight="1">
      <c r="A108" s="2"/>
      <c r="B108" s="2"/>
      <c r="C108" s="2"/>
      <c r="D108" s="1"/>
      <c r="E108" s="1"/>
      <c r="F108" s="1"/>
      <c r="G108" s="1"/>
      <c r="H108" s="1"/>
      <c r="I108" s="1"/>
      <c r="J108" s="1"/>
      <c r="K108" s="35"/>
      <c r="L108" s="35"/>
      <c r="M108" s="35"/>
      <c r="N108" s="35"/>
      <c r="O108" s="35"/>
      <c r="P108" s="35"/>
      <c r="Q108" s="36"/>
      <c r="S108" s="8"/>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row>
    <row r="111" spans="1:61" s="25" customFormat="1" ht="33" customHeight="1">
      <c r="A111" s="2"/>
      <c r="B111" s="2"/>
      <c r="C111" s="2"/>
      <c r="D111" s="1"/>
      <c r="E111" s="1"/>
      <c r="F111" s="1"/>
      <c r="G111" s="1"/>
      <c r="H111" s="1"/>
      <c r="I111" s="1"/>
      <c r="J111" s="1"/>
      <c r="K111" s="1"/>
      <c r="L111" s="1"/>
      <c r="M111" s="1"/>
      <c r="N111" s="1"/>
      <c r="O111" s="1"/>
      <c r="S111" s="8"/>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row>
  </sheetData>
  <mergeCells count="2471">
    <mergeCell ref="BE102:BE103"/>
    <mergeCell ref="BF102:BF103"/>
    <mergeCell ref="BG102:BG103"/>
    <mergeCell ref="A104:I104"/>
    <mergeCell ref="A105:I105"/>
    <mergeCell ref="AY102:AY103"/>
    <mergeCell ref="AZ102:AZ103"/>
    <mergeCell ref="BA102:BA103"/>
    <mergeCell ref="BB102:BB103"/>
    <mergeCell ref="BE100:BE101"/>
    <mergeCell ref="BF100:BF101"/>
    <mergeCell ref="BG100:BG101"/>
    <mergeCell ref="A102:A103"/>
    <mergeCell ref="B102:B103"/>
    <mergeCell ref="C102:C103"/>
    <mergeCell ref="D102:D103"/>
    <mergeCell ref="E102:E103"/>
    <mergeCell ref="F102:F103"/>
    <mergeCell ref="G102:G103"/>
    <mergeCell ref="H102:H103"/>
    <mergeCell ref="I102:I103"/>
    <mergeCell ref="J102:J103"/>
    <mergeCell ref="N102:N103"/>
    <mergeCell ref="Q102:Q103"/>
    <mergeCell ref="R102:R103"/>
    <mergeCell ref="S102:S103"/>
    <mergeCell ref="T102:T103"/>
    <mergeCell ref="AB102:AB103"/>
    <mergeCell ref="U102:U103"/>
    <mergeCell ref="V102:V103"/>
    <mergeCell ref="W102:W103"/>
    <mergeCell ref="X102:X103"/>
    <mergeCell ref="Y102:Y103"/>
    <mergeCell ref="Z102:Z103"/>
    <mergeCell ref="AA102:AA103"/>
    <mergeCell ref="AT100:AT101"/>
    <mergeCell ref="AI100:AI101"/>
    <mergeCell ref="BC102:BC103"/>
    <mergeCell ref="BD102:BD103"/>
    <mergeCell ref="AS102:AS103"/>
    <mergeCell ref="AT102:AT103"/>
    <mergeCell ref="AC102:AC103"/>
    <mergeCell ref="AG102:AG103"/>
    <mergeCell ref="AH102:AH103"/>
    <mergeCell ref="AI102:AI103"/>
    <mergeCell ref="AJ102:AJ103"/>
    <mergeCell ref="AK102:AK103"/>
    <mergeCell ref="AL102:AL103"/>
    <mergeCell ref="AM102:AM103"/>
    <mergeCell ref="AN102:AN103"/>
    <mergeCell ref="AO102:AO103"/>
    <mergeCell ref="AP102:AP103"/>
    <mergeCell ref="AQ102:AQ103"/>
    <mergeCell ref="AR102:AR103"/>
    <mergeCell ref="BA100:BA101"/>
    <mergeCell ref="BB100:BB101"/>
    <mergeCell ref="BC100:BC101"/>
    <mergeCell ref="BD100:BD101"/>
    <mergeCell ref="AU102:AU103"/>
    <mergeCell ref="AV102:AV103"/>
    <mergeCell ref="AW102:AW103"/>
    <mergeCell ref="AX102:AX103"/>
    <mergeCell ref="AD102:AD103"/>
    <mergeCell ref="AE102:AE103"/>
    <mergeCell ref="AF102:AF103"/>
    <mergeCell ref="AY100:AY101"/>
    <mergeCell ref="AZ100:AZ101"/>
    <mergeCell ref="AO100:AO101"/>
    <mergeCell ref="AP100:AP101"/>
    <mergeCell ref="AQ100:AQ101"/>
    <mergeCell ref="AR100:AR101"/>
    <mergeCell ref="AS100:AS101"/>
    <mergeCell ref="Q100:Q101"/>
    <mergeCell ref="R100:R101"/>
    <mergeCell ref="S100:S101"/>
    <mergeCell ref="T100:T101"/>
    <mergeCell ref="U100:U101"/>
    <mergeCell ref="V100:V101"/>
    <mergeCell ref="W100:W101"/>
    <mergeCell ref="X100:X101"/>
    <mergeCell ref="Y100:Y101"/>
    <mergeCell ref="Z100:Z101"/>
    <mergeCell ref="AA100:AA101"/>
    <mergeCell ref="AB100:AB101"/>
    <mergeCell ref="AE100:AE101"/>
    <mergeCell ref="AF100:AF101"/>
    <mergeCell ref="AG100:AG101"/>
    <mergeCell ref="AH100:AH101"/>
    <mergeCell ref="AJ100:AJ101"/>
    <mergeCell ref="AK100:AK101"/>
    <mergeCell ref="AL100:AL101"/>
    <mergeCell ref="AM100:AM101"/>
    <mergeCell ref="AN100:AN101"/>
    <mergeCell ref="AV100:AV101"/>
    <mergeCell ref="AW100:AW101"/>
    <mergeCell ref="AX100:AX101"/>
    <mergeCell ref="AU100:AU101"/>
    <mergeCell ref="Y98:Y99"/>
    <mergeCell ref="Z98:Z99"/>
    <mergeCell ref="AA98:AA99"/>
    <mergeCell ref="AB98:AB99"/>
    <mergeCell ref="AC98:AC99"/>
    <mergeCell ref="AK98:AK99"/>
    <mergeCell ref="AL98:AL99"/>
    <mergeCell ref="AM98:AM99"/>
    <mergeCell ref="AN98:AN99"/>
    <mergeCell ref="AC100:AC101"/>
    <mergeCell ref="AD100:AD101"/>
    <mergeCell ref="AO98:AO99"/>
    <mergeCell ref="AP98:AP99"/>
    <mergeCell ref="AQ98:AQ99"/>
    <mergeCell ref="AR98:AR99"/>
    <mergeCell ref="AS98:AS99"/>
    <mergeCell ref="AT98:AT99"/>
    <mergeCell ref="AD98:AD99"/>
    <mergeCell ref="AE98:AE99"/>
    <mergeCell ref="AF98:AF99"/>
    <mergeCell ref="AG98:AG99"/>
    <mergeCell ref="AH98:AH99"/>
    <mergeCell ref="AI98:AI99"/>
    <mergeCell ref="AJ98:AJ99"/>
    <mergeCell ref="A100:A101"/>
    <mergeCell ref="B100:B101"/>
    <mergeCell ref="C100:C101"/>
    <mergeCell ref="D100:D101"/>
    <mergeCell ref="E100:E101"/>
    <mergeCell ref="F100:F101"/>
    <mergeCell ref="G100:G101"/>
    <mergeCell ref="H100:H101"/>
    <mergeCell ref="I100:I101"/>
    <mergeCell ref="J100:J101"/>
    <mergeCell ref="N100:N101"/>
    <mergeCell ref="S98:S99"/>
    <mergeCell ref="T98:T99"/>
    <mergeCell ref="U98:U99"/>
    <mergeCell ref="V98:V99"/>
    <mergeCell ref="W98:W99"/>
    <mergeCell ref="X98:X99"/>
    <mergeCell ref="AT96:AT97"/>
    <mergeCell ref="AU96:AU97"/>
    <mergeCell ref="AV96:AV97"/>
    <mergeCell ref="AW96:AW97"/>
    <mergeCell ref="AX96:AX97"/>
    <mergeCell ref="AY96:AY97"/>
    <mergeCell ref="AZ96:AZ97"/>
    <mergeCell ref="BA96:BA97"/>
    <mergeCell ref="BB96:BB97"/>
    <mergeCell ref="BC96:BC97"/>
    <mergeCell ref="AX98:AX99"/>
    <mergeCell ref="AY98:AY99"/>
    <mergeCell ref="AZ98:AZ99"/>
    <mergeCell ref="BA98:BA99"/>
    <mergeCell ref="BB98:BB99"/>
    <mergeCell ref="BC98:BC99"/>
    <mergeCell ref="BG98:BG99"/>
    <mergeCell ref="AU98:AU99"/>
    <mergeCell ref="AV98:AV99"/>
    <mergeCell ref="AW98:AW99"/>
    <mergeCell ref="BD98:BD99"/>
    <mergeCell ref="BE98:BE99"/>
    <mergeCell ref="BF98:BF99"/>
    <mergeCell ref="BB93:BB94"/>
    <mergeCell ref="AJ93:AJ94"/>
    <mergeCell ref="AK93:AK94"/>
    <mergeCell ref="AL93:AL94"/>
    <mergeCell ref="AM93:AM94"/>
    <mergeCell ref="AN93:AN94"/>
    <mergeCell ref="AO93:AO94"/>
    <mergeCell ref="BD96:BD97"/>
    <mergeCell ref="BE96:BE97"/>
    <mergeCell ref="BF96:BF97"/>
    <mergeCell ref="BG96:BG97"/>
    <mergeCell ref="A98:A99"/>
    <mergeCell ref="B98:B99"/>
    <mergeCell ref="C98:C99"/>
    <mergeCell ref="D98:D99"/>
    <mergeCell ref="E98:E99"/>
    <mergeCell ref="F98:F99"/>
    <mergeCell ref="G98:G99"/>
    <mergeCell ref="H98:H99"/>
    <mergeCell ref="I98:I99"/>
    <mergeCell ref="J98:J99"/>
    <mergeCell ref="N98:N99"/>
    <mergeCell ref="Q98:Q99"/>
    <mergeCell ref="R98:R99"/>
    <mergeCell ref="U96:U97"/>
    <mergeCell ref="V96:V97"/>
    <mergeCell ref="W96:W97"/>
    <mergeCell ref="X96:X97"/>
    <mergeCell ref="Y96:Y97"/>
    <mergeCell ref="Z96:Z97"/>
    <mergeCell ref="AA96:AA97"/>
    <mergeCell ref="AB96:AB97"/>
    <mergeCell ref="BA93:BA94"/>
    <mergeCell ref="AP93:AP94"/>
    <mergeCell ref="AQ93:AQ94"/>
    <mergeCell ref="AR93:AR94"/>
    <mergeCell ref="AS93:AS94"/>
    <mergeCell ref="AT93:AT94"/>
    <mergeCell ref="AU93:AU94"/>
    <mergeCell ref="Y93:Y94"/>
    <mergeCell ref="Z93:Z94"/>
    <mergeCell ref="AQ96:AQ97"/>
    <mergeCell ref="AR96:AR97"/>
    <mergeCell ref="AG96:AG97"/>
    <mergeCell ref="AH96:AH97"/>
    <mergeCell ref="AI96:AI97"/>
    <mergeCell ref="AJ96:AJ97"/>
    <mergeCell ref="AK96:AK97"/>
    <mergeCell ref="AL96:AL97"/>
    <mergeCell ref="AD93:AD94"/>
    <mergeCell ref="AE93:AE94"/>
    <mergeCell ref="AF93:AF94"/>
    <mergeCell ref="AG93:AG94"/>
    <mergeCell ref="AH93:AH94"/>
    <mergeCell ref="AI93:AI94"/>
    <mergeCell ref="AC96:AC97"/>
    <mergeCell ref="AD96:AD97"/>
    <mergeCell ref="AE96:AE97"/>
    <mergeCell ref="AF96:AF97"/>
    <mergeCell ref="AM96:AM97"/>
    <mergeCell ref="AN96:AN97"/>
    <mergeCell ref="AO96:AO97"/>
    <mergeCell ref="AP96:AP97"/>
    <mergeCell ref="AS96:AS97"/>
    <mergeCell ref="X93:X94"/>
    <mergeCell ref="A95:I95"/>
    <mergeCell ref="A96:A97"/>
    <mergeCell ref="B96:B97"/>
    <mergeCell ref="C96:C97"/>
    <mergeCell ref="D96:D97"/>
    <mergeCell ref="E96:E97"/>
    <mergeCell ref="F96:F97"/>
    <mergeCell ref="G96:G97"/>
    <mergeCell ref="H96:H97"/>
    <mergeCell ref="I96:I97"/>
    <mergeCell ref="J96:J97"/>
    <mergeCell ref="N96:N97"/>
    <mergeCell ref="Q96:Q97"/>
    <mergeCell ref="R96:R97"/>
    <mergeCell ref="S96:S97"/>
    <mergeCell ref="T96:T97"/>
    <mergeCell ref="BF91:BF92"/>
    <mergeCell ref="BC93:BC94"/>
    <mergeCell ref="BD93:BD94"/>
    <mergeCell ref="BE93:BE94"/>
    <mergeCell ref="BF93:BF94"/>
    <mergeCell ref="BG93:BG94"/>
    <mergeCell ref="AV93:AV94"/>
    <mergeCell ref="AW93:AW94"/>
    <mergeCell ref="AX93:AX94"/>
    <mergeCell ref="AY93:AY94"/>
    <mergeCell ref="AZ93:AZ94"/>
    <mergeCell ref="A93:A94"/>
    <mergeCell ref="B93:B94"/>
    <mergeCell ref="C93:C94"/>
    <mergeCell ref="D93:D94"/>
    <mergeCell ref="E93:E94"/>
    <mergeCell ref="F93:F94"/>
    <mergeCell ref="G93:G94"/>
    <mergeCell ref="H93:H94"/>
    <mergeCell ref="I93:I94"/>
    <mergeCell ref="J93:J94"/>
    <mergeCell ref="N93:N94"/>
    <mergeCell ref="Q93:Q94"/>
    <mergeCell ref="AA93:AA94"/>
    <mergeCell ref="AB93:AB94"/>
    <mergeCell ref="AC93:AC94"/>
    <mergeCell ref="R93:R94"/>
    <mergeCell ref="S93:S94"/>
    <mergeCell ref="T93:T94"/>
    <mergeCell ref="U93:U94"/>
    <mergeCell ref="V93:V94"/>
    <mergeCell ref="W93:W94"/>
    <mergeCell ref="BG91:BG92"/>
    <mergeCell ref="X91:X92"/>
    <mergeCell ref="Y91:Y92"/>
    <mergeCell ref="Z91:Z92"/>
    <mergeCell ref="AA91:AA92"/>
    <mergeCell ref="AB91:AB92"/>
    <mergeCell ref="AC91:AC92"/>
    <mergeCell ref="AD91:AD92"/>
    <mergeCell ref="AE91:AE92"/>
    <mergeCell ref="AF91:AF92"/>
    <mergeCell ref="AG91:AG92"/>
    <mergeCell ref="AH91:AH92"/>
    <mergeCell ref="AI91:AI92"/>
    <mergeCell ref="AJ91:AJ92"/>
    <mergeCell ref="AK91:AK92"/>
    <mergeCell ref="AL91:AL92"/>
    <mergeCell ref="AM91:AM92"/>
    <mergeCell ref="AN91:AN92"/>
    <mergeCell ref="AO91:AO92"/>
    <mergeCell ref="AP91:AP92"/>
    <mergeCell ref="AQ91:AQ92"/>
    <mergeCell ref="AR91:AR92"/>
    <mergeCell ref="AS91:AS92"/>
    <mergeCell ref="AT91:AT92"/>
    <mergeCell ref="AU91:AU92"/>
    <mergeCell ref="AV91:AV92"/>
    <mergeCell ref="AW91:AW92"/>
    <mergeCell ref="AX91:AX92"/>
    <mergeCell ref="AY91:AY92"/>
    <mergeCell ref="AZ91:AZ92"/>
    <mergeCell ref="BA91:BA92"/>
    <mergeCell ref="BB91:BB92"/>
    <mergeCell ref="A91:A92"/>
    <mergeCell ref="B91:B92"/>
    <mergeCell ref="C91:C92"/>
    <mergeCell ref="D91:D92"/>
    <mergeCell ref="E91:E92"/>
    <mergeCell ref="F91:F92"/>
    <mergeCell ref="G91:G92"/>
    <mergeCell ref="H91:H92"/>
    <mergeCell ref="I91:I92"/>
    <mergeCell ref="J91:J92"/>
    <mergeCell ref="N91:N92"/>
    <mergeCell ref="Q91:Q92"/>
    <mergeCell ref="R91:R92"/>
    <mergeCell ref="S91:S92"/>
    <mergeCell ref="T91:T92"/>
    <mergeCell ref="U91:U92"/>
    <mergeCell ref="V91:V92"/>
    <mergeCell ref="W91:W92"/>
    <mergeCell ref="AP89:AP90"/>
    <mergeCell ref="AQ89:AQ90"/>
    <mergeCell ref="AR89:AR90"/>
    <mergeCell ref="AS89:AS90"/>
    <mergeCell ref="AT89:AT90"/>
    <mergeCell ref="AU89:AU90"/>
    <mergeCell ref="AV89:AV90"/>
    <mergeCell ref="AW89:AW90"/>
    <mergeCell ref="AX89:AX90"/>
    <mergeCell ref="AY89:AY90"/>
    <mergeCell ref="AZ89:AZ90"/>
    <mergeCell ref="BA89:BA90"/>
    <mergeCell ref="BB89:BB90"/>
    <mergeCell ref="BC89:BC90"/>
    <mergeCell ref="BD89:BD90"/>
    <mergeCell ref="BE89:BE90"/>
    <mergeCell ref="W89:W90"/>
    <mergeCell ref="BC91:BC92"/>
    <mergeCell ref="BD91:BD92"/>
    <mergeCell ref="BE91:BE92"/>
    <mergeCell ref="BG89:BG90"/>
    <mergeCell ref="X89:X90"/>
    <mergeCell ref="Y89:Y90"/>
    <mergeCell ref="Z89:Z90"/>
    <mergeCell ref="AA89:AA90"/>
    <mergeCell ref="AB89:AB90"/>
    <mergeCell ref="AC89:AC90"/>
    <mergeCell ref="AD89:AD90"/>
    <mergeCell ref="AE89:AE90"/>
    <mergeCell ref="AF89:AF90"/>
    <mergeCell ref="AG89:AG90"/>
    <mergeCell ref="AH89:AH90"/>
    <mergeCell ref="AI89:AI90"/>
    <mergeCell ref="AJ89:AJ90"/>
    <mergeCell ref="AK89:AK90"/>
    <mergeCell ref="AL89:AL90"/>
    <mergeCell ref="AM89:AM90"/>
    <mergeCell ref="AN89:AN90"/>
    <mergeCell ref="AO89:AO90"/>
    <mergeCell ref="BF87:BF88"/>
    <mergeCell ref="A89:A90"/>
    <mergeCell ref="B89:B90"/>
    <mergeCell ref="C89:C90"/>
    <mergeCell ref="D89:D90"/>
    <mergeCell ref="E89:E90"/>
    <mergeCell ref="F89:F90"/>
    <mergeCell ref="G89:G90"/>
    <mergeCell ref="H89:H90"/>
    <mergeCell ref="I89:I90"/>
    <mergeCell ref="J89:J90"/>
    <mergeCell ref="N89:N90"/>
    <mergeCell ref="Q89:Q90"/>
    <mergeCell ref="R89:R90"/>
    <mergeCell ref="S89:S90"/>
    <mergeCell ref="T89:T90"/>
    <mergeCell ref="U89:U90"/>
    <mergeCell ref="V89:V90"/>
    <mergeCell ref="BF89:BF90"/>
    <mergeCell ref="A87:A88"/>
    <mergeCell ref="B87:B88"/>
    <mergeCell ref="C87:C88"/>
    <mergeCell ref="D87:D88"/>
    <mergeCell ref="E87:E88"/>
    <mergeCell ref="F87:F88"/>
    <mergeCell ref="G87:G88"/>
    <mergeCell ref="H87:H88"/>
    <mergeCell ref="I87:I88"/>
    <mergeCell ref="J87:J88"/>
    <mergeCell ref="N87:N88"/>
    <mergeCell ref="Q87:Q88"/>
    <mergeCell ref="R87:R88"/>
    <mergeCell ref="BG87:BG88"/>
    <mergeCell ref="X87:X88"/>
    <mergeCell ref="Y87:Y88"/>
    <mergeCell ref="Z87:Z88"/>
    <mergeCell ref="AA87:AA88"/>
    <mergeCell ref="AB87:AB88"/>
    <mergeCell ref="AC87:AC88"/>
    <mergeCell ref="AD87:AD88"/>
    <mergeCell ref="AE87:AE88"/>
    <mergeCell ref="AF87:AF88"/>
    <mergeCell ref="AG87:AG88"/>
    <mergeCell ref="AH87:AH88"/>
    <mergeCell ref="AI87:AI88"/>
    <mergeCell ref="AJ87:AJ88"/>
    <mergeCell ref="AK87:AK88"/>
    <mergeCell ref="AL87:AL88"/>
    <mergeCell ref="AM87:AM88"/>
    <mergeCell ref="AN87:AN88"/>
    <mergeCell ref="AO87:AO88"/>
    <mergeCell ref="AP87:AP88"/>
    <mergeCell ref="AQ87:AQ88"/>
    <mergeCell ref="AR87:AR88"/>
    <mergeCell ref="AS87:AS88"/>
    <mergeCell ref="AT87:AT88"/>
    <mergeCell ref="AU87:AU88"/>
    <mergeCell ref="AV87:AV88"/>
    <mergeCell ref="AW87:AW88"/>
    <mergeCell ref="AX87:AX88"/>
    <mergeCell ref="AY87:AY88"/>
    <mergeCell ref="AZ87:AZ88"/>
    <mergeCell ref="BA87:BA88"/>
    <mergeCell ref="BB87:BB88"/>
    <mergeCell ref="T87:T88"/>
    <mergeCell ref="U87:U88"/>
    <mergeCell ref="V87:V88"/>
    <mergeCell ref="W87:W88"/>
    <mergeCell ref="AF84:AF85"/>
    <mergeCell ref="AG84:AG85"/>
    <mergeCell ref="AH84:AH85"/>
    <mergeCell ref="AI84:AI85"/>
    <mergeCell ref="AJ84:AJ85"/>
    <mergeCell ref="Y84:Y85"/>
    <mergeCell ref="Z84:Z85"/>
    <mergeCell ref="AU84:AU85"/>
    <mergeCell ref="AV84:AV85"/>
    <mergeCell ref="AK84:AK85"/>
    <mergeCell ref="AL84:AL85"/>
    <mergeCell ref="AM84:AM85"/>
    <mergeCell ref="AN84:AN85"/>
    <mergeCell ref="AO84:AO85"/>
    <mergeCell ref="AP84:AP85"/>
    <mergeCell ref="BC87:BC88"/>
    <mergeCell ref="BD87:BD88"/>
    <mergeCell ref="BE87:BE88"/>
    <mergeCell ref="BF84:BF85"/>
    <mergeCell ref="BG84:BG85"/>
    <mergeCell ref="A86:I86"/>
    <mergeCell ref="AW84:AW85"/>
    <mergeCell ref="AX84:AX85"/>
    <mergeCell ref="AY84:AY85"/>
    <mergeCell ref="AZ84:AZ85"/>
    <mergeCell ref="BA84:BA85"/>
    <mergeCell ref="BB84:BB85"/>
    <mergeCell ref="Y82:Y83"/>
    <mergeCell ref="Z82:Z83"/>
    <mergeCell ref="J82:J83"/>
    <mergeCell ref="N82:N83"/>
    <mergeCell ref="BC84:BC85"/>
    <mergeCell ref="BD84:BD85"/>
    <mergeCell ref="AQ84:AQ85"/>
    <mergeCell ref="AR84:AR85"/>
    <mergeCell ref="AS84:AS85"/>
    <mergeCell ref="AT84:AT85"/>
    <mergeCell ref="BE82:BE83"/>
    <mergeCell ref="AL82:AL83"/>
    <mergeCell ref="AA82:AA83"/>
    <mergeCell ref="AB82:AB83"/>
    <mergeCell ref="AC82:AC83"/>
    <mergeCell ref="AD82:AD83"/>
    <mergeCell ref="AE82:AE83"/>
    <mergeCell ref="AF82:AF83"/>
    <mergeCell ref="H84:H85"/>
    <mergeCell ref="S87:S88"/>
    <mergeCell ref="BF82:BF83"/>
    <mergeCell ref="I84:I85"/>
    <mergeCell ref="J84:J85"/>
    <mergeCell ref="N84:N85"/>
    <mergeCell ref="Q84:Q85"/>
    <mergeCell ref="R84:R85"/>
    <mergeCell ref="S84:S85"/>
    <mergeCell ref="T84:T85"/>
    <mergeCell ref="U84:U85"/>
    <mergeCell ref="V84:V85"/>
    <mergeCell ref="W84:W85"/>
    <mergeCell ref="X84:X85"/>
    <mergeCell ref="AG82:AG83"/>
    <mergeCell ref="AH82:AH83"/>
    <mergeCell ref="AI82:AI83"/>
    <mergeCell ref="AJ82:AJ83"/>
    <mergeCell ref="AK82:AK83"/>
    <mergeCell ref="AA84:AA85"/>
    <mergeCell ref="AB84:AB85"/>
    <mergeCell ref="AC84:AC85"/>
    <mergeCell ref="AD84:AD85"/>
    <mergeCell ref="AE84:AE85"/>
    <mergeCell ref="BE84:BE85"/>
    <mergeCell ref="AM82:AM83"/>
    <mergeCell ref="AN82:AN83"/>
    <mergeCell ref="AO82:AO83"/>
    <mergeCell ref="AP82:AP83"/>
    <mergeCell ref="AQ82:AQ83"/>
    <mergeCell ref="AR82:AR83"/>
    <mergeCell ref="AZ82:AZ83"/>
    <mergeCell ref="BA82:BA83"/>
    <mergeCell ref="BB82:BB83"/>
    <mergeCell ref="BC82:BC83"/>
    <mergeCell ref="BD82:BD83"/>
    <mergeCell ref="AS82:AS83"/>
    <mergeCell ref="AT82:AT83"/>
    <mergeCell ref="AU82:AU83"/>
    <mergeCell ref="AV82:AV83"/>
    <mergeCell ref="AW82:AW83"/>
    <mergeCell ref="AN80:AN81"/>
    <mergeCell ref="BG82:BG83"/>
    <mergeCell ref="A84:A85"/>
    <mergeCell ref="B84:B85"/>
    <mergeCell ref="C84:C85"/>
    <mergeCell ref="D84:D85"/>
    <mergeCell ref="E84:E85"/>
    <mergeCell ref="F84:F85"/>
    <mergeCell ref="G84:G85"/>
    <mergeCell ref="AY82:AY83"/>
    <mergeCell ref="AO80:AO81"/>
    <mergeCell ref="AP80:AP81"/>
    <mergeCell ref="AQ80:AQ81"/>
    <mergeCell ref="AR80:AR81"/>
    <mergeCell ref="AS80:AS81"/>
    <mergeCell ref="AT80:AT81"/>
    <mergeCell ref="AU80:AU81"/>
    <mergeCell ref="AV80:AV81"/>
    <mergeCell ref="AW80:AW81"/>
    <mergeCell ref="AX80:AX81"/>
    <mergeCell ref="AY80:AY81"/>
    <mergeCell ref="AZ80:AZ81"/>
    <mergeCell ref="BA80:BA81"/>
    <mergeCell ref="BB80:BB81"/>
    <mergeCell ref="BC80:BC81"/>
    <mergeCell ref="BD80:BD81"/>
    <mergeCell ref="BE80:BE81"/>
    <mergeCell ref="BF80:BF81"/>
    <mergeCell ref="BG80:BG81"/>
    <mergeCell ref="A82:A83"/>
    <mergeCell ref="B82:B83"/>
    <mergeCell ref="C82:C83"/>
    <mergeCell ref="AX82:AX83"/>
    <mergeCell ref="U78:U79"/>
    <mergeCell ref="V78:V79"/>
    <mergeCell ref="W78:W79"/>
    <mergeCell ref="X78:X79"/>
    <mergeCell ref="H78:H79"/>
    <mergeCell ref="I78:I79"/>
    <mergeCell ref="J78:J79"/>
    <mergeCell ref="N78:N79"/>
    <mergeCell ref="Q78:Q79"/>
    <mergeCell ref="AJ78:AJ79"/>
    <mergeCell ref="D82:D83"/>
    <mergeCell ref="E82:E83"/>
    <mergeCell ref="F82:F83"/>
    <mergeCell ref="G82:G83"/>
    <mergeCell ref="H82:H83"/>
    <mergeCell ref="I82:I83"/>
    <mergeCell ref="AA80:AA81"/>
    <mergeCell ref="AB80:AB81"/>
    <mergeCell ref="Q82:Q83"/>
    <mergeCell ref="R82:R83"/>
    <mergeCell ref="S82:S83"/>
    <mergeCell ref="T82:T83"/>
    <mergeCell ref="U82:U83"/>
    <mergeCell ref="V82:V83"/>
    <mergeCell ref="W82:W83"/>
    <mergeCell ref="X82:X83"/>
    <mergeCell ref="AC80:AC81"/>
    <mergeCell ref="AD80:AD81"/>
    <mergeCell ref="AE80:AE81"/>
    <mergeCell ref="AF80:AF81"/>
    <mergeCell ref="AG80:AG81"/>
    <mergeCell ref="AH80:AH81"/>
    <mergeCell ref="BC78:BC79"/>
    <mergeCell ref="BD78:BD79"/>
    <mergeCell ref="BE78:BE79"/>
    <mergeCell ref="BF78:BF79"/>
    <mergeCell ref="BG78:BG79"/>
    <mergeCell ref="AB78:AB79"/>
    <mergeCell ref="AC78:AC79"/>
    <mergeCell ref="AD78:AD79"/>
    <mergeCell ref="F80:F81"/>
    <mergeCell ref="G80:G81"/>
    <mergeCell ref="H80:H81"/>
    <mergeCell ref="I80:I81"/>
    <mergeCell ref="J80:J81"/>
    <mergeCell ref="N80:N81"/>
    <mergeCell ref="Y78:Y79"/>
    <mergeCell ref="Z78:Z79"/>
    <mergeCell ref="AA78:AA79"/>
    <mergeCell ref="Q80:Q81"/>
    <mergeCell ref="R80:R81"/>
    <mergeCell ref="S80:S81"/>
    <mergeCell ref="T80:T81"/>
    <mergeCell ref="U80:U81"/>
    <mergeCell ref="V80:V81"/>
    <mergeCell ref="S78:S79"/>
    <mergeCell ref="AT78:AT79"/>
    <mergeCell ref="AU78:AU79"/>
    <mergeCell ref="AF76:AF77"/>
    <mergeCell ref="AN76:AN77"/>
    <mergeCell ref="AO76:AO77"/>
    <mergeCell ref="AP76:AP77"/>
    <mergeCell ref="AQ76:AQ77"/>
    <mergeCell ref="AR76:AR77"/>
    <mergeCell ref="AG76:AG77"/>
    <mergeCell ref="AH76:AH77"/>
    <mergeCell ref="AI76:AI77"/>
    <mergeCell ref="AJ76:AJ77"/>
    <mergeCell ref="AS76:AS77"/>
    <mergeCell ref="AT76:AT77"/>
    <mergeCell ref="AU76:AU77"/>
    <mergeCell ref="BA76:BA77"/>
    <mergeCell ref="BB76:BB77"/>
    <mergeCell ref="AM76:AM77"/>
    <mergeCell ref="AK76:AK77"/>
    <mergeCell ref="AL76:AL77"/>
    <mergeCell ref="AY76:AY77"/>
    <mergeCell ref="A80:A81"/>
    <mergeCell ref="B80:B81"/>
    <mergeCell ref="C80:C81"/>
    <mergeCell ref="D80:D81"/>
    <mergeCell ref="E80:E81"/>
    <mergeCell ref="AW78:AW79"/>
    <mergeCell ref="AV78:AV79"/>
    <mergeCell ref="AK78:AK79"/>
    <mergeCell ref="AL78:AL79"/>
    <mergeCell ref="AM78:AM79"/>
    <mergeCell ref="R78:R79"/>
    <mergeCell ref="AI80:AI81"/>
    <mergeCell ref="AJ80:AJ81"/>
    <mergeCell ref="AK80:AK81"/>
    <mergeCell ref="AL80:AL81"/>
    <mergeCell ref="AM80:AM81"/>
    <mergeCell ref="W80:W81"/>
    <mergeCell ref="X80:X81"/>
    <mergeCell ref="Y80:Y81"/>
    <mergeCell ref="Z80:Z81"/>
    <mergeCell ref="T78:T79"/>
    <mergeCell ref="AN78:AN79"/>
    <mergeCell ref="AO78:AO79"/>
    <mergeCell ref="AP78:AP79"/>
    <mergeCell ref="AE78:AE79"/>
    <mergeCell ref="AF78:AF79"/>
    <mergeCell ref="AG78:AG79"/>
    <mergeCell ref="AH78:AH79"/>
    <mergeCell ref="AI78:AI79"/>
    <mergeCell ref="AQ78:AQ79"/>
    <mergeCell ref="AR78:AR79"/>
    <mergeCell ref="AS78:AS79"/>
    <mergeCell ref="BC76:BC77"/>
    <mergeCell ref="BD76:BD77"/>
    <mergeCell ref="BE76:BE77"/>
    <mergeCell ref="BF76:BF77"/>
    <mergeCell ref="BG76:BG77"/>
    <mergeCell ref="A78:A79"/>
    <mergeCell ref="B78:B79"/>
    <mergeCell ref="C78:C79"/>
    <mergeCell ref="D78:D79"/>
    <mergeCell ref="E78:E79"/>
    <mergeCell ref="F78:F79"/>
    <mergeCell ref="G78:G79"/>
    <mergeCell ref="J76:J77"/>
    <mergeCell ref="N76:N77"/>
    <mergeCell ref="Q76:Q77"/>
    <mergeCell ref="R76:R77"/>
    <mergeCell ref="S76:S77"/>
    <mergeCell ref="T76:T77"/>
    <mergeCell ref="U76:U77"/>
    <mergeCell ref="V76:V77"/>
    <mergeCell ref="W76:W77"/>
    <mergeCell ref="X76:X77"/>
    <mergeCell ref="Y76:Y77"/>
    <mergeCell ref="Z76:Z77"/>
    <mergeCell ref="AA76:AA77"/>
    <mergeCell ref="AZ76:AZ77"/>
    <mergeCell ref="AX78:AX79"/>
    <mergeCell ref="AY78:AY79"/>
    <mergeCell ref="AZ78:AZ79"/>
    <mergeCell ref="BA78:BA79"/>
    <mergeCell ref="AB76:AB77"/>
    <mergeCell ref="BB78:BB79"/>
    <mergeCell ref="X71:X72"/>
    <mergeCell ref="Y71:Y72"/>
    <mergeCell ref="Z71:Z72"/>
    <mergeCell ref="AA71:AA72"/>
    <mergeCell ref="AB71:AB72"/>
    <mergeCell ref="AC71:AC72"/>
    <mergeCell ref="V71:V72"/>
    <mergeCell ref="BG73:BG74"/>
    <mergeCell ref="A75:I75"/>
    <mergeCell ref="A76:A77"/>
    <mergeCell ref="B76:B77"/>
    <mergeCell ref="C76:C77"/>
    <mergeCell ref="D76:D77"/>
    <mergeCell ref="E76:E77"/>
    <mergeCell ref="F76:F77"/>
    <mergeCell ref="G76:G77"/>
    <mergeCell ref="H76:H77"/>
    <mergeCell ref="I76:I77"/>
    <mergeCell ref="R73:R74"/>
    <mergeCell ref="S73:S74"/>
    <mergeCell ref="T73:T74"/>
    <mergeCell ref="U73:U74"/>
    <mergeCell ref="V73:V74"/>
    <mergeCell ref="W73:W74"/>
    <mergeCell ref="X73:X74"/>
    <mergeCell ref="Y73:Y74"/>
    <mergeCell ref="Z73:Z74"/>
    <mergeCell ref="AA73:AA74"/>
    <mergeCell ref="AB73:AB74"/>
    <mergeCell ref="AC73:AC74"/>
    <mergeCell ref="AJ73:AJ74"/>
    <mergeCell ref="AK73:AK74"/>
    <mergeCell ref="AC76:AC77"/>
    <mergeCell ref="AD76:AD77"/>
    <mergeCell ref="AE76:AE77"/>
    <mergeCell ref="AZ73:AZ74"/>
    <mergeCell ref="BA73:BA74"/>
    <mergeCell ref="BB73:BB74"/>
    <mergeCell ref="BC73:BC74"/>
    <mergeCell ref="BD73:BD74"/>
    <mergeCell ref="BE73:BE74"/>
    <mergeCell ref="AQ73:AQ74"/>
    <mergeCell ref="AR73:AR74"/>
    <mergeCell ref="AS73:AS74"/>
    <mergeCell ref="AT73:AT74"/>
    <mergeCell ref="AU73:AU74"/>
    <mergeCell ref="AV73:AV74"/>
    <mergeCell ref="AW73:AW74"/>
    <mergeCell ref="AX73:AX74"/>
    <mergeCell ref="AP73:AP74"/>
    <mergeCell ref="AN73:AN74"/>
    <mergeCell ref="AO73:AO74"/>
    <mergeCell ref="AD73:AD74"/>
    <mergeCell ref="AE73:AE74"/>
    <mergeCell ref="AF73:AF74"/>
    <mergeCell ref="AG73:AG74"/>
    <mergeCell ref="AH73:AH74"/>
    <mergeCell ref="AI73:AI74"/>
    <mergeCell ref="AL73:AL74"/>
    <mergeCell ref="AM73:AM74"/>
    <mergeCell ref="AV76:AV77"/>
    <mergeCell ref="AW76:AW77"/>
    <mergeCell ref="AX76:AX77"/>
    <mergeCell ref="AY73:AY74"/>
    <mergeCell ref="AD71:AD72"/>
    <mergeCell ref="AE71:AE72"/>
    <mergeCell ref="AF71:AF72"/>
    <mergeCell ref="AG71:AG72"/>
    <mergeCell ref="AH71:AH72"/>
    <mergeCell ref="AI71:AI72"/>
    <mergeCell ref="AO71:AO72"/>
    <mergeCell ref="AP71:AP72"/>
    <mergeCell ref="AQ71:AQ72"/>
    <mergeCell ref="AR71:AR72"/>
    <mergeCell ref="AS71:AS72"/>
    <mergeCell ref="AT71:AT72"/>
    <mergeCell ref="AU71:AU72"/>
    <mergeCell ref="BF73:BF74"/>
    <mergeCell ref="A73:A74"/>
    <mergeCell ref="B73:B74"/>
    <mergeCell ref="C73:C74"/>
    <mergeCell ref="D73:D74"/>
    <mergeCell ref="E73:E74"/>
    <mergeCell ref="F73:F74"/>
    <mergeCell ref="G73:G74"/>
    <mergeCell ref="H73:H74"/>
    <mergeCell ref="I73:I74"/>
    <mergeCell ref="J73:J74"/>
    <mergeCell ref="N73:N74"/>
    <mergeCell ref="Q73:Q74"/>
    <mergeCell ref="AJ71:AJ72"/>
    <mergeCell ref="AK71:AK72"/>
    <mergeCell ref="AL71:AL72"/>
    <mergeCell ref="AM71:AM72"/>
    <mergeCell ref="AN71:AN72"/>
    <mergeCell ref="S71:S72"/>
    <mergeCell ref="G71:G72"/>
    <mergeCell ref="H71:H72"/>
    <mergeCell ref="I71:I72"/>
    <mergeCell ref="J71:J72"/>
    <mergeCell ref="N71:N72"/>
    <mergeCell ref="Q71:Q72"/>
    <mergeCell ref="R71:R72"/>
    <mergeCell ref="W71:W72"/>
    <mergeCell ref="A69:A70"/>
    <mergeCell ref="B69:B70"/>
    <mergeCell ref="C69:C70"/>
    <mergeCell ref="D69:D70"/>
    <mergeCell ref="E69:E70"/>
    <mergeCell ref="F69:F70"/>
    <mergeCell ref="U69:U70"/>
    <mergeCell ref="V69:V70"/>
    <mergeCell ref="W69:W70"/>
    <mergeCell ref="G69:G70"/>
    <mergeCell ref="H69:H70"/>
    <mergeCell ref="I69:I70"/>
    <mergeCell ref="J69:J70"/>
    <mergeCell ref="N69:N70"/>
    <mergeCell ref="Q69:Q70"/>
    <mergeCell ref="A71:A72"/>
    <mergeCell ref="B71:B72"/>
    <mergeCell ref="C71:C72"/>
    <mergeCell ref="D71:D72"/>
    <mergeCell ref="E71:E72"/>
    <mergeCell ref="F71:F72"/>
    <mergeCell ref="U71:U72"/>
    <mergeCell ref="T71:T72"/>
    <mergeCell ref="BG69:BG70"/>
    <mergeCell ref="AV69:AV70"/>
    <mergeCell ref="AW69:AW70"/>
    <mergeCell ref="AX69:AX70"/>
    <mergeCell ref="AY69:AY70"/>
    <mergeCell ref="AZ69:AZ70"/>
    <mergeCell ref="BA69:BA70"/>
    <mergeCell ref="BD69:BD70"/>
    <mergeCell ref="BE69:BE70"/>
    <mergeCell ref="BG71:BG72"/>
    <mergeCell ref="AV71:AV72"/>
    <mergeCell ref="AW71:AW72"/>
    <mergeCell ref="AX71:AX72"/>
    <mergeCell ref="AY71:AY72"/>
    <mergeCell ref="AZ71:AZ72"/>
    <mergeCell ref="BA71:BA72"/>
    <mergeCell ref="BB71:BB72"/>
    <mergeCell ref="BC71:BC72"/>
    <mergeCell ref="BD71:BD72"/>
    <mergeCell ref="BE71:BE72"/>
    <mergeCell ref="BF71:BF72"/>
    <mergeCell ref="BC69:BC70"/>
    <mergeCell ref="AI67:AI68"/>
    <mergeCell ref="AT67:AT68"/>
    <mergeCell ref="AU67:AU68"/>
    <mergeCell ref="AJ67:AJ68"/>
    <mergeCell ref="AK67:AK68"/>
    <mergeCell ref="AL67:AL68"/>
    <mergeCell ref="AM67:AM68"/>
    <mergeCell ref="AN67:AN68"/>
    <mergeCell ref="AO67:AO68"/>
    <mergeCell ref="AF69:AF70"/>
    <mergeCell ref="AE69:AE70"/>
    <mergeCell ref="AT69:AT70"/>
    <mergeCell ref="AU69:AU70"/>
    <mergeCell ref="AJ69:AJ70"/>
    <mergeCell ref="AK69:AK70"/>
    <mergeCell ref="AL69:AL70"/>
    <mergeCell ref="AM69:AM70"/>
    <mergeCell ref="AN69:AN70"/>
    <mergeCell ref="AO69:AO70"/>
    <mergeCell ref="AS61:AS62"/>
    <mergeCell ref="AT61:AT62"/>
    <mergeCell ref="AU61:AU62"/>
    <mergeCell ref="AV61:AV62"/>
    <mergeCell ref="AW61:AW62"/>
    <mergeCell ref="AX61:AX62"/>
    <mergeCell ref="AY61:AY62"/>
    <mergeCell ref="AZ61:AZ62"/>
    <mergeCell ref="BB61:BB62"/>
    <mergeCell ref="AM61:AM62"/>
    <mergeCell ref="AN61:AN62"/>
    <mergeCell ref="AB69:AB70"/>
    <mergeCell ref="AA69:AA70"/>
    <mergeCell ref="Z69:Z70"/>
    <mergeCell ref="Y69:Y70"/>
    <mergeCell ref="X69:X70"/>
    <mergeCell ref="BF69:BF70"/>
    <mergeCell ref="AP69:AP70"/>
    <mergeCell ref="AQ69:AQ70"/>
    <mergeCell ref="AR69:AR70"/>
    <mergeCell ref="AS69:AS70"/>
    <mergeCell ref="X67:X68"/>
    <mergeCell ref="Y67:Y68"/>
    <mergeCell ref="Z67:Z68"/>
    <mergeCell ref="AA67:AA68"/>
    <mergeCell ref="AB67:AB68"/>
    <mergeCell ref="AC67:AC68"/>
    <mergeCell ref="AD67:AD68"/>
    <mergeCell ref="AE67:AE68"/>
    <mergeCell ref="AF67:AF68"/>
    <mergeCell ref="AG67:AG68"/>
    <mergeCell ref="AH67:AH68"/>
    <mergeCell ref="AB61:AB62"/>
    <mergeCell ref="AC61:AC62"/>
    <mergeCell ref="AD61:AD62"/>
    <mergeCell ref="AE61:AE62"/>
    <mergeCell ref="AF61:AF62"/>
    <mergeCell ref="BF67:BF68"/>
    <mergeCell ref="AH61:AH62"/>
    <mergeCell ref="BG67:BG68"/>
    <mergeCell ref="AV67:AV68"/>
    <mergeCell ref="AW67:AW68"/>
    <mergeCell ref="AX67:AX68"/>
    <mergeCell ref="AD69:AD70"/>
    <mergeCell ref="AC69:AC70"/>
    <mergeCell ref="AY67:AY68"/>
    <mergeCell ref="AZ67:AZ68"/>
    <mergeCell ref="BA67:BA68"/>
    <mergeCell ref="BB67:BB68"/>
    <mergeCell ref="BC67:BC68"/>
    <mergeCell ref="AI61:AI62"/>
    <mergeCell ref="AJ61:AJ62"/>
    <mergeCell ref="AK61:AK62"/>
    <mergeCell ref="AL61:AL62"/>
    <mergeCell ref="BD67:BD68"/>
    <mergeCell ref="BE67:BE68"/>
    <mergeCell ref="AP67:AP68"/>
    <mergeCell ref="AQ67:AQ68"/>
    <mergeCell ref="AR67:AR68"/>
    <mergeCell ref="AS67:AS68"/>
    <mergeCell ref="AO61:AO62"/>
    <mergeCell ref="AP61:AP62"/>
    <mergeCell ref="AQ61:AQ62"/>
    <mergeCell ref="AR61:AR62"/>
    <mergeCell ref="BA61:BA62"/>
    <mergeCell ref="BA59:BA60"/>
    <mergeCell ref="BC61:BC62"/>
    <mergeCell ref="BD61:BD62"/>
    <mergeCell ref="BE61:BE62"/>
    <mergeCell ref="BF61:BF62"/>
    <mergeCell ref="BB59:BB60"/>
    <mergeCell ref="BC59:BC60"/>
    <mergeCell ref="BD59:BD60"/>
    <mergeCell ref="BE59:BE60"/>
    <mergeCell ref="BF59:BF60"/>
    <mergeCell ref="BG61:BG62"/>
    <mergeCell ref="A63:I63"/>
    <mergeCell ref="A64:I64"/>
    <mergeCell ref="A65:O65"/>
    <mergeCell ref="A66:O66"/>
    <mergeCell ref="S67:S68"/>
    <mergeCell ref="T67:T68"/>
    <mergeCell ref="U67:U68"/>
    <mergeCell ref="V67:V68"/>
    <mergeCell ref="W67:W68"/>
    <mergeCell ref="Q61:Q62"/>
    <mergeCell ref="R61:R62"/>
    <mergeCell ref="S61:S62"/>
    <mergeCell ref="T61:T62"/>
    <mergeCell ref="U61:U62"/>
    <mergeCell ref="V61:V62"/>
    <mergeCell ref="W61:W62"/>
    <mergeCell ref="X61:X62"/>
    <mergeCell ref="Y61:Y62"/>
    <mergeCell ref="Z61:Z62"/>
    <mergeCell ref="AA61:AA62"/>
    <mergeCell ref="BG59:BG60"/>
    <mergeCell ref="A61:A62"/>
    <mergeCell ref="B61:B62"/>
    <mergeCell ref="C61:C62"/>
    <mergeCell ref="D61:D62"/>
    <mergeCell ref="E61:E62"/>
    <mergeCell ref="F61:F62"/>
    <mergeCell ref="G61:G62"/>
    <mergeCell ref="H61:H62"/>
    <mergeCell ref="I61:I62"/>
    <mergeCell ref="J61:J62"/>
    <mergeCell ref="N61:N62"/>
    <mergeCell ref="S59:S60"/>
    <mergeCell ref="T59:T60"/>
    <mergeCell ref="U59:U60"/>
    <mergeCell ref="V59:V60"/>
    <mergeCell ref="W59:W60"/>
    <mergeCell ref="X59:X60"/>
    <mergeCell ref="Y59:Y60"/>
    <mergeCell ref="Z59:Z60"/>
    <mergeCell ref="AA59:AA60"/>
    <mergeCell ref="AB59:AB60"/>
    <mergeCell ref="AC59:AC60"/>
    <mergeCell ref="AD59:AD60"/>
    <mergeCell ref="AE59:AE60"/>
    <mergeCell ref="AG61:AG62"/>
    <mergeCell ref="AK59:AK60"/>
    <mergeCell ref="AQ59:AQ60"/>
    <mergeCell ref="AR59:AR60"/>
    <mergeCell ref="AS59:AS60"/>
    <mergeCell ref="AT59:AT60"/>
    <mergeCell ref="AU59:AU60"/>
    <mergeCell ref="AO57:AO58"/>
    <mergeCell ref="AP57:AP58"/>
    <mergeCell ref="AO59:AO60"/>
    <mergeCell ref="AP59:AP60"/>
    <mergeCell ref="AS57:AS58"/>
    <mergeCell ref="AT57:AT58"/>
    <mergeCell ref="AU57:AU58"/>
    <mergeCell ref="AV57:AV58"/>
    <mergeCell ref="AW57:AW58"/>
    <mergeCell ref="AX57:AX58"/>
    <mergeCell ref="AG57:AG58"/>
    <mergeCell ref="AH57:AH58"/>
    <mergeCell ref="AI57:AI58"/>
    <mergeCell ref="AJ57:AJ58"/>
    <mergeCell ref="AK57:AK58"/>
    <mergeCell ref="AL57:AL58"/>
    <mergeCell ref="AZ59:AZ60"/>
    <mergeCell ref="AL59:AL60"/>
    <mergeCell ref="AM59:AM60"/>
    <mergeCell ref="AN59:AN60"/>
    <mergeCell ref="AV59:AV60"/>
    <mergeCell ref="AW59:AW60"/>
    <mergeCell ref="AX59:AX60"/>
    <mergeCell ref="AY59:AY60"/>
    <mergeCell ref="BF57:BF58"/>
    <mergeCell ref="BG57:BG58"/>
    <mergeCell ref="A59:A60"/>
    <mergeCell ref="B59:B60"/>
    <mergeCell ref="C59:C60"/>
    <mergeCell ref="D59:D60"/>
    <mergeCell ref="E59:E60"/>
    <mergeCell ref="F59:F60"/>
    <mergeCell ref="G59:G60"/>
    <mergeCell ref="H59:H60"/>
    <mergeCell ref="I59:I60"/>
    <mergeCell ref="J59:J60"/>
    <mergeCell ref="N59:N60"/>
    <mergeCell ref="Q59:Q60"/>
    <mergeCell ref="R59:R60"/>
    <mergeCell ref="AC57:AC58"/>
    <mergeCell ref="AD57:AD58"/>
    <mergeCell ref="AE57:AE58"/>
    <mergeCell ref="AF57:AF58"/>
    <mergeCell ref="U57:U58"/>
    <mergeCell ref="V57:V58"/>
    <mergeCell ref="W57:W58"/>
    <mergeCell ref="X57:X58"/>
    <mergeCell ref="Y57:Y58"/>
    <mergeCell ref="Z57:Z58"/>
    <mergeCell ref="AF59:AF60"/>
    <mergeCell ref="AG59:AG60"/>
    <mergeCell ref="AH59:AH60"/>
    <mergeCell ref="AI59:AI60"/>
    <mergeCell ref="AJ59:AJ60"/>
    <mergeCell ref="AM57:AM58"/>
    <mergeCell ref="AN57:AN58"/>
    <mergeCell ref="AR55:AR56"/>
    <mergeCell ref="AQ57:AQ58"/>
    <mergeCell ref="AR57:AR58"/>
    <mergeCell ref="AU55:AU56"/>
    <mergeCell ref="AV55:AV56"/>
    <mergeCell ref="AW55:AW56"/>
    <mergeCell ref="AX55:AX56"/>
    <mergeCell ref="AY55:AY56"/>
    <mergeCell ref="AZ55:AZ56"/>
    <mergeCell ref="BA55:BA56"/>
    <mergeCell ref="BB55:BB56"/>
    <mergeCell ref="BC55:BC56"/>
    <mergeCell ref="BD55:BD56"/>
    <mergeCell ref="BE55:BE56"/>
    <mergeCell ref="AY57:AY58"/>
    <mergeCell ref="AZ57:AZ58"/>
    <mergeCell ref="BA57:BA58"/>
    <mergeCell ref="BB57:BB58"/>
    <mergeCell ref="BC57:BC58"/>
    <mergeCell ref="BD57:BD58"/>
    <mergeCell ref="BE57:BE58"/>
    <mergeCell ref="H53:H54"/>
    <mergeCell ref="I53:I54"/>
    <mergeCell ref="J53:J54"/>
    <mergeCell ref="N53:N54"/>
    <mergeCell ref="Q53:Q54"/>
    <mergeCell ref="AJ53:AJ54"/>
    <mergeCell ref="BF55:BF56"/>
    <mergeCell ref="BG55:BG56"/>
    <mergeCell ref="A57:A58"/>
    <mergeCell ref="B57:B58"/>
    <mergeCell ref="C57:C58"/>
    <mergeCell ref="D57:D58"/>
    <mergeCell ref="E57:E58"/>
    <mergeCell ref="F57:F58"/>
    <mergeCell ref="G57:G58"/>
    <mergeCell ref="H57:H58"/>
    <mergeCell ref="I57:I58"/>
    <mergeCell ref="AB55:AB56"/>
    <mergeCell ref="J57:J58"/>
    <mergeCell ref="N57:N58"/>
    <mergeCell ref="Q57:Q58"/>
    <mergeCell ref="R57:R58"/>
    <mergeCell ref="S57:S58"/>
    <mergeCell ref="T57:T58"/>
    <mergeCell ref="AA57:AA58"/>
    <mergeCell ref="AB57:AB58"/>
    <mergeCell ref="AD55:AD56"/>
    <mergeCell ref="AE55:AE56"/>
    <mergeCell ref="AF55:AF56"/>
    <mergeCell ref="AG55:AG56"/>
    <mergeCell ref="AH55:AH56"/>
    <mergeCell ref="W55:W56"/>
    <mergeCell ref="V55:V56"/>
    <mergeCell ref="S53:S54"/>
    <mergeCell ref="AN53:AN54"/>
    <mergeCell ref="AO53:AO54"/>
    <mergeCell ref="AP53:AP54"/>
    <mergeCell ref="AE53:AE54"/>
    <mergeCell ref="AF53:AF54"/>
    <mergeCell ref="AG53:AG54"/>
    <mergeCell ref="AH53:AH54"/>
    <mergeCell ref="AI53:AI54"/>
    <mergeCell ref="R53:R54"/>
    <mergeCell ref="AS55:AS56"/>
    <mergeCell ref="AT55:AT56"/>
    <mergeCell ref="AI55:AI56"/>
    <mergeCell ref="AJ55:AJ56"/>
    <mergeCell ref="AK55:AK56"/>
    <mergeCell ref="AL55:AL56"/>
    <mergeCell ref="AM55:AM56"/>
    <mergeCell ref="AN55:AN56"/>
    <mergeCell ref="AC55:AC56"/>
    <mergeCell ref="T53:T54"/>
    <mergeCell ref="U53:U54"/>
    <mergeCell ref="V53:V54"/>
    <mergeCell ref="W53:W54"/>
    <mergeCell ref="X53:X54"/>
    <mergeCell ref="X55:X56"/>
    <mergeCell ref="Y55:Y56"/>
    <mergeCell ref="Z55:Z56"/>
    <mergeCell ref="AA55:AA56"/>
    <mergeCell ref="AO55:AO56"/>
    <mergeCell ref="AP55:AP56"/>
    <mergeCell ref="AQ55:AQ56"/>
    <mergeCell ref="A55:A56"/>
    <mergeCell ref="B55:B56"/>
    <mergeCell ref="C55:C56"/>
    <mergeCell ref="D55:D56"/>
    <mergeCell ref="E55:E56"/>
    <mergeCell ref="AW53:AW54"/>
    <mergeCell ref="AV53:AV54"/>
    <mergeCell ref="AK53:AK54"/>
    <mergeCell ref="AL53:AL54"/>
    <mergeCell ref="AM53:AM54"/>
    <mergeCell ref="BC53:BC54"/>
    <mergeCell ref="BD53:BD54"/>
    <mergeCell ref="BE53:BE54"/>
    <mergeCell ref="BF53:BF54"/>
    <mergeCell ref="BG53:BG54"/>
    <mergeCell ref="AB53:AB54"/>
    <mergeCell ref="AC53:AC54"/>
    <mergeCell ref="AD53:AD54"/>
    <mergeCell ref="F55:F56"/>
    <mergeCell ref="G55:G56"/>
    <mergeCell ref="H55:H56"/>
    <mergeCell ref="I55:I56"/>
    <mergeCell ref="J55:J56"/>
    <mergeCell ref="N55:N56"/>
    <mergeCell ref="Y53:Y54"/>
    <mergeCell ref="Z53:Z54"/>
    <mergeCell ref="AA53:AA54"/>
    <mergeCell ref="Q55:Q56"/>
    <mergeCell ref="R55:R56"/>
    <mergeCell ref="S55:S56"/>
    <mergeCell ref="T55:T56"/>
    <mergeCell ref="U55:U56"/>
    <mergeCell ref="AG51:AG52"/>
    <mergeCell ref="AH51:AH52"/>
    <mergeCell ref="AI51:AI52"/>
    <mergeCell ref="AJ51:AJ52"/>
    <mergeCell ref="AS51:AS52"/>
    <mergeCell ref="AT51:AT52"/>
    <mergeCell ref="AU51:AU52"/>
    <mergeCell ref="AV51:AV52"/>
    <mergeCell ref="AW51:AW52"/>
    <mergeCell ref="AX51:AX52"/>
    <mergeCell ref="AY51:AY52"/>
    <mergeCell ref="AZ51:AZ52"/>
    <mergeCell ref="AX53:AX54"/>
    <mergeCell ref="AY53:AY54"/>
    <mergeCell ref="AZ53:AZ54"/>
    <mergeCell ref="BA53:BA54"/>
    <mergeCell ref="BB53:BB54"/>
    <mergeCell ref="AQ53:AQ54"/>
    <mergeCell ref="AR53:AR54"/>
    <mergeCell ref="AS53:AS54"/>
    <mergeCell ref="AT53:AT54"/>
    <mergeCell ref="AU53:AU54"/>
    <mergeCell ref="AK51:AK52"/>
    <mergeCell ref="AL51:AL52"/>
    <mergeCell ref="AM51:AM52"/>
    <mergeCell ref="BE51:BE52"/>
    <mergeCell ref="BF51:BF52"/>
    <mergeCell ref="BG51:BG52"/>
    <mergeCell ref="A53:A54"/>
    <mergeCell ref="B53:B54"/>
    <mergeCell ref="C53:C54"/>
    <mergeCell ref="D53:D54"/>
    <mergeCell ref="E53:E54"/>
    <mergeCell ref="F53:F54"/>
    <mergeCell ref="G53:G54"/>
    <mergeCell ref="J51:J52"/>
    <mergeCell ref="N51:N52"/>
    <mergeCell ref="Q51:Q52"/>
    <mergeCell ref="R51:R52"/>
    <mergeCell ref="S51:S52"/>
    <mergeCell ref="T51:T52"/>
    <mergeCell ref="U51:U52"/>
    <mergeCell ref="V51:V52"/>
    <mergeCell ref="W51:W52"/>
    <mergeCell ref="X51:X52"/>
    <mergeCell ref="Y51:Y52"/>
    <mergeCell ref="Z51:Z52"/>
    <mergeCell ref="AA51:AA52"/>
    <mergeCell ref="AB51:AB52"/>
    <mergeCell ref="AC51:AC52"/>
    <mergeCell ref="AD51:AD52"/>
    <mergeCell ref="AE51:AE52"/>
    <mergeCell ref="AF51:AF52"/>
    <mergeCell ref="AN51:AN52"/>
    <mergeCell ref="AO51:AO52"/>
    <mergeCell ref="AP51:AP52"/>
    <mergeCell ref="AQ51:AQ52"/>
    <mergeCell ref="AP48:AP49"/>
    <mergeCell ref="AQ48:AQ49"/>
    <mergeCell ref="AR48:AR49"/>
    <mergeCell ref="AS48:AS49"/>
    <mergeCell ref="AT48:AT49"/>
    <mergeCell ref="AU48:AU49"/>
    <mergeCell ref="AV48:AV49"/>
    <mergeCell ref="AW48:AW49"/>
    <mergeCell ref="AX48:AX49"/>
    <mergeCell ref="AY48:AY49"/>
    <mergeCell ref="BA51:BA52"/>
    <mergeCell ref="BB51:BB52"/>
    <mergeCell ref="BC51:BC52"/>
    <mergeCell ref="BD51:BD52"/>
    <mergeCell ref="AR51:AR52"/>
    <mergeCell ref="AZ48:AZ49"/>
    <mergeCell ref="BA48:BA49"/>
    <mergeCell ref="BB48:BB49"/>
    <mergeCell ref="BC48:BC49"/>
    <mergeCell ref="BD48:BD49"/>
    <mergeCell ref="BE48:BE49"/>
    <mergeCell ref="BF48:BF49"/>
    <mergeCell ref="BG48:BG49"/>
    <mergeCell ref="A50:I50"/>
    <mergeCell ref="A51:A52"/>
    <mergeCell ref="B51:B52"/>
    <mergeCell ref="C51:C52"/>
    <mergeCell ref="D51:D52"/>
    <mergeCell ref="E51:E52"/>
    <mergeCell ref="F51:F52"/>
    <mergeCell ref="G51:G52"/>
    <mergeCell ref="H51:H52"/>
    <mergeCell ref="I51:I52"/>
    <mergeCell ref="R48:R49"/>
    <mergeCell ref="S48:S49"/>
    <mergeCell ref="T48:T49"/>
    <mergeCell ref="U48:U49"/>
    <mergeCell ref="V48:V49"/>
    <mergeCell ref="W48:W49"/>
    <mergeCell ref="X48:X49"/>
    <mergeCell ref="Y48:Y49"/>
    <mergeCell ref="Z48:Z49"/>
    <mergeCell ref="AA48:AA49"/>
    <mergeCell ref="AB48:AB49"/>
    <mergeCell ref="AC48:AC49"/>
    <mergeCell ref="AJ48:AJ49"/>
    <mergeCell ref="AK48:AK49"/>
    <mergeCell ref="A48:A49"/>
    <mergeCell ref="B48:B49"/>
    <mergeCell ref="C48:C49"/>
    <mergeCell ref="D48:D49"/>
    <mergeCell ref="E48:E49"/>
    <mergeCell ref="AJ46:AJ47"/>
    <mergeCell ref="AK46:AK47"/>
    <mergeCell ref="AL46:AL47"/>
    <mergeCell ref="AM46:AM47"/>
    <mergeCell ref="AN46:AN47"/>
    <mergeCell ref="AO46:AO47"/>
    <mergeCell ref="S46:S47"/>
    <mergeCell ref="T46:T47"/>
    <mergeCell ref="AN48:AN49"/>
    <mergeCell ref="AO48:AO49"/>
    <mergeCell ref="AD48:AD49"/>
    <mergeCell ref="AE48:AE49"/>
    <mergeCell ref="AF48:AF49"/>
    <mergeCell ref="AG48:AG49"/>
    <mergeCell ref="AH48:AH49"/>
    <mergeCell ref="AI48:AI49"/>
    <mergeCell ref="AI46:AI47"/>
    <mergeCell ref="X46:X47"/>
    <mergeCell ref="Y46:Y47"/>
    <mergeCell ref="Z46:Z47"/>
    <mergeCell ref="AA46:AA47"/>
    <mergeCell ref="AB46:AB47"/>
    <mergeCell ref="AC46:AC47"/>
    <mergeCell ref="AL48:AL49"/>
    <mergeCell ref="AM48:AM49"/>
    <mergeCell ref="AD46:AD47"/>
    <mergeCell ref="AE46:AE47"/>
    <mergeCell ref="AF46:AF47"/>
    <mergeCell ref="AG46:AG47"/>
    <mergeCell ref="AH46:AH47"/>
    <mergeCell ref="F48:F49"/>
    <mergeCell ref="G48:G49"/>
    <mergeCell ref="H48:H49"/>
    <mergeCell ref="I48:I49"/>
    <mergeCell ref="J48:J49"/>
    <mergeCell ref="N48:N49"/>
    <mergeCell ref="Q48:Q49"/>
    <mergeCell ref="BG46:BG47"/>
    <mergeCell ref="AV46:AV47"/>
    <mergeCell ref="AW46:AW47"/>
    <mergeCell ref="AX46:AX47"/>
    <mergeCell ref="AY46:AY47"/>
    <mergeCell ref="AZ46:AZ47"/>
    <mergeCell ref="BA46:BA47"/>
    <mergeCell ref="AP46:AP47"/>
    <mergeCell ref="AQ46:AQ47"/>
    <mergeCell ref="BA44:BA45"/>
    <mergeCell ref="BB44:BB45"/>
    <mergeCell ref="BC44:BC45"/>
    <mergeCell ref="AR44:AR45"/>
    <mergeCell ref="AS44:AS45"/>
    <mergeCell ref="AT44:AT45"/>
    <mergeCell ref="AU44:AU45"/>
    <mergeCell ref="AV44:AV45"/>
    <mergeCell ref="AW44:AW45"/>
    <mergeCell ref="BG44:BG45"/>
    <mergeCell ref="BB46:BB47"/>
    <mergeCell ref="BC46:BC47"/>
    <mergeCell ref="BD46:BD47"/>
    <mergeCell ref="BE46:BE47"/>
    <mergeCell ref="BF46:BF47"/>
    <mergeCell ref="AR46:AR47"/>
    <mergeCell ref="AS46:AS47"/>
    <mergeCell ref="AT46:AT47"/>
    <mergeCell ref="AU46:AU47"/>
    <mergeCell ref="A46:A47"/>
    <mergeCell ref="B46:B47"/>
    <mergeCell ref="C46:C47"/>
    <mergeCell ref="D46:D47"/>
    <mergeCell ref="E46:E47"/>
    <mergeCell ref="F46:F47"/>
    <mergeCell ref="AX44:AX45"/>
    <mergeCell ref="AY44:AY45"/>
    <mergeCell ref="AZ44:AZ45"/>
    <mergeCell ref="U46:U47"/>
    <mergeCell ref="V46:V47"/>
    <mergeCell ref="W46:W47"/>
    <mergeCell ref="G46:G47"/>
    <mergeCell ref="H46:H47"/>
    <mergeCell ref="I46:I47"/>
    <mergeCell ref="J46:J47"/>
    <mergeCell ref="N46:N47"/>
    <mergeCell ref="Q46:Q47"/>
    <mergeCell ref="R46:R47"/>
    <mergeCell ref="Z44:Z45"/>
    <mergeCell ref="AA44:AA45"/>
    <mergeCell ref="AB44:AB45"/>
    <mergeCell ref="AC44:AC45"/>
    <mergeCell ref="AD44:AD45"/>
    <mergeCell ref="AE44:AE45"/>
    <mergeCell ref="AF44:AF45"/>
    <mergeCell ref="AG44:AG45"/>
    <mergeCell ref="AH44:AH45"/>
    <mergeCell ref="AI44:AI45"/>
    <mergeCell ref="BA41:BA42"/>
    <mergeCell ref="BB41:BB42"/>
    <mergeCell ref="BC41:BC42"/>
    <mergeCell ref="BD41:BD42"/>
    <mergeCell ref="BE41:BE42"/>
    <mergeCell ref="BF41:BF42"/>
    <mergeCell ref="A43:I43"/>
    <mergeCell ref="A44:A45"/>
    <mergeCell ref="B44:B45"/>
    <mergeCell ref="C44:C45"/>
    <mergeCell ref="D44:D45"/>
    <mergeCell ref="E44:E45"/>
    <mergeCell ref="F44:F45"/>
    <mergeCell ref="G44:G45"/>
    <mergeCell ref="H44:H45"/>
    <mergeCell ref="I44:I45"/>
    <mergeCell ref="J44:J45"/>
    <mergeCell ref="N44:N45"/>
    <mergeCell ref="Q44:Q45"/>
    <mergeCell ref="R44:R45"/>
    <mergeCell ref="S44:S45"/>
    <mergeCell ref="T44:T45"/>
    <mergeCell ref="U44:U45"/>
    <mergeCell ref="V44:V45"/>
    <mergeCell ref="W44:W45"/>
    <mergeCell ref="AL44:AL45"/>
    <mergeCell ref="Y44:Y45"/>
    <mergeCell ref="AC41:AC42"/>
    <mergeCell ref="AD41:AD42"/>
    <mergeCell ref="AI41:AI42"/>
    <mergeCell ref="AJ41:AJ42"/>
    <mergeCell ref="AY41:AY42"/>
    <mergeCell ref="AZ41:AZ42"/>
    <mergeCell ref="AO41:AO42"/>
    <mergeCell ref="AP41:AP42"/>
    <mergeCell ref="AQ41:AQ42"/>
    <mergeCell ref="AR41:AR42"/>
    <mergeCell ref="AS41:AS42"/>
    <mergeCell ref="AT41:AT42"/>
    <mergeCell ref="AU41:AU42"/>
    <mergeCell ref="AV41:AV42"/>
    <mergeCell ref="AJ44:AJ45"/>
    <mergeCell ref="AK44:AK45"/>
    <mergeCell ref="G39:G40"/>
    <mergeCell ref="H39:H40"/>
    <mergeCell ref="I39:I40"/>
    <mergeCell ref="J39:J40"/>
    <mergeCell ref="N39:N40"/>
    <mergeCell ref="AB41:AB42"/>
    <mergeCell ref="AW41:AW42"/>
    <mergeCell ref="AX41:AX42"/>
    <mergeCell ref="AM44:AM45"/>
    <mergeCell ref="AN44:AN45"/>
    <mergeCell ref="AO44:AO45"/>
    <mergeCell ref="AP44:AP45"/>
    <mergeCell ref="AQ44:AQ45"/>
    <mergeCell ref="Q39:Q40"/>
    <mergeCell ref="W39:W40"/>
    <mergeCell ref="AE41:AE42"/>
    <mergeCell ref="X44:X45"/>
    <mergeCell ref="U39:U40"/>
    <mergeCell ref="V39:V40"/>
    <mergeCell ref="AY39:AY40"/>
    <mergeCell ref="AQ37:AQ38"/>
    <mergeCell ref="AR37:AR38"/>
    <mergeCell ref="AS37:AS38"/>
    <mergeCell ref="AT37:AT38"/>
    <mergeCell ref="AU37:AU38"/>
    <mergeCell ref="AV37:AV38"/>
    <mergeCell ref="AW37:AW38"/>
    <mergeCell ref="AX37:AX38"/>
    <mergeCell ref="AW39:AW40"/>
    <mergeCell ref="AX39:AX40"/>
    <mergeCell ref="AI39:AI40"/>
    <mergeCell ref="AJ39:AJ40"/>
    <mergeCell ref="AD39:AD40"/>
    <mergeCell ref="AE39:AE40"/>
    <mergeCell ref="AF39:AF40"/>
    <mergeCell ref="AG39:AG40"/>
    <mergeCell ref="AK41:AK42"/>
    <mergeCell ref="AL41:AL42"/>
    <mergeCell ref="AM41:AM42"/>
    <mergeCell ref="AN41:AN42"/>
    <mergeCell ref="AF41:AF42"/>
    <mergeCell ref="AG41:AG42"/>
    <mergeCell ref="AH41:AH42"/>
    <mergeCell ref="F41:F42"/>
    <mergeCell ref="G41:G42"/>
    <mergeCell ref="H41:H42"/>
    <mergeCell ref="I41:I42"/>
    <mergeCell ref="J41:J42"/>
    <mergeCell ref="N41:N42"/>
    <mergeCell ref="Q41:Q42"/>
    <mergeCell ref="R41:R42"/>
    <mergeCell ref="S41:S42"/>
    <mergeCell ref="T41:T42"/>
    <mergeCell ref="U41:U42"/>
    <mergeCell ref="V41:V42"/>
    <mergeCell ref="W41:W42"/>
    <mergeCell ref="X41:X42"/>
    <mergeCell ref="Y41:Y42"/>
    <mergeCell ref="Z41:Z42"/>
    <mergeCell ref="AA41:AA42"/>
    <mergeCell ref="BC37:BC38"/>
    <mergeCell ref="BD37:BD38"/>
    <mergeCell ref="BE37:BE38"/>
    <mergeCell ref="BF37:BF38"/>
    <mergeCell ref="BG37:BG38"/>
    <mergeCell ref="A41:A42"/>
    <mergeCell ref="B41:B42"/>
    <mergeCell ref="C41:C42"/>
    <mergeCell ref="D41:D42"/>
    <mergeCell ref="E41:E42"/>
    <mergeCell ref="H37:H38"/>
    <mergeCell ref="I37:I38"/>
    <mergeCell ref="J37:J38"/>
    <mergeCell ref="N37:N38"/>
    <mergeCell ref="Q37:Q38"/>
    <mergeCell ref="R37:R38"/>
    <mergeCell ref="S37:S38"/>
    <mergeCell ref="T37:T38"/>
    <mergeCell ref="U37:U38"/>
    <mergeCell ref="V37:V38"/>
    <mergeCell ref="W37:W38"/>
    <mergeCell ref="X37:X38"/>
    <mergeCell ref="Y37:Y38"/>
    <mergeCell ref="Z37:Z38"/>
    <mergeCell ref="AA37:AA38"/>
    <mergeCell ref="AB37:AB38"/>
    <mergeCell ref="AC37:AC38"/>
    <mergeCell ref="AD37:AD38"/>
    <mergeCell ref="G37:G38"/>
    <mergeCell ref="AH39:AH40"/>
    <mergeCell ref="X39:X40"/>
    <mergeCell ref="AO37:AO38"/>
    <mergeCell ref="BB37:BB38"/>
    <mergeCell ref="AP37:AP38"/>
    <mergeCell ref="A37:A38"/>
    <mergeCell ref="B37:B38"/>
    <mergeCell ref="C37:C38"/>
    <mergeCell ref="D37:D38"/>
    <mergeCell ref="E37:E38"/>
    <mergeCell ref="F37:F38"/>
    <mergeCell ref="Q35:Q36"/>
    <mergeCell ref="R35:R36"/>
    <mergeCell ref="S35:S36"/>
    <mergeCell ref="T35:T36"/>
    <mergeCell ref="U35:U36"/>
    <mergeCell ref="V35:V36"/>
    <mergeCell ref="W35:W36"/>
    <mergeCell ref="X35:X36"/>
    <mergeCell ref="Y35:Y36"/>
    <mergeCell ref="Z35:Z36"/>
    <mergeCell ref="AA35:AA36"/>
    <mergeCell ref="AY37:AY38"/>
    <mergeCell ref="AZ37:AZ38"/>
    <mergeCell ref="BA37:BA38"/>
    <mergeCell ref="AI37:AI38"/>
    <mergeCell ref="AJ37:AJ38"/>
    <mergeCell ref="AK37:AK38"/>
    <mergeCell ref="AL37:AL38"/>
    <mergeCell ref="AM37:AM38"/>
    <mergeCell ref="AN37:AN38"/>
    <mergeCell ref="AE37:AE38"/>
    <mergeCell ref="AF37:AF38"/>
    <mergeCell ref="AG37:AG38"/>
    <mergeCell ref="AH37:AH38"/>
    <mergeCell ref="BG35:BG36"/>
    <mergeCell ref="BA35:BA36"/>
    <mergeCell ref="BB35:BB36"/>
    <mergeCell ref="BC35:BC36"/>
    <mergeCell ref="BD35:BD36"/>
    <mergeCell ref="BE35:BE36"/>
    <mergeCell ref="BF35:BF36"/>
    <mergeCell ref="AU35:AU36"/>
    <mergeCell ref="AV35:AV36"/>
    <mergeCell ref="AK35:AK36"/>
    <mergeCell ref="AL35:AL36"/>
    <mergeCell ref="AM35:AM36"/>
    <mergeCell ref="AN35:AN36"/>
    <mergeCell ref="AW35:AW36"/>
    <mergeCell ref="AX35:AX36"/>
    <mergeCell ref="AY35:AY36"/>
    <mergeCell ref="AZ35:AZ36"/>
    <mergeCell ref="AO35:AO36"/>
    <mergeCell ref="AP35:AP36"/>
    <mergeCell ref="AQ35:AQ36"/>
    <mergeCell ref="AR35:AR36"/>
    <mergeCell ref="AE35:AE36"/>
    <mergeCell ref="AF35:AF36"/>
    <mergeCell ref="AG35:AG36"/>
    <mergeCell ref="AH35:AH36"/>
    <mergeCell ref="AI35:AI36"/>
    <mergeCell ref="AJ35:AJ36"/>
    <mergeCell ref="AQ33:AQ34"/>
    <mergeCell ref="AR33:AR34"/>
    <mergeCell ref="AS33:AS34"/>
    <mergeCell ref="AT33:AT34"/>
    <mergeCell ref="AU33:AU34"/>
    <mergeCell ref="AB35:AB36"/>
    <mergeCell ref="AS35:AS36"/>
    <mergeCell ref="AT35:AT36"/>
    <mergeCell ref="AV33:AV34"/>
    <mergeCell ref="AW33:AW34"/>
    <mergeCell ref="AP33:AP34"/>
    <mergeCell ref="AE33:AE34"/>
    <mergeCell ref="AF33:AF34"/>
    <mergeCell ref="AG33:AG34"/>
    <mergeCell ref="AH33:AH34"/>
    <mergeCell ref="AI33:AI34"/>
    <mergeCell ref="AJ33:AJ34"/>
    <mergeCell ref="AK33:AK34"/>
    <mergeCell ref="AL33:AL34"/>
    <mergeCell ref="BB33:BB34"/>
    <mergeCell ref="BC33:BC34"/>
    <mergeCell ref="BD33:BD34"/>
    <mergeCell ref="BE33:BE34"/>
    <mergeCell ref="BF33:BF34"/>
    <mergeCell ref="BG33:BG34"/>
    <mergeCell ref="A35:A36"/>
    <mergeCell ref="B35:B36"/>
    <mergeCell ref="C35:C36"/>
    <mergeCell ref="D35:D36"/>
    <mergeCell ref="E35:E36"/>
    <mergeCell ref="F35:F36"/>
    <mergeCell ref="G35:G36"/>
    <mergeCell ref="H35:H36"/>
    <mergeCell ref="I35:I36"/>
    <mergeCell ref="J35:J36"/>
    <mergeCell ref="N35:N36"/>
    <mergeCell ref="AA33:AA34"/>
    <mergeCell ref="AB33:AB34"/>
    <mergeCell ref="AC33:AC34"/>
    <mergeCell ref="AD33:AD34"/>
    <mergeCell ref="S33:S34"/>
    <mergeCell ref="T33:T34"/>
    <mergeCell ref="U33:U34"/>
    <mergeCell ref="V33:V34"/>
    <mergeCell ref="W33:W34"/>
    <mergeCell ref="X33:X34"/>
    <mergeCell ref="AO33:AO34"/>
    <mergeCell ref="AM33:AM34"/>
    <mergeCell ref="AN33:AN34"/>
    <mergeCell ref="AC35:AC36"/>
    <mergeCell ref="AD35:AD36"/>
    <mergeCell ref="BD31:BD32"/>
    <mergeCell ref="AS31:AS32"/>
    <mergeCell ref="AT31:AT32"/>
    <mergeCell ref="AU31:AU32"/>
    <mergeCell ref="AV31:AV32"/>
    <mergeCell ref="BE31:BE32"/>
    <mergeCell ref="BF31:BF32"/>
    <mergeCell ref="BG31:BG32"/>
    <mergeCell ref="A33:A34"/>
    <mergeCell ref="B33:B34"/>
    <mergeCell ref="C33:C34"/>
    <mergeCell ref="D33:D34"/>
    <mergeCell ref="E33:E34"/>
    <mergeCell ref="F33:F34"/>
    <mergeCell ref="G33:G34"/>
    <mergeCell ref="Z31:Z32"/>
    <mergeCell ref="H33:H34"/>
    <mergeCell ref="I33:I34"/>
    <mergeCell ref="J33:J34"/>
    <mergeCell ref="N33:N34"/>
    <mergeCell ref="Q33:Q34"/>
    <mergeCell ref="R33:R34"/>
    <mergeCell ref="Y33:Y34"/>
    <mergeCell ref="Z33:Z34"/>
    <mergeCell ref="AM31:AM32"/>
    <mergeCell ref="AN31:AN32"/>
    <mergeCell ref="AO31:AO32"/>
    <mergeCell ref="AP31:AP32"/>
    <mergeCell ref="AX33:AX34"/>
    <mergeCell ref="AY33:AY34"/>
    <mergeCell ref="AZ33:AZ34"/>
    <mergeCell ref="BA33:BA34"/>
    <mergeCell ref="X31:X32"/>
    <mergeCell ref="Y31:Y32"/>
    <mergeCell ref="AA31:AA32"/>
    <mergeCell ref="AB31:AB32"/>
    <mergeCell ref="AC31:AC32"/>
    <mergeCell ref="AD31:AD32"/>
    <mergeCell ref="AE31:AE32"/>
    <mergeCell ref="AF31:AF32"/>
    <mergeCell ref="AG31:AG32"/>
    <mergeCell ref="AH31:AH32"/>
    <mergeCell ref="AI31:AI32"/>
    <mergeCell ref="AJ31:AJ32"/>
    <mergeCell ref="AK31:AK32"/>
    <mergeCell ref="AZ31:AZ32"/>
    <mergeCell ref="BA31:BA32"/>
    <mergeCell ref="BB31:BB32"/>
    <mergeCell ref="BC31:BC32"/>
    <mergeCell ref="R29:R30"/>
    <mergeCell ref="S29:S30"/>
    <mergeCell ref="T29:T30"/>
    <mergeCell ref="U29:U30"/>
    <mergeCell ref="V29:V30"/>
    <mergeCell ref="J29:J30"/>
    <mergeCell ref="N29:N30"/>
    <mergeCell ref="A29:A30"/>
    <mergeCell ref="B29:B30"/>
    <mergeCell ref="C29:C30"/>
    <mergeCell ref="D29:D30"/>
    <mergeCell ref="AL31:AL32"/>
    <mergeCell ref="AZ29:AZ30"/>
    <mergeCell ref="AO29:AO30"/>
    <mergeCell ref="AP29:AP30"/>
    <mergeCell ref="AQ29:AQ30"/>
    <mergeCell ref="AR29:AR30"/>
    <mergeCell ref="AQ31:AQ32"/>
    <mergeCell ref="AR31:AR32"/>
    <mergeCell ref="AW31:AW32"/>
    <mergeCell ref="AX31:AX32"/>
    <mergeCell ref="AY31:AY32"/>
    <mergeCell ref="AU29:AU30"/>
    <mergeCell ref="AV29:AV30"/>
    <mergeCell ref="AW29:AW30"/>
    <mergeCell ref="Q29:Q30"/>
    <mergeCell ref="AX29:AX30"/>
    <mergeCell ref="AY29:AY30"/>
    <mergeCell ref="AH29:AH30"/>
    <mergeCell ref="U31:U32"/>
    <mergeCell ref="V31:V32"/>
    <mergeCell ref="W31:W32"/>
    <mergeCell ref="BG29:BG30"/>
    <mergeCell ref="AB29:AB30"/>
    <mergeCell ref="AF27:AF28"/>
    <mergeCell ref="AG27:AG28"/>
    <mergeCell ref="AH27:AH28"/>
    <mergeCell ref="AI27:AI28"/>
    <mergeCell ref="AJ27:AJ28"/>
    <mergeCell ref="AK29:AK30"/>
    <mergeCell ref="AL29:AL30"/>
    <mergeCell ref="AM29:AM30"/>
    <mergeCell ref="AN29:AN30"/>
    <mergeCell ref="A31:A32"/>
    <mergeCell ref="B31:B32"/>
    <mergeCell ref="C31:C32"/>
    <mergeCell ref="D31:D32"/>
    <mergeCell ref="E31:E32"/>
    <mergeCell ref="F31:F32"/>
    <mergeCell ref="G31:G32"/>
    <mergeCell ref="H31:H32"/>
    <mergeCell ref="I31:I32"/>
    <mergeCell ref="J31:J32"/>
    <mergeCell ref="N31:N32"/>
    <mergeCell ref="Q31:Q32"/>
    <mergeCell ref="R31:R32"/>
    <mergeCell ref="S31:S32"/>
    <mergeCell ref="T31:T32"/>
    <mergeCell ref="W29:W30"/>
    <mergeCell ref="X29:X30"/>
    <mergeCell ref="F29:F30"/>
    <mergeCell ref="G29:G30"/>
    <mergeCell ref="H29:H30"/>
    <mergeCell ref="I29:I30"/>
    <mergeCell ref="Y29:Y30"/>
    <mergeCell ref="Z29:Z30"/>
    <mergeCell ref="AA29:AA30"/>
    <mergeCell ref="AU25:AU26"/>
    <mergeCell ref="AV25:AV26"/>
    <mergeCell ref="AA27:AA28"/>
    <mergeCell ref="BA25:BA26"/>
    <mergeCell ref="BB25:BB26"/>
    <mergeCell ref="BC25:BC26"/>
    <mergeCell ref="BD25:BD26"/>
    <mergeCell ref="BE25:BE26"/>
    <mergeCell ref="BF25:BF26"/>
    <mergeCell ref="BG27:BG28"/>
    <mergeCell ref="AB27:AB28"/>
    <mergeCell ref="AC27:AC28"/>
    <mergeCell ref="AD27:AD28"/>
    <mergeCell ref="AX27:AX28"/>
    <mergeCell ref="AY27:AY28"/>
    <mergeCell ref="AZ27:AZ28"/>
    <mergeCell ref="BA27:BA28"/>
    <mergeCell ref="BB27:BB28"/>
    <mergeCell ref="AQ27:AQ28"/>
    <mergeCell ref="AR27:AR28"/>
    <mergeCell ref="AS27:AS28"/>
    <mergeCell ref="AT27:AT28"/>
    <mergeCell ref="AU27:AU28"/>
    <mergeCell ref="BA29:BA30"/>
    <mergeCell ref="BB29:BB30"/>
    <mergeCell ref="BC29:BC30"/>
    <mergeCell ref="BD29:BD30"/>
    <mergeCell ref="BE29:BE30"/>
    <mergeCell ref="BF29:BF30"/>
    <mergeCell ref="E29:E30"/>
    <mergeCell ref="AW27:AW28"/>
    <mergeCell ref="AV27:AV28"/>
    <mergeCell ref="AK27:AK28"/>
    <mergeCell ref="AL27:AL28"/>
    <mergeCell ref="AM27:AM28"/>
    <mergeCell ref="AW25:AW26"/>
    <mergeCell ref="AC29:AC30"/>
    <mergeCell ref="AD29:AD30"/>
    <mergeCell ref="AE29:AE30"/>
    <mergeCell ref="AF29:AF30"/>
    <mergeCell ref="AG29:AG30"/>
    <mergeCell ref="AS29:AS30"/>
    <mergeCell ref="AT29:AT30"/>
    <mergeCell ref="AI29:AI30"/>
    <mergeCell ref="AJ29:AJ30"/>
    <mergeCell ref="S27:S28"/>
    <mergeCell ref="T27:T28"/>
    <mergeCell ref="AN27:AN28"/>
    <mergeCell ref="AO27:AO28"/>
    <mergeCell ref="AP27:AP28"/>
    <mergeCell ref="AE27:AE28"/>
    <mergeCell ref="AO25:AO26"/>
    <mergeCell ref="AP25:AP26"/>
    <mergeCell ref="AQ25:AQ26"/>
    <mergeCell ref="AR25:AR26"/>
    <mergeCell ref="AG25:AG26"/>
    <mergeCell ref="AH25:AH26"/>
    <mergeCell ref="AI25:AI26"/>
    <mergeCell ref="AJ25:AJ26"/>
    <mergeCell ref="AS25:AS26"/>
    <mergeCell ref="AT25:AT26"/>
    <mergeCell ref="A27:A28"/>
    <mergeCell ref="B27:B28"/>
    <mergeCell ref="C27:C28"/>
    <mergeCell ref="D27:D28"/>
    <mergeCell ref="E27:E28"/>
    <mergeCell ref="F27:F28"/>
    <mergeCell ref="G27:G28"/>
    <mergeCell ref="J25:J26"/>
    <mergeCell ref="N25:N26"/>
    <mergeCell ref="Q25:Q26"/>
    <mergeCell ref="R25:R26"/>
    <mergeCell ref="S25:S26"/>
    <mergeCell ref="T25:T26"/>
    <mergeCell ref="U25:U26"/>
    <mergeCell ref="V25:V26"/>
    <mergeCell ref="W25:W26"/>
    <mergeCell ref="X25:X26"/>
    <mergeCell ref="H27:H28"/>
    <mergeCell ref="I27:I28"/>
    <mergeCell ref="U27:U28"/>
    <mergeCell ref="V27:V28"/>
    <mergeCell ref="W27:W28"/>
    <mergeCell ref="X27:X28"/>
    <mergeCell ref="J27:J28"/>
    <mergeCell ref="N27:N28"/>
    <mergeCell ref="Q27:Q28"/>
    <mergeCell ref="R27:R28"/>
    <mergeCell ref="AI21:AI22"/>
    <mergeCell ref="AJ21:AJ22"/>
    <mergeCell ref="AK21:AK22"/>
    <mergeCell ref="AL21:AL22"/>
    <mergeCell ref="AA25:AA26"/>
    <mergeCell ref="AB25:AB26"/>
    <mergeCell ref="AC25:AC26"/>
    <mergeCell ref="AD25:AD26"/>
    <mergeCell ref="AE25:AE26"/>
    <mergeCell ref="AF25:AF26"/>
    <mergeCell ref="AO21:AO22"/>
    <mergeCell ref="AP21:AP22"/>
    <mergeCell ref="AQ21:AQ22"/>
    <mergeCell ref="AR21:AR22"/>
    <mergeCell ref="AS21:AS22"/>
    <mergeCell ref="AT21:AT22"/>
    <mergeCell ref="AU21:AU22"/>
    <mergeCell ref="AB21:AB22"/>
    <mergeCell ref="AC21:AC22"/>
    <mergeCell ref="AD21:AD22"/>
    <mergeCell ref="AE21:AE22"/>
    <mergeCell ref="AF21:AF22"/>
    <mergeCell ref="AG21:AG22"/>
    <mergeCell ref="AH21:AH22"/>
    <mergeCell ref="AK25:AK26"/>
    <mergeCell ref="AL25:AL26"/>
    <mergeCell ref="AJ23:AJ24"/>
    <mergeCell ref="AM25:AM26"/>
    <mergeCell ref="AN25:AN26"/>
    <mergeCell ref="AM21:AM22"/>
    <mergeCell ref="AN21:AN22"/>
    <mergeCell ref="AE23:AE24"/>
    <mergeCell ref="AV21:AV22"/>
    <mergeCell ref="AW21:AW22"/>
    <mergeCell ref="AX21:AX22"/>
    <mergeCell ref="AY21:AY22"/>
    <mergeCell ref="AZ21:AZ22"/>
    <mergeCell ref="BA21:BA22"/>
    <mergeCell ref="BB21:BB22"/>
    <mergeCell ref="BC21:BC22"/>
    <mergeCell ref="BD21:BD22"/>
    <mergeCell ref="BE21:BE22"/>
    <mergeCell ref="BF21:BF22"/>
    <mergeCell ref="BG21:BG22"/>
    <mergeCell ref="A25:A26"/>
    <mergeCell ref="B25:B26"/>
    <mergeCell ref="C25:C26"/>
    <mergeCell ref="D25:D26"/>
    <mergeCell ref="E25:E26"/>
    <mergeCell ref="F25:F26"/>
    <mergeCell ref="G25:G26"/>
    <mergeCell ref="H25:H26"/>
    <mergeCell ref="I25:I26"/>
    <mergeCell ref="Q21:Q22"/>
    <mergeCell ref="R21:R22"/>
    <mergeCell ref="S21:S22"/>
    <mergeCell ref="T21:T22"/>
    <mergeCell ref="U21:U22"/>
    <mergeCell ref="V21:V22"/>
    <mergeCell ref="W21:W22"/>
    <mergeCell ref="X21:X22"/>
    <mergeCell ref="Y21:Y22"/>
    <mergeCell ref="Z21:Z22"/>
    <mergeCell ref="AA21:AA22"/>
    <mergeCell ref="BC19:BC20"/>
    <mergeCell ref="BD19:BD20"/>
    <mergeCell ref="BE19:BE20"/>
    <mergeCell ref="BF19:BF20"/>
    <mergeCell ref="BG19:BG20"/>
    <mergeCell ref="A21:A22"/>
    <mergeCell ref="B21:B22"/>
    <mergeCell ref="C21:C22"/>
    <mergeCell ref="D21:D22"/>
    <mergeCell ref="E21:E22"/>
    <mergeCell ref="F21:F22"/>
    <mergeCell ref="G21:G22"/>
    <mergeCell ref="H21:H22"/>
    <mergeCell ref="I21:I22"/>
    <mergeCell ref="J21:J22"/>
    <mergeCell ref="N21:N22"/>
    <mergeCell ref="S19:S20"/>
    <mergeCell ref="T19:T20"/>
    <mergeCell ref="U19:U20"/>
    <mergeCell ref="V19:V20"/>
    <mergeCell ref="W19:W20"/>
    <mergeCell ref="X19:X20"/>
    <mergeCell ref="Y19:Y20"/>
    <mergeCell ref="Z19:Z20"/>
    <mergeCell ref="AA19:AA20"/>
    <mergeCell ref="AB19:AB20"/>
    <mergeCell ref="AC19:AC20"/>
    <mergeCell ref="AD19:AD20"/>
    <mergeCell ref="AE19:AE20"/>
    <mergeCell ref="AF19:AF20"/>
    <mergeCell ref="AG19:AG20"/>
    <mergeCell ref="AK19:AK20"/>
    <mergeCell ref="AP19:AP20"/>
    <mergeCell ref="AS17:AS18"/>
    <mergeCell ref="AT17:AT18"/>
    <mergeCell ref="AU17:AU18"/>
    <mergeCell ref="AV17:AV18"/>
    <mergeCell ref="AW17:AW18"/>
    <mergeCell ref="AX17:AX18"/>
    <mergeCell ref="AY17:AY18"/>
    <mergeCell ref="AZ17:AZ18"/>
    <mergeCell ref="AI17:AI18"/>
    <mergeCell ref="AJ17:AJ18"/>
    <mergeCell ref="AK17:AK18"/>
    <mergeCell ref="AL17:AL18"/>
    <mergeCell ref="BB19:BB20"/>
    <mergeCell ref="AL19:AL20"/>
    <mergeCell ref="AM19:AM20"/>
    <mergeCell ref="AN19:AN20"/>
    <mergeCell ref="AQ17:AQ18"/>
    <mergeCell ref="AR17:AR18"/>
    <mergeCell ref="AQ19:AQ20"/>
    <mergeCell ref="AR19:AR20"/>
    <mergeCell ref="AS19:AS20"/>
    <mergeCell ref="AT19:AT20"/>
    <mergeCell ref="AU19:AU20"/>
    <mergeCell ref="AV19:AV20"/>
    <mergeCell ref="AW19:AW20"/>
    <mergeCell ref="AX19:AX20"/>
    <mergeCell ref="AY19:AY20"/>
    <mergeCell ref="AZ19:AZ20"/>
    <mergeCell ref="BA19:BA20"/>
    <mergeCell ref="BF15:BF16"/>
    <mergeCell ref="BF17:BF18"/>
    <mergeCell ref="BG17:BG18"/>
    <mergeCell ref="A19:A20"/>
    <mergeCell ref="B19:B20"/>
    <mergeCell ref="C19:C20"/>
    <mergeCell ref="D19:D20"/>
    <mergeCell ref="E19:E20"/>
    <mergeCell ref="F19:F20"/>
    <mergeCell ref="G19:G20"/>
    <mergeCell ref="H19:H20"/>
    <mergeCell ref="I19:I20"/>
    <mergeCell ref="J19:J20"/>
    <mergeCell ref="N19:N20"/>
    <mergeCell ref="Q19:Q20"/>
    <mergeCell ref="R19:R20"/>
    <mergeCell ref="AC17:AC18"/>
    <mergeCell ref="AD17:AD18"/>
    <mergeCell ref="AE17:AE18"/>
    <mergeCell ref="AF17:AF18"/>
    <mergeCell ref="U17:U18"/>
    <mergeCell ref="V17:V18"/>
    <mergeCell ref="W17:W18"/>
    <mergeCell ref="X17:X18"/>
    <mergeCell ref="Y17:Y18"/>
    <mergeCell ref="Z17:Z18"/>
    <mergeCell ref="AG17:AG18"/>
    <mergeCell ref="AH17:AH18"/>
    <mergeCell ref="AH19:AH20"/>
    <mergeCell ref="AI19:AI20"/>
    <mergeCell ref="AJ19:AJ20"/>
    <mergeCell ref="AM17:AM18"/>
    <mergeCell ref="AX15:AX16"/>
    <mergeCell ref="AY15:AY16"/>
    <mergeCell ref="AZ15:AZ16"/>
    <mergeCell ref="BA15:BA16"/>
    <mergeCell ref="BB15:BB16"/>
    <mergeCell ref="BC15:BC16"/>
    <mergeCell ref="BD15:BD16"/>
    <mergeCell ref="BE15:BE16"/>
    <mergeCell ref="BA17:BA18"/>
    <mergeCell ref="BB17:BB18"/>
    <mergeCell ref="BC17:BC18"/>
    <mergeCell ref="BD17:BD18"/>
    <mergeCell ref="BE17:BE18"/>
    <mergeCell ref="AN17:AN18"/>
    <mergeCell ref="AO17:AO18"/>
    <mergeCell ref="AP17:AP18"/>
    <mergeCell ref="AO15:AO16"/>
    <mergeCell ref="AP15:AP16"/>
    <mergeCell ref="AQ15:AQ16"/>
    <mergeCell ref="AR15:AR16"/>
    <mergeCell ref="AN15:AN16"/>
    <mergeCell ref="A17:A18"/>
    <mergeCell ref="B17:B18"/>
    <mergeCell ref="C17:C18"/>
    <mergeCell ref="D17:D18"/>
    <mergeCell ref="E17:E18"/>
    <mergeCell ref="F17:F18"/>
    <mergeCell ref="G17:G18"/>
    <mergeCell ref="H17:H18"/>
    <mergeCell ref="I17:I18"/>
    <mergeCell ref="AB15:AB16"/>
    <mergeCell ref="J17:J18"/>
    <mergeCell ref="N17:N18"/>
    <mergeCell ref="Q17:Q18"/>
    <mergeCell ref="R17:R18"/>
    <mergeCell ref="S17:S18"/>
    <mergeCell ref="T17:T18"/>
    <mergeCell ref="AA17:AA18"/>
    <mergeCell ref="AB17:AB18"/>
    <mergeCell ref="W15:W16"/>
    <mergeCell ref="X15:X16"/>
    <mergeCell ref="Y15:Y16"/>
    <mergeCell ref="Z15:Z16"/>
    <mergeCell ref="A15:A16"/>
    <mergeCell ref="B15:B16"/>
    <mergeCell ref="F15:F16"/>
    <mergeCell ref="G15:G16"/>
    <mergeCell ref="D15:D16"/>
    <mergeCell ref="E15:E16"/>
    <mergeCell ref="BC13:BC14"/>
    <mergeCell ref="BD13:BD14"/>
    <mergeCell ref="BE13:BE14"/>
    <mergeCell ref="BF13:BF14"/>
    <mergeCell ref="BG13:BG14"/>
    <mergeCell ref="AB13:AB14"/>
    <mergeCell ref="AC13:AC14"/>
    <mergeCell ref="AD13:AD14"/>
    <mergeCell ref="H15:H16"/>
    <mergeCell ref="I15:I16"/>
    <mergeCell ref="J15:J16"/>
    <mergeCell ref="N15:N16"/>
    <mergeCell ref="Y13:Y14"/>
    <mergeCell ref="Z13:Z14"/>
    <mergeCell ref="AA13:AA14"/>
    <mergeCell ref="Q15:Q16"/>
    <mergeCell ref="R15:R16"/>
    <mergeCell ref="S15:S16"/>
    <mergeCell ref="T15:T16"/>
    <mergeCell ref="U15:U16"/>
    <mergeCell ref="V15:V16"/>
    <mergeCell ref="BG15:BG16"/>
    <mergeCell ref="AD15:AD16"/>
    <mergeCell ref="AE15:AE16"/>
    <mergeCell ref="AF15:AF16"/>
    <mergeCell ref="AG15:AG16"/>
    <mergeCell ref="AH15:AH16"/>
    <mergeCell ref="AI15:AI16"/>
    <mergeCell ref="AJ15:AJ16"/>
    <mergeCell ref="AK15:AK16"/>
    <mergeCell ref="AL15:AL16"/>
    <mergeCell ref="AS15:AS16"/>
    <mergeCell ref="AY13:AY14"/>
    <mergeCell ref="AZ13:AZ14"/>
    <mergeCell ref="BA13:BA14"/>
    <mergeCell ref="BB13:BB14"/>
    <mergeCell ref="AQ13:AQ14"/>
    <mergeCell ref="AR13:AR14"/>
    <mergeCell ref="AS13:AS14"/>
    <mergeCell ref="AT13:AT14"/>
    <mergeCell ref="AU13:AU14"/>
    <mergeCell ref="AV13:AV14"/>
    <mergeCell ref="T13:T14"/>
    <mergeCell ref="U13:U14"/>
    <mergeCell ref="V13:V14"/>
    <mergeCell ref="W13:W14"/>
    <mergeCell ref="X13:X14"/>
    <mergeCell ref="H13:H14"/>
    <mergeCell ref="I13:I14"/>
    <mergeCell ref="J13:J14"/>
    <mergeCell ref="N13:N14"/>
    <mergeCell ref="Q13:Q14"/>
    <mergeCell ref="AW13:AW14"/>
    <mergeCell ref="AX13:AX14"/>
    <mergeCell ref="AK13:AK14"/>
    <mergeCell ref="AL13:AL14"/>
    <mergeCell ref="AM13:AM14"/>
    <mergeCell ref="AN13:AN14"/>
    <mergeCell ref="AO11:AO12"/>
    <mergeCell ref="AP11:AP12"/>
    <mergeCell ref="AQ11:AQ12"/>
    <mergeCell ref="AR11:AR12"/>
    <mergeCell ref="AS11:AS12"/>
    <mergeCell ref="AT11:AT12"/>
    <mergeCell ref="AU11:AU12"/>
    <mergeCell ref="AV11:AV12"/>
    <mergeCell ref="AW11:AW12"/>
    <mergeCell ref="AT15:AT16"/>
    <mergeCell ref="AK11:AK12"/>
    <mergeCell ref="AL11:AL12"/>
    <mergeCell ref="S13:S14"/>
    <mergeCell ref="AO13:AO14"/>
    <mergeCell ref="AP13:AP14"/>
    <mergeCell ref="AE13:AE14"/>
    <mergeCell ref="AF13:AF14"/>
    <mergeCell ref="AG13:AG14"/>
    <mergeCell ref="AH13:AH14"/>
    <mergeCell ref="AI13:AI14"/>
    <mergeCell ref="AJ13:AJ14"/>
    <mergeCell ref="AA15:AA16"/>
    <mergeCell ref="AU15:AU16"/>
    <mergeCell ref="AV15:AV16"/>
    <mergeCell ref="AW15:AW16"/>
    <mergeCell ref="BE9:BE10"/>
    <mergeCell ref="BF9:BF10"/>
    <mergeCell ref="AU9:AU10"/>
    <mergeCell ref="AV9:AV10"/>
    <mergeCell ref="AW9:AW10"/>
    <mergeCell ref="AX9:AX10"/>
    <mergeCell ref="AY9:AY10"/>
    <mergeCell ref="AZ9:AZ10"/>
    <mergeCell ref="AY11:AY12"/>
    <mergeCell ref="AZ11:AZ12"/>
    <mergeCell ref="BA11:BA12"/>
    <mergeCell ref="BB11:BB12"/>
    <mergeCell ref="BC11:BC12"/>
    <mergeCell ref="BD11:BD12"/>
    <mergeCell ref="BE11:BE12"/>
    <mergeCell ref="BF11:BF12"/>
    <mergeCell ref="BG11:BG12"/>
    <mergeCell ref="AX11:AX12"/>
    <mergeCell ref="BG9:BG10"/>
    <mergeCell ref="A11:A12"/>
    <mergeCell ref="B11:B12"/>
    <mergeCell ref="C11:C12"/>
    <mergeCell ref="D11:D12"/>
    <mergeCell ref="E11:E12"/>
    <mergeCell ref="F11:F12"/>
    <mergeCell ref="G11:G12"/>
    <mergeCell ref="Q9:Q10"/>
    <mergeCell ref="R9:R10"/>
    <mergeCell ref="S9:S10"/>
    <mergeCell ref="T9:T10"/>
    <mergeCell ref="U9:U10"/>
    <mergeCell ref="V9:V10"/>
    <mergeCell ref="AE9:AE10"/>
    <mergeCell ref="AF9:AF10"/>
    <mergeCell ref="AG9:AG10"/>
    <mergeCell ref="AH9:AH10"/>
    <mergeCell ref="W9:W10"/>
    <mergeCell ref="X9:X10"/>
    <mergeCell ref="AC11:AC12"/>
    <mergeCell ref="AD11:AD12"/>
    <mergeCell ref="AE11:AE12"/>
    <mergeCell ref="AF11:AF12"/>
    <mergeCell ref="AG11:AG12"/>
    <mergeCell ref="AH11:AH12"/>
    <mergeCell ref="X11:X12"/>
    <mergeCell ref="Y11:Y12"/>
    <mergeCell ref="Z11:Z12"/>
    <mergeCell ref="AB11:AB12"/>
    <mergeCell ref="AA11:AA12"/>
    <mergeCell ref="AI9:AI10"/>
    <mergeCell ref="AJ9:AJ10"/>
    <mergeCell ref="AK9:AK10"/>
    <mergeCell ref="AL9:AL10"/>
    <mergeCell ref="AV7:AV8"/>
    <mergeCell ref="AW7:AW8"/>
    <mergeCell ref="AD7:AD8"/>
    <mergeCell ref="AE7:AE8"/>
    <mergeCell ref="AF7:AF8"/>
    <mergeCell ref="H11:H12"/>
    <mergeCell ref="I11:I12"/>
    <mergeCell ref="BA9:BA10"/>
    <mergeCell ref="BB9:BB10"/>
    <mergeCell ref="BC9:BC10"/>
    <mergeCell ref="BD9:BD10"/>
    <mergeCell ref="AO9:AO10"/>
    <mergeCell ref="AP9:AP10"/>
    <mergeCell ref="AQ9:AQ10"/>
    <mergeCell ref="AR9:AR10"/>
    <mergeCell ref="W7:W8"/>
    <mergeCell ref="X7:X8"/>
    <mergeCell ref="J11:J12"/>
    <mergeCell ref="N11:N12"/>
    <mergeCell ref="Q11:Q12"/>
    <mergeCell ref="R11:R12"/>
    <mergeCell ref="S11:S12"/>
    <mergeCell ref="T11:T12"/>
    <mergeCell ref="U11:U12"/>
    <mergeCell ref="V11:V12"/>
    <mergeCell ref="W11:W12"/>
    <mergeCell ref="AM11:AM12"/>
    <mergeCell ref="AN11:AN12"/>
    <mergeCell ref="BG7:BG8"/>
    <mergeCell ref="A9:A10"/>
    <mergeCell ref="B9:B10"/>
    <mergeCell ref="C9:C10"/>
    <mergeCell ref="D9:D10"/>
    <mergeCell ref="E9:E10"/>
    <mergeCell ref="AG7:AG8"/>
    <mergeCell ref="AH7:AH8"/>
    <mergeCell ref="F9:F10"/>
    <mergeCell ref="G9:G10"/>
    <mergeCell ref="H9:H10"/>
    <mergeCell ref="I9:I10"/>
    <mergeCell ref="J9:J10"/>
    <mergeCell ref="N9:N10"/>
    <mergeCell ref="AC9:AC10"/>
    <mergeCell ref="AD9:AD10"/>
    <mergeCell ref="AI7:AI8"/>
    <mergeCell ref="AJ7:AJ8"/>
    <mergeCell ref="AB7:AB8"/>
    <mergeCell ref="AC7:AC8"/>
    <mergeCell ref="Y9:Y10"/>
    <mergeCell ref="Z9:Z10"/>
    <mergeCell ref="AA9:AA10"/>
    <mergeCell ref="AB9:AB10"/>
    <mergeCell ref="AK7:AK8"/>
    <mergeCell ref="AL7:AL8"/>
    <mergeCell ref="AM7:AM8"/>
    <mergeCell ref="AN7:AN8"/>
    <mergeCell ref="AM9:AM10"/>
    <mergeCell ref="AN9:AN10"/>
    <mergeCell ref="AQ7:AQ8"/>
    <mergeCell ref="AR7:AR8"/>
    <mergeCell ref="BG5:BG6"/>
    <mergeCell ref="A7:A8"/>
    <mergeCell ref="B7:B8"/>
    <mergeCell ref="C7:C8"/>
    <mergeCell ref="D7:D8"/>
    <mergeCell ref="E7:E8"/>
    <mergeCell ref="F7:F8"/>
    <mergeCell ref="G7:G8"/>
    <mergeCell ref="AY5:AY6"/>
    <mergeCell ref="AZ5:AZ6"/>
    <mergeCell ref="S7:S8"/>
    <mergeCell ref="T7:T8"/>
    <mergeCell ref="U7:U8"/>
    <mergeCell ref="V7:V8"/>
    <mergeCell ref="BE5:BE6"/>
    <mergeCell ref="BF5:BF6"/>
    <mergeCell ref="BA5:BA6"/>
    <mergeCell ref="BB5:BB6"/>
    <mergeCell ref="AS7:AS8"/>
    <mergeCell ref="AT7:AT8"/>
    <mergeCell ref="AU7:AU8"/>
    <mergeCell ref="BC5:BC6"/>
    <mergeCell ref="BD5:BD6"/>
    <mergeCell ref="AX7:AX8"/>
    <mergeCell ref="AY7:AY8"/>
    <mergeCell ref="AZ7:AZ8"/>
    <mergeCell ref="BA7:BA8"/>
    <mergeCell ref="BB7:BB8"/>
    <mergeCell ref="BC7:BC8"/>
    <mergeCell ref="BD7:BD8"/>
    <mergeCell ref="BE7:BE8"/>
    <mergeCell ref="BF7:BF8"/>
    <mergeCell ref="AX3:AX4"/>
    <mergeCell ref="H7:H8"/>
    <mergeCell ref="I7:I8"/>
    <mergeCell ref="J7:J8"/>
    <mergeCell ref="N7:N8"/>
    <mergeCell ref="Q7:Q8"/>
    <mergeCell ref="R7:R8"/>
    <mergeCell ref="U5:U6"/>
    <mergeCell ref="V5:V6"/>
    <mergeCell ref="W5:W6"/>
    <mergeCell ref="X5:X6"/>
    <mergeCell ref="Y5:Y6"/>
    <mergeCell ref="Z5:Z6"/>
    <mergeCell ref="AA5:AA6"/>
    <mergeCell ref="AB5:AB6"/>
    <mergeCell ref="AC5:AC6"/>
    <mergeCell ref="AD5:AD6"/>
    <mergeCell ref="AE5:AE6"/>
    <mergeCell ref="T5:T6"/>
    <mergeCell ref="AM5:AM6"/>
    <mergeCell ref="AN5:AN6"/>
    <mergeCell ref="AO5:AO6"/>
    <mergeCell ref="AP5:AP6"/>
    <mergeCell ref="AO7:AO8"/>
    <mergeCell ref="AP7:AP8"/>
    <mergeCell ref="AS5:AS6"/>
    <mergeCell ref="AT5:AT6"/>
    <mergeCell ref="AU5:AU6"/>
    <mergeCell ref="AV5:AV6"/>
    <mergeCell ref="AW5:AW6"/>
    <mergeCell ref="AX5:AX6"/>
    <mergeCell ref="Y7:Y8"/>
    <mergeCell ref="AY3:AY4"/>
    <mergeCell ref="AZ3:AZ4"/>
    <mergeCell ref="BA3:BA4"/>
    <mergeCell ref="BB3:BB4"/>
    <mergeCell ref="BC3:BC4"/>
    <mergeCell ref="BD3:BD4"/>
    <mergeCell ref="BE3:BE4"/>
    <mergeCell ref="BF3:BF4"/>
    <mergeCell ref="BG3:BG4"/>
    <mergeCell ref="A5:A6"/>
    <mergeCell ref="B5:B6"/>
    <mergeCell ref="C5:C6"/>
    <mergeCell ref="D5:D6"/>
    <mergeCell ref="E5:E6"/>
    <mergeCell ref="F5:F6"/>
    <mergeCell ref="G5:G6"/>
    <mergeCell ref="H5:H6"/>
    <mergeCell ref="I5:I6"/>
    <mergeCell ref="W3:W4"/>
    <mergeCell ref="X3:X4"/>
    <mergeCell ref="Y3:Y4"/>
    <mergeCell ref="Z3:Z4"/>
    <mergeCell ref="AA3:AA4"/>
    <mergeCell ref="AB3:AB4"/>
    <mergeCell ref="AM3:AM4"/>
    <mergeCell ref="AN3:AN4"/>
    <mergeCell ref="AC3:AC4"/>
    <mergeCell ref="AD3:AD4"/>
    <mergeCell ref="AE3:AE4"/>
    <mergeCell ref="AF3:AF4"/>
    <mergeCell ref="AG3:AG4"/>
    <mergeCell ref="AH3:AH4"/>
    <mergeCell ref="J5:J6"/>
    <mergeCell ref="N5:N6"/>
    <mergeCell ref="Q5:Q6"/>
    <mergeCell ref="R5:R6"/>
    <mergeCell ref="S5:S6"/>
    <mergeCell ref="G23:G24"/>
    <mergeCell ref="H23:H24"/>
    <mergeCell ref="I23:I24"/>
    <mergeCell ref="J23:J24"/>
    <mergeCell ref="N23:N24"/>
    <mergeCell ref="Q23:Q24"/>
    <mergeCell ref="AK23:AK24"/>
    <mergeCell ref="AL23:AL24"/>
    <mergeCell ref="AM23:AM24"/>
    <mergeCell ref="AN23:AN24"/>
    <mergeCell ref="AO23:AO24"/>
    <mergeCell ref="AP23:AP24"/>
    <mergeCell ref="AI23:AI24"/>
    <mergeCell ref="AF5:AF6"/>
    <mergeCell ref="AG5:AG6"/>
    <mergeCell ref="AH5:AH6"/>
    <mergeCell ref="AI5:AI6"/>
    <mergeCell ref="AJ5:AJ6"/>
    <mergeCell ref="AK5:AK6"/>
    <mergeCell ref="AL5:AL6"/>
    <mergeCell ref="Z7:Z8"/>
    <mergeCell ref="AA7:AA8"/>
    <mergeCell ref="AI11:AI12"/>
    <mergeCell ref="AJ11:AJ12"/>
    <mergeCell ref="AM15:AM16"/>
    <mergeCell ref="AC15:AC16"/>
    <mergeCell ref="AO19:AO20"/>
    <mergeCell ref="AF23:AF24"/>
    <mergeCell ref="AG23:AG24"/>
    <mergeCell ref="AH23:AH24"/>
    <mergeCell ref="AS23:AS24"/>
    <mergeCell ref="AT23:AT24"/>
    <mergeCell ref="AU23:AU24"/>
    <mergeCell ref="AV23:AV24"/>
    <mergeCell ref="AW23:AW24"/>
    <mergeCell ref="AS3:AS4"/>
    <mergeCell ref="AT3:AT4"/>
    <mergeCell ref="AI3:AI4"/>
    <mergeCell ref="AJ3:AJ4"/>
    <mergeCell ref="AK3:AK4"/>
    <mergeCell ref="AL3:AL4"/>
    <mergeCell ref="R23:R24"/>
    <mergeCell ref="S23:S24"/>
    <mergeCell ref="T23:T24"/>
    <mergeCell ref="U23:U24"/>
    <mergeCell ref="V23:V24"/>
    <mergeCell ref="AQ23:AQ24"/>
    <mergeCell ref="AR23:AR24"/>
    <mergeCell ref="AO3:AO4"/>
    <mergeCell ref="AP3:AP4"/>
    <mergeCell ref="AQ3:AQ4"/>
    <mergeCell ref="AR3:AR4"/>
    <mergeCell ref="AQ5:AQ6"/>
    <mergeCell ref="AR5:AR6"/>
    <mergeCell ref="AU3:AU4"/>
    <mergeCell ref="AV3:AV4"/>
    <mergeCell ref="AW3:AW4"/>
    <mergeCell ref="AS9:AS10"/>
    <mergeCell ref="AT9:AT10"/>
    <mergeCell ref="BC23:BC24"/>
    <mergeCell ref="BD23:BD24"/>
    <mergeCell ref="A23:A24"/>
    <mergeCell ref="B23:B24"/>
    <mergeCell ref="C23:C24"/>
    <mergeCell ref="D23:D24"/>
    <mergeCell ref="E23:E24"/>
    <mergeCell ref="F23:F24"/>
    <mergeCell ref="A1:O1"/>
    <mergeCell ref="A2:O2"/>
    <mergeCell ref="S3:S4"/>
    <mergeCell ref="T3:T4"/>
    <mergeCell ref="U3:U4"/>
    <mergeCell ref="V3:V4"/>
    <mergeCell ref="C15:C16"/>
    <mergeCell ref="A13:A14"/>
    <mergeCell ref="B13:B14"/>
    <mergeCell ref="C13:C14"/>
    <mergeCell ref="D13:D14"/>
    <mergeCell ref="E13:E14"/>
    <mergeCell ref="F13:F14"/>
    <mergeCell ref="G13:G14"/>
    <mergeCell ref="R13:R14"/>
    <mergeCell ref="W23:W24"/>
    <mergeCell ref="X23:X24"/>
    <mergeCell ref="Y23:Y24"/>
    <mergeCell ref="Z23:Z24"/>
    <mergeCell ref="AA23:AA24"/>
    <mergeCell ref="AB23:AB24"/>
    <mergeCell ref="AC23:AC24"/>
    <mergeCell ref="AD23:AD24"/>
    <mergeCell ref="AX23:AX24"/>
    <mergeCell ref="A39:A40"/>
    <mergeCell ref="B39:B40"/>
    <mergeCell ref="C39:C40"/>
    <mergeCell ref="D39:D40"/>
    <mergeCell ref="E39:E40"/>
    <mergeCell ref="F39:F40"/>
    <mergeCell ref="BE23:BE24"/>
    <mergeCell ref="BF23:BF24"/>
    <mergeCell ref="BG23:BG24"/>
    <mergeCell ref="AY23:AY24"/>
    <mergeCell ref="AZ23:AZ24"/>
    <mergeCell ref="BA23:BA24"/>
    <mergeCell ref="BB23:BB24"/>
    <mergeCell ref="AQ39:AQ40"/>
    <mergeCell ref="AR39:AR40"/>
    <mergeCell ref="AS39:AS40"/>
    <mergeCell ref="AT39:AT40"/>
    <mergeCell ref="AU39:AU40"/>
    <mergeCell ref="AV39:AV40"/>
    <mergeCell ref="AK39:AK40"/>
    <mergeCell ref="AL39:AL40"/>
    <mergeCell ref="AM39:AM40"/>
    <mergeCell ref="AN39:AN40"/>
    <mergeCell ref="AO39:AO40"/>
    <mergeCell ref="AP39:AP40"/>
    <mergeCell ref="BC39:BC40"/>
    <mergeCell ref="BD39:BD40"/>
    <mergeCell ref="BE39:BE40"/>
    <mergeCell ref="BF39:BF40"/>
    <mergeCell ref="AX25:AX26"/>
    <mergeCell ref="AY25:AY26"/>
    <mergeCell ref="AZ25:AZ26"/>
    <mergeCell ref="BG25:BG26"/>
    <mergeCell ref="Y25:Y26"/>
    <mergeCell ref="BG41:BG42"/>
    <mergeCell ref="BD44:BD45"/>
    <mergeCell ref="BE44:BE45"/>
    <mergeCell ref="BF44:BF45"/>
    <mergeCell ref="T69:T70"/>
    <mergeCell ref="S69:S70"/>
    <mergeCell ref="R69:R70"/>
    <mergeCell ref="AZ39:AZ40"/>
    <mergeCell ref="BA39:BA40"/>
    <mergeCell ref="BB39:BB40"/>
    <mergeCell ref="BB69:BB70"/>
    <mergeCell ref="AI69:AI70"/>
    <mergeCell ref="AH69:AH70"/>
    <mergeCell ref="AG69:AG70"/>
    <mergeCell ref="Y39:Y40"/>
    <mergeCell ref="Z39:Z40"/>
    <mergeCell ref="AA39:AA40"/>
    <mergeCell ref="AB39:AB40"/>
    <mergeCell ref="AC39:AC40"/>
    <mergeCell ref="R39:R40"/>
    <mergeCell ref="S39:S40"/>
    <mergeCell ref="T39:T40"/>
    <mergeCell ref="BG39:BG40"/>
    <mergeCell ref="Y27:Y28"/>
    <mergeCell ref="Z27:Z28"/>
    <mergeCell ref="Z25:Z26"/>
    <mergeCell ref="BF27:BF28"/>
    <mergeCell ref="BC27:BC28"/>
    <mergeCell ref="BD27:BD28"/>
    <mergeCell ref="BE27:BE28"/>
  </mergeCells>
  <phoneticPr fontId="61" type="noConversion"/>
  <pageMargins left="0" right="0" top="0" bottom="0" header="0" footer="0"/>
  <pageSetup paperSize="9" scale="6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1"/>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45266</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2" si="0">L5-M5</f>
        <v>0</v>
      </c>
      <c r="P5" s="27">
        <v>0</v>
      </c>
      <c r="Q5" s="99">
        <f>+L6-P6</f>
        <v>36</v>
      </c>
      <c r="R5" s="85" t="s">
        <v>64</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f>
        <v>2194</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45266</v>
      </c>
      <c r="B7" s="87" t="s">
        <v>37</v>
      </c>
      <c r="C7" s="89">
        <v>1</v>
      </c>
      <c r="D7" s="91" t="s">
        <v>38</v>
      </c>
      <c r="E7" s="89">
        <v>84217</v>
      </c>
      <c r="F7" s="89" t="s">
        <v>49</v>
      </c>
      <c r="G7" s="93" t="s">
        <v>61</v>
      </c>
      <c r="H7" s="90" t="s">
        <v>41</v>
      </c>
      <c r="I7" s="90">
        <v>1883</v>
      </c>
      <c r="J7" s="90">
        <v>1883</v>
      </c>
      <c r="K7" s="20">
        <v>0</v>
      </c>
      <c r="L7" s="20">
        <v>0</v>
      </c>
      <c r="M7" s="20">
        <v>0</v>
      </c>
      <c r="N7" s="97">
        <f>O8/L8</f>
        <v>0.75730217737652683</v>
      </c>
      <c r="O7" s="21">
        <f t="shared" si="0"/>
        <v>0</v>
      </c>
      <c r="P7" s="27">
        <v>128</v>
      </c>
      <c r="Q7" s="99">
        <f>+L8-P8</f>
        <v>73</v>
      </c>
      <c r="R7" s="85"/>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197+105+183+94+214+167+177+130+264+162+127+63</f>
        <v>1883</v>
      </c>
      <c r="L8" s="18">
        <f>197+105+183+30+30+262+272+188+20+20+10+255+311</f>
        <v>1883</v>
      </c>
      <c r="M8" s="18">
        <f>20+34+27+8+72+93+39+5+4+65+90</f>
        <v>457</v>
      </c>
      <c r="N8" s="98"/>
      <c r="O8" s="19">
        <f t="shared" si="0"/>
        <v>1426</v>
      </c>
      <c r="P8" s="22">
        <f>20+138+161+8+180+320+119+34+33+127+181+244+117+128</f>
        <v>1810</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5.75" customHeight="1">
      <c r="A9" s="108">
        <v>45266</v>
      </c>
      <c r="B9" s="87" t="s">
        <v>37</v>
      </c>
      <c r="C9" s="89">
        <v>1</v>
      </c>
      <c r="D9" s="91" t="s">
        <v>38</v>
      </c>
      <c r="E9" s="89">
        <v>84217</v>
      </c>
      <c r="F9" s="89" t="s">
        <v>49</v>
      </c>
      <c r="G9" s="93" t="s">
        <v>63</v>
      </c>
      <c r="H9" s="90" t="s">
        <v>47</v>
      </c>
      <c r="I9" s="90">
        <v>2103</v>
      </c>
      <c r="J9" s="90">
        <v>2103</v>
      </c>
      <c r="K9" s="20">
        <v>0</v>
      </c>
      <c r="L9" s="20">
        <v>0</v>
      </c>
      <c r="M9" s="20">
        <v>0</v>
      </c>
      <c r="N9" s="97">
        <f>O10/L10</f>
        <v>0.57584403233475989</v>
      </c>
      <c r="O9" s="21">
        <f t="shared" si="0"/>
        <v>0</v>
      </c>
      <c r="P9" s="27">
        <v>151</v>
      </c>
      <c r="Q9" s="99">
        <f>+L10-P10</f>
        <v>285</v>
      </c>
      <c r="R9" s="85"/>
      <c r="S9" s="96"/>
      <c r="T9" s="96"/>
      <c r="U9" s="96"/>
      <c r="V9" s="96"/>
      <c r="W9" s="96"/>
      <c r="X9" s="96"/>
      <c r="Y9" s="96"/>
      <c r="Z9" s="96"/>
      <c r="AA9" s="96"/>
      <c r="AB9" s="96"/>
      <c r="AC9" s="96"/>
      <c r="AD9" s="96"/>
      <c r="AE9" s="96"/>
      <c r="AF9" s="96"/>
      <c r="AG9" s="96"/>
      <c r="AH9" s="96"/>
      <c r="AI9" s="96"/>
      <c r="AJ9" s="96"/>
      <c r="AK9" s="96"/>
      <c r="AL9" s="96"/>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646+325+235+397+185+288+15+8+4</f>
        <v>2103</v>
      </c>
      <c r="L10" s="18">
        <f>180+224+270+114+100+89+460+662+4</f>
        <v>2103</v>
      </c>
      <c r="M10" s="18">
        <f>49+99+127+52+44+48+223+246+4</f>
        <v>892</v>
      </c>
      <c r="N10" s="98"/>
      <c r="O10" s="19">
        <f t="shared" si="0"/>
        <v>1211</v>
      </c>
      <c r="P10" s="22">
        <f>49+102+165+80+231+48+228+760+4+151</f>
        <v>1818</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5.75" customHeight="1">
      <c r="A11" s="108">
        <v>45266</v>
      </c>
      <c r="B11" s="87" t="s">
        <v>37</v>
      </c>
      <c r="C11" s="89">
        <v>1</v>
      </c>
      <c r="D11" s="91" t="s">
        <v>38</v>
      </c>
      <c r="E11" s="89">
        <v>84217</v>
      </c>
      <c r="F11" s="89" t="s">
        <v>49</v>
      </c>
      <c r="G11" s="93" t="s">
        <v>63</v>
      </c>
      <c r="H11" s="90" t="s">
        <v>39</v>
      </c>
      <c r="I11" s="90">
        <v>4965</v>
      </c>
      <c r="J11" s="90">
        <v>965</v>
      </c>
      <c r="K11" s="20">
        <v>145</v>
      </c>
      <c r="L11" s="20">
        <v>160</v>
      </c>
      <c r="M11" s="20">
        <v>40</v>
      </c>
      <c r="N11" s="97">
        <f>O12/L12</f>
        <v>0.74409448818897639</v>
      </c>
      <c r="O11" s="21">
        <f t="shared" si="0"/>
        <v>120</v>
      </c>
      <c r="P11" s="27">
        <v>53</v>
      </c>
      <c r="Q11" s="99">
        <f>+L12-P12</f>
        <v>296</v>
      </c>
      <c r="R11" s="85"/>
      <c r="S11" s="96">
        <v>20</v>
      </c>
      <c r="T11" s="96"/>
      <c r="U11" s="96">
        <v>9</v>
      </c>
      <c r="V11" s="96"/>
      <c r="W11" s="96"/>
      <c r="X11" s="96"/>
      <c r="Y11" s="96"/>
      <c r="Z11" s="96"/>
      <c r="AA11" s="96"/>
      <c r="AB11" s="96"/>
      <c r="AC11" s="96">
        <v>32</v>
      </c>
      <c r="AD11" s="96">
        <v>14</v>
      </c>
      <c r="AE11" s="96"/>
      <c r="AF11" s="96">
        <v>13</v>
      </c>
      <c r="AG11" s="96"/>
      <c r="AH11" s="96">
        <v>28</v>
      </c>
      <c r="AI11" s="96"/>
      <c r="AJ11" s="96"/>
      <c r="AK11" s="96"/>
      <c r="AL11" s="96">
        <v>4</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5+13+70+100+67+52+57+45+75+145</f>
        <v>629</v>
      </c>
      <c r="L12" s="18">
        <f>5+13+60+10+10+10+50+150+40+160</f>
        <v>508</v>
      </c>
      <c r="M12" s="18">
        <f>10+10+40+30+40</f>
        <v>130</v>
      </c>
      <c r="N12" s="98"/>
      <c r="O12" s="19">
        <f t="shared" si="0"/>
        <v>378</v>
      </c>
      <c r="P12" s="22">
        <f>10+30+30+10+38+41+53</f>
        <v>212</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45266</v>
      </c>
      <c r="B13" s="87" t="s">
        <v>37</v>
      </c>
      <c r="C13" s="89">
        <v>1</v>
      </c>
      <c r="D13" s="91" t="s">
        <v>38</v>
      </c>
      <c r="E13" s="89">
        <v>84217</v>
      </c>
      <c r="F13" s="89" t="s">
        <v>49</v>
      </c>
      <c r="G13" s="93" t="s">
        <v>63</v>
      </c>
      <c r="H13" s="90" t="s">
        <v>41</v>
      </c>
      <c r="I13" s="90">
        <v>1219</v>
      </c>
      <c r="J13" s="90">
        <v>1219</v>
      </c>
      <c r="K13" s="20">
        <v>192</v>
      </c>
      <c r="L13" s="20">
        <v>70</v>
      </c>
      <c r="M13" s="20">
        <v>21</v>
      </c>
      <c r="N13" s="97">
        <f>O14/L14</f>
        <v>0.5191740412979351</v>
      </c>
      <c r="O13" s="21">
        <f t="shared" si="0"/>
        <v>49</v>
      </c>
      <c r="P13" s="27">
        <v>37</v>
      </c>
      <c r="Q13" s="99">
        <f>+L14-P14</f>
        <v>140</v>
      </c>
      <c r="R13" s="85"/>
      <c r="S13" s="96"/>
      <c r="T13" s="96">
        <v>20</v>
      </c>
      <c r="U13" s="96">
        <v>2</v>
      </c>
      <c r="V13" s="96"/>
      <c r="W13" s="96"/>
      <c r="X13" s="96"/>
      <c r="Y13" s="96"/>
      <c r="Z13" s="96"/>
      <c r="AA13" s="96"/>
      <c r="AB13" s="96"/>
      <c r="AC13" s="96">
        <v>15</v>
      </c>
      <c r="AD13" s="96"/>
      <c r="AE13" s="96"/>
      <c r="AF13" s="96">
        <v>2</v>
      </c>
      <c r="AG13" s="96"/>
      <c r="AH13" s="96">
        <v>5</v>
      </c>
      <c r="AI13" s="96"/>
      <c r="AJ13" s="96"/>
      <c r="AK13" s="96"/>
      <c r="AL13" s="96">
        <v>5</v>
      </c>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103+85+198+61+57+39+86+12</f>
        <v>641</v>
      </c>
      <c r="L14" s="18">
        <f>9+46+10+10+10+10+164+10+70</f>
        <v>339</v>
      </c>
      <c r="M14" s="18">
        <f>9+17+10+106+21</f>
        <v>163</v>
      </c>
      <c r="N14" s="98"/>
      <c r="O14" s="19">
        <f t="shared" si="0"/>
        <v>176</v>
      </c>
      <c r="P14" s="22">
        <f>9+17+10+10+10+96+10+37</f>
        <v>199</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45266</v>
      </c>
      <c r="B15" s="87" t="s">
        <v>37</v>
      </c>
      <c r="C15" s="89">
        <v>1</v>
      </c>
      <c r="D15" s="91" t="s">
        <v>38</v>
      </c>
      <c r="E15" s="89">
        <v>84217</v>
      </c>
      <c r="F15" s="89" t="s">
        <v>49</v>
      </c>
      <c r="G15" s="93" t="s">
        <v>63</v>
      </c>
      <c r="H15" s="90" t="s">
        <v>73</v>
      </c>
      <c r="I15" s="90">
        <v>760</v>
      </c>
      <c r="J15" s="90">
        <v>760</v>
      </c>
      <c r="K15" s="20">
        <v>113</v>
      </c>
      <c r="L15" s="20">
        <v>275</v>
      </c>
      <c r="M15" s="20">
        <v>105</v>
      </c>
      <c r="N15" s="97">
        <f>O16/L16</f>
        <v>0.58904109589041098</v>
      </c>
      <c r="O15" s="21">
        <f t="shared" si="0"/>
        <v>170</v>
      </c>
      <c r="P15" s="27">
        <v>105</v>
      </c>
      <c r="Q15" s="99">
        <f>+L16-P16</f>
        <v>215</v>
      </c>
      <c r="R15" s="85"/>
      <c r="S15" s="96">
        <v>71</v>
      </c>
      <c r="T15" s="96">
        <v>34</v>
      </c>
      <c r="U15" s="96"/>
      <c r="V15" s="96"/>
      <c r="W15" s="96"/>
      <c r="X15" s="96">
        <v>2</v>
      </c>
      <c r="Y15" s="96"/>
      <c r="Z15" s="96"/>
      <c r="AA15" s="96"/>
      <c r="AB15" s="96"/>
      <c r="AC15" s="96">
        <v>10</v>
      </c>
      <c r="AD15" s="96"/>
      <c r="AE15" s="96">
        <v>8</v>
      </c>
      <c r="AF15" s="96">
        <v>17</v>
      </c>
      <c r="AG15" s="96">
        <v>10</v>
      </c>
      <c r="AH15" s="96">
        <v>8</v>
      </c>
      <c r="AI15" s="96"/>
      <c r="AJ15" s="96"/>
      <c r="AK15" s="96"/>
      <c r="AL15" s="96">
        <v>10</v>
      </c>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535+95+113</f>
        <v>743</v>
      </c>
      <c r="L16" s="18">
        <f>90+275</f>
        <v>365</v>
      </c>
      <c r="M16" s="18">
        <f>45+105</f>
        <v>150</v>
      </c>
      <c r="N16" s="98"/>
      <c r="O16" s="19">
        <f t="shared" si="0"/>
        <v>215</v>
      </c>
      <c r="P16" s="22">
        <f>45+105</f>
        <v>150</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6.5" customHeight="1">
      <c r="A17" s="108">
        <v>45266</v>
      </c>
      <c r="B17" s="87" t="s">
        <v>37</v>
      </c>
      <c r="C17" s="89">
        <v>1</v>
      </c>
      <c r="D17" s="91" t="s">
        <v>38</v>
      </c>
      <c r="E17" s="89">
        <v>84217</v>
      </c>
      <c r="F17" s="89" t="s">
        <v>49</v>
      </c>
      <c r="G17" s="93" t="s">
        <v>63</v>
      </c>
      <c r="H17" s="90" t="s">
        <v>59</v>
      </c>
      <c r="I17" s="90">
        <v>568</v>
      </c>
      <c r="J17" s="90">
        <v>568</v>
      </c>
      <c r="K17" s="20">
        <v>201</v>
      </c>
      <c r="L17" s="20">
        <v>65</v>
      </c>
      <c r="M17" s="20">
        <v>15</v>
      </c>
      <c r="N17" s="97">
        <f>O18/L18</f>
        <v>0.76923076923076927</v>
      </c>
      <c r="O17" s="21">
        <f t="shared" si="0"/>
        <v>50</v>
      </c>
      <c r="P17" s="27">
        <v>15</v>
      </c>
      <c r="Q17" s="99">
        <f>+L18-P18</f>
        <v>50</v>
      </c>
      <c r="R17" s="85"/>
      <c r="S17" s="96">
        <v>9</v>
      </c>
      <c r="T17" s="96">
        <v>20</v>
      </c>
      <c r="U17" s="96"/>
      <c r="V17" s="96"/>
      <c r="W17" s="96"/>
      <c r="X17" s="96"/>
      <c r="Y17" s="96"/>
      <c r="Z17" s="96"/>
      <c r="AA17" s="96"/>
      <c r="AB17" s="96"/>
      <c r="AC17" s="96">
        <v>6</v>
      </c>
      <c r="AD17" s="96"/>
      <c r="AE17" s="96"/>
      <c r="AF17" s="96">
        <v>4</v>
      </c>
      <c r="AG17" s="96">
        <v>4</v>
      </c>
      <c r="AH17" s="96">
        <v>7</v>
      </c>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201</f>
        <v>201</v>
      </c>
      <c r="L18" s="18">
        <f>65</f>
        <v>65</v>
      </c>
      <c r="M18" s="18">
        <f>15</f>
        <v>15</v>
      </c>
      <c r="N18" s="98"/>
      <c r="O18" s="19">
        <f t="shared" si="0"/>
        <v>50</v>
      </c>
      <c r="P18" s="22">
        <f>15</f>
        <v>15</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45266</v>
      </c>
      <c r="B19" s="87" t="s">
        <v>37</v>
      </c>
      <c r="C19" s="89">
        <v>1</v>
      </c>
      <c r="D19" s="91" t="s">
        <v>38</v>
      </c>
      <c r="E19" s="89">
        <v>84212</v>
      </c>
      <c r="F19" s="89" t="s">
        <v>49</v>
      </c>
      <c r="G19" s="93" t="s">
        <v>55</v>
      </c>
      <c r="H19" s="90" t="s">
        <v>62</v>
      </c>
      <c r="I19" s="90">
        <v>2248</v>
      </c>
      <c r="J19" s="90">
        <v>608</v>
      </c>
      <c r="K19" s="20">
        <v>13</v>
      </c>
      <c r="L19" s="20">
        <v>13</v>
      </c>
      <c r="M19" s="20">
        <v>0</v>
      </c>
      <c r="N19" s="97">
        <f>O20/L20</f>
        <v>0.76973684210526316</v>
      </c>
      <c r="O19" s="21">
        <f t="shared" si="0"/>
        <v>13</v>
      </c>
      <c r="P19" s="27">
        <v>0</v>
      </c>
      <c r="Q19" s="99">
        <f>+L20-P20</f>
        <v>43</v>
      </c>
      <c r="R19" s="85"/>
      <c r="S19" s="96"/>
      <c r="T19" s="96"/>
      <c r="U19" s="96"/>
      <c r="V19" s="96"/>
      <c r="W19" s="96"/>
      <c r="X19" s="96"/>
      <c r="Y19" s="96"/>
      <c r="Z19" s="96"/>
      <c r="AA19" s="96"/>
      <c r="AB19" s="96"/>
      <c r="AC19" s="96">
        <v>7</v>
      </c>
      <c r="AD19" s="96"/>
      <c r="AE19" s="96"/>
      <c r="AF19" s="96"/>
      <c r="AG19" s="96"/>
      <c r="AH19" s="96">
        <v>5</v>
      </c>
      <c r="AI19" s="96"/>
      <c r="AJ19" s="96"/>
      <c r="AK19" s="96"/>
      <c r="AL19" s="96">
        <v>1</v>
      </c>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63+36+60+117+70+60+110+60+19+13</f>
        <v>608</v>
      </c>
      <c r="L20" s="18">
        <f>63+36+20+10+141+94+102+10+10+10+99+13</f>
        <v>608</v>
      </c>
      <c r="M20" s="18">
        <f>13+7+34+21+22+4+39</f>
        <v>140</v>
      </c>
      <c r="N20" s="98"/>
      <c r="O20" s="19">
        <f t="shared" si="0"/>
        <v>468</v>
      </c>
      <c r="P20" s="22">
        <f>13+52+71+138+116+10+4+46+115</f>
        <v>565</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45266</v>
      </c>
      <c r="B21" s="87" t="s">
        <v>37</v>
      </c>
      <c r="C21" s="89">
        <v>1</v>
      </c>
      <c r="D21" s="91" t="s">
        <v>38</v>
      </c>
      <c r="E21" s="89">
        <v>84212</v>
      </c>
      <c r="F21" s="89" t="s">
        <v>49</v>
      </c>
      <c r="G21" s="93" t="s">
        <v>55</v>
      </c>
      <c r="H21" s="90" t="s">
        <v>59</v>
      </c>
      <c r="I21" s="90">
        <v>708</v>
      </c>
      <c r="J21" s="90">
        <v>708</v>
      </c>
      <c r="K21" s="20">
        <v>0</v>
      </c>
      <c r="L21" s="20">
        <v>80</v>
      </c>
      <c r="M21" s="20">
        <v>11</v>
      </c>
      <c r="N21" s="97">
        <f>O22/L22</f>
        <v>0.79024390243902443</v>
      </c>
      <c r="O21" s="21">
        <f t="shared" si="0"/>
        <v>69</v>
      </c>
      <c r="P21" s="27">
        <v>11</v>
      </c>
      <c r="Q21" s="99">
        <f>+L22-P22</f>
        <v>309</v>
      </c>
      <c r="R21" s="85"/>
      <c r="S21" s="96"/>
      <c r="T21" s="96">
        <v>31</v>
      </c>
      <c r="U21" s="96">
        <v>5</v>
      </c>
      <c r="V21" s="96"/>
      <c r="W21" s="96"/>
      <c r="X21" s="96"/>
      <c r="Y21" s="96"/>
      <c r="Z21" s="96"/>
      <c r="AA21" s="96"/>
      <c r="AB21" s="96"/>
      <c r="AC21" s="96">
        <v>4</v>
      </c>
      <c r="AD21" s="96"/>
      <c r="AE21" s="96">
        <v>5</v>
      </c>
      <c r="AF21" s="96">
        <v>5</v>
      </c>
      <c r="AG21" s="96">
        <v>14</v>
      </c>
      <c r="AH21" s="96">
        <v>5</v>
      </c>
      <c r="AI21" s="96"/>
      <c r="AJ21" s="96"/>
      <c r="AK21" s="96"/>
      <c r="AL21" s="96"/>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105+109+70+77+65+110+122+34</f>
        <v>692</v>
      </c>
      <c r="L22" s="18">
        <f>25+50+65+80+80+30+80</f>
        <v>410</v>
      </c>
      <c r="M22" s="18">
        <f>15+20+20+15+5+11</f>
        <v>86</v>
      </c>
      <c r="N22" s="98"/>
      <c r="O22" s="19">
        <f t="shared" si="0"/>
        <v>324</v>
      </c>
      <c r="P22" s="22">
        <f>15+20+35+15+5+11</f>
        <v>101</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45266</v>
      </c>
      <c r="B23" s="87" t="s">
        <v>37</v>
      </c>
      <c r="C23" s="89">
        <v>1</v>
      </c>
      <c r="D23" s="91" t="s">
        <v>38</v>
      </c>
      <c r="E23" s="89">
        <v>84212</v>
      </c>
      <c r="F23" s="89" t="s">
        <v>49</v>
      </c>
      <c r="G23" s="93" t="s">
        <v>55</v>
      </c>
      <c r="H23" s="90" t="s">
        <v>67</v>
      </c>
      <c r="I23" s="90">
        <v>1813</v>
      </c>
      <c r="J23" s="90">
        <v>1813</v>
      </c>
      <c r="K23" s="20">
        <v>175</v>
      </c>
      <c r="L23" s="20">
        <v>235</v>
      </c>
      <c r="M23" s="20">
        <v>50</v>
      </c>
      <c r="N23" s="97">
        <f>O24/L24</f>
        <v>0.82666666666666666</v>
      </c>
      <c r="O23" s="21">
        <f t="shared" si="0"/>
        <v>185</v>
      </c>
      <c r="P23" s="27">
        <v>65</v>
      </c>
      <c r="Q23" s="99">
        <f>+L24-P24</f>
        <v>295</v>
      </c>
      <c r="R23" s="85"/>
      <c r="S23" s="96">
        <f>12+21</f>
        <v>33</v>
      </c>
      <c r="T23" s="96"/>
      <c r="U23" s="96"/>
      <c r="V23" s="96"/>
      <c r="W23" s="96"/>
      <c r="X23" s="96">
        <v>2</v>
      </c>
      <c r="Y23" s="96"/>
      <c r="Z23" s="96"/>
      <c r="AA23" s="96"/>
      <c r="AB23" s="96"/>
      <c r="AC23" s="96">
        <f>28+16</f>
        <v>44</v>
      </c>
      <c r="AD23" s="96"/>
      <c r="AE23" s="96">
        <v>3</v>
      </c>
      <c r="AF23" s="96">
        <v>23</v>
      </c>
      <c r="AG23" s="96">
        <v>15</v>
      </c>
      <c r="AH23" s="96">
        <f>30+28</f>
        <v>58</v>
      </c>
      <c r="AI23" s="96"/>
      <c r="AJ23" s="96"/>
      <c r="AK23" s="96"/>
      <c r="AL23" s="96">
        <v>7</v>
      </c>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272+145+148+175</f>
        <v>740</v>
      </c>
      <c r="L24" s="18">
        <f>30+110+235</f>
        <v>375</v>
      </c>
      <c r="M24" s="18">
        <f>5+10+50</f>
        <v>65</v>
      </c>
      <c r="N24" s="98"/>
      <c r="O24" s="19">
        <f t="shared" si="0"/>
        <v>310</v>
      </c>
      <c r="P24" s="22">
        <f>5+10+65</f>
        <v>80</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45266</v>
      </c>
      <c r="B25" s="87" t="s">
        <v>37</v>
      </c>
      <c r="C25" s="89">
        <v>1</v>
      </c>
      <c r="D25" s="91" t="s">
        <v>38</v>
      </c>
      <c r="E25" s="89">
        <v>84212</v>
      </c>
      <c r="F25" s="89" t="s">
        <v>49</v>
      </c>
      <c r="G25" s="93" t="s">
        <v>55</v>
      </c>
      <c r="H25" s="90" t="s">
        <v>62</v>
      </c>
      <c r="I25" s="90">
        <v>2218</v>
      </c>
      <c r="J25" s="90">
        <v>1640</v>
      </c>
      <c r="K25" s="20">
        <v>0</v>
      </c>
      <c r="L25" s="20">
        <v>160</v>
      </c>
      <c r="M25" s="20">
        <v>50</v>
      </c>
      <c r="N25" s="97">
        <f>O26/L26</f>
        <v>0.70833333333333337</v>
      </c>
      <c r="O25" s="21">
        <f t="shared" si="0"/>
        <v>110</v>
      </c>
      <c r="P25" s="27">
        <v>50</v>
      </c>
      <c r="Q25" s="99">
        <f>+L26-P26</f>
        <v>170</v>
      </c>
      <c r="R25" s="85"/>
      <c r="S25" s="96"/>
      <c r="T25" s="96">
        <v>18</v>
      </c>
      <c r="U25" s="96">
        <v>2</v>
      </c>
      <c r="V25" s="96"/>
      <c r="W25" s="96"/>
      <c r="X25" s="96">
        <v>2</v>
      </c>
      <c r="Y25" s="96"/>
      <c r="Z25" s="96"/>
      <c r="AA25" s="96"/>
      <c r="AB25" s="96"/>
      <c r="AC25" s="96">
        <v>24</v>
      </c>
      <c r="AD25" s="96"/>
      <c r="AE25" s="96">
        <v>4</v>
      </c>
      <c r="AF25" s="96">
        <v>13</v>
      </c>
      <c r="AG25" s="96">
        <v>12</v>
      </c>
      <c r="AH25" s="96">
        <v>29</v>
      </c>
      <c r="AI25" s="96"/>
      <c r="AJ25" s="96"/>
      <c r="AK25" s="96"/>
      <c r="AL25" s="96">
        <v>6</v>
      </c>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5"/>
      <c r="B26" s="88"/>
      <c r="C26" s="90"/>
      <c r="D26" s="92"/>
      <c r="E26" s="90"/>
      <c r="F26" s="90"/>
      <c r="G26" s="94"/>
      <c r="H26" s="95"/>
      <c r="I26" s="95"/>
      <c r="J26" s="95"/>
      <c r="K26" s="22">
        <f>166+95+22</f>
        <v>283</v>
      </c>
      <c r="L26" s="18">
        <f>40+40+160</f>
        <v>240</v>
      </c>
      <c r="M26" s="18">
        <f>6+14+50</f>
        <v>70</v>
      </c>
      <c r="N26" s="98"/>
      <c r="O26" s="19">
        <f t="shared" si="0"/>
        <v>170</v>
      </c>
      <c r="P26" s="22">
        <f>6+14+50</f>
        <v>70</v>
      </c>
      <c r="Q26" s="100"/>
      <c r="R26" s="86"/>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108">
        <v>45266</v>
      </c>
      <c r="B27" s="87" t="s">
        <v>37</v>
      </c>
      <c r="C27" s="89">
        <v>1</v>
      </c>
      <c r="D27" s="91" t="s">
        <v>38</v>
      </c>
      <c r="E27" s="89">
        <v>84212</v>
      </c>
      <c r="F27" s="89" t="s">
        <v>49</v>
      </c>
      <c r="G27" s="93" t="s">
        <v>55</v>
      </c>
      <c r="H27" s="90" t="s">
        <v>78</v>
      </c>
      <c r="I27" s="90">
        <v>747</v>
      </c>
      <c r="J27" s="90">
        <v>747</v>
      </c>
      <c r="K27" s="20">
        <v>41</v>
      </c>
      <c r="L27" s="20">
        <v>80</v>
      </c>
      <c r="M27" s="20">
        <v>10</v>
      </c>
      <c r="N27" s="97">
        <f>O28/L28</f>
        <v>0.875</v>
      </c>
      <c r="O27" s="21">
        <f t="shared" si="0"/>
        <v>70</v>
      </c>
      <c r="P27" s="27">
        <v>10</v>
      </c>
      <c r="Q27" s="99">
        <f>+L28-P28</f>
        <v>70</v>
      </c>
      <c r="R27" s="85"/>
      <c r="S27" s="96"/>
      <c r="T27" s="96">
        <v>55</v>
      </c>
      <c r="U27" s="96">
        <v>4</v>
      </c>
      <c r="V27" s="96"/>
      <c r="W27" s="96"/>
      <c r="X27" s="96"/>
      <c r="Y27" s="96"/>
      <c r="Z27" s="96"/>
      <c r="AA27" s="96"/>
      <c r="AB27" s="96"/>
      <c r="AC27" s="96">
        <v>2</v>
      </c>
      <c r="AD27" s="96"/>
      <c r="AE27" s="96">
        <v>1</v>
      </c>
      <c r="AF27" s="96"/>
      <c r="AG27" s="96">
        <v>6</v>
      </c>
      <c r="AH27" s="96">
        <v>2</v>
      </c>
      <c r="AI27" s="96"/>
      <c r="AJ27" s="96"/>
      <c r="AK27" s="96"/>
      <c r="AL27" s="96"/>
      <c r="AM27" s="103"/>
      <c r="AN27" s="103"/>
      <c r="AO27" s="103"/>
      <c r="AP27" s="103"/>
      <c r="AQ27" s="103"/>
      <c r="AR27" s="103"/>
      <c r="AS27" s="103"/>
      <c r="AT27" s="103"/>
      <c r="AU27" s="103"/>
      <c r="AV27" s="103"/>
      <c r="AW27" s="103"/>
      <c r="AX27" s="103"/>
      <c r="AY27" s="106"/>
      <c r="AZ27" s="106"/>
      <c r="BA27" s="106"/>
      <c r="BB27" s="106"/>
      <c r="BC27" s="106"/>
      <c r="BD27" s="106"/>
      <c r="BE27" s="103"/>
      <c r="BF27" s="104"/>
      <c r="BG27" s="104"/>
    </row>
    <row r="28" spans="1:59" s="17" customFormat="1" ht="15.75" customHeight="1">
      <c r="A28" s="85"/>
      <c r="B28" s="88"/>
      <c r="C28" s="90"/>
      <c r="D28" s="92"/>
      <c r="E28" s="90"/>
      <c r="F28" s="90"/>
      <c r="G28" s="94"/>
      <c r="H28" s="95"/>
      <c r="I28" s="95"/>
      <c r="J28" s="95"/>
      <c r="K28" s="22">
        <f>117+41</f>
        <v>158</v>
      </c>
      <c r="L28" s="18">
        <f>80</f>
        <v>80</v>
      </c>
      <c r="M28" s="18">
        <f>10</f>
        <v>10</v>
      </c>
      <c r="N28" s="98"/>
      <c r="O28" s="19">
        <f t="shared" si="0"/>
        <v>70</v>
      </c>
      <c r="P28" s="22">
        <f>10</f>
        <v>10</v>
      </c>
      <c r="Q28" s="100"/>
      <c r="R28" s="86"/>
      <c r="S28" s="96"/>
      <c r="T28" s="96"/>
      <c r="U28" s="96"/>
      <c r="V28" s="96"/>
      <c r="W28" s="96"/>
      <c r="X28" s="96"/>
      <c r="Y28" s="96"/>
      <c r="Z28" s="96"/>
      <c r="AA28" s="96"/>
      <c r="AB28" s="96"/>
      <c r="AC28" s="96"/>
      <c r="AD28" s="96"/>
      <c r="AE28" s="96"/>
      <c r="AF28" s="96"/>
      <c r="AG28" s="96"/>
      <c r="AH28" s="96"/>
      <c r="AI28" s="96"/>
      <c r="AJ28" s="96"/>
      <c r="AK28" s="96"/>
      <c r="AL28" s="96"/>
      <c r="AM28" s="103"/>
      <c r="AN28" s="103"/>
      <c r="AO28" s="103"/>
      <c r="AP28" s="103"/>
      <c r="AQ28" s="103"/>
      <c r="AR28" s="103"/>
      <c r="AS28" s="103"/>
      <c r="AT28" s="103"/>
      <c r="AU28" s="103"/>
      <c r="AV28" s="103"/>
      <c r="AW28" s="103"/>
      <c r="AX28" s="103"/>
      <c r="AY28" s="107"/>
      <c r="AZ28" s="107"/>
      <c r="BA28" s="107"/>
      <c r="BB28" s="107"/>
      <c r="BC28" s="107"/>
      <c r="BD28" s="107"/>
      <c r="BE28" s="103"/>
      <c r="BF28" s="105"/>
      <c r="BG28" s="105"/>
    </row>
    <row r="29" spans="1:59" s="17" customFormat="1" ht="15.75" customHeight="1">
      <c r="A29" s="108">
        <v>45266</v>
      </c>
      <c r="B29" s="87" t="s">
        <v>37</v>
      </c>
      <c r="C29" s="89">
        <v>1</v>
      </c>
      <c r="D29" s="91" t="s">
        <v>38</v>
      </c>
      <c r="E29" s="89">
        <v>84212</v>
      </c>
      <c r="F29" s="89" t="s">
        <v>49</v>
      </c>
      <c r="G29" s="93" t="s">
        <v>61</v>
      </c>
      <c r="H29" s="89" t="s">
        <v>65</v>
      </c>
      <c r="I29" s="89">
        <v>533</v>
      </c>
      <c r="J29" s="89">
        <v>533</v>
      </c>
      <c r="K29" s="20">
        <v>50</v>
      </c>
      <c r="L29" s="20">
        <v>80</v>
      </c>
      <c r="M29" s="20">
        <v>19</v>
      </c>
      <c r="N29" s="146">
        <f>O30/L30</f>
        <v>0.77727272727272723</v>
      </c>
      <c r="O29" s="21">
        <f t="shared" si="0"/>
        <v>61</v>
      </c>
      <c r="P29" s="27">
        <v>39</v>
      </c>
      <c r="Q29" s="99">
        <f>+L30-P30</f>
        <v>91</v>
      </c>
      <c r="R29" s="108"/>
      <c r="S29" s="149"/>
      <c r="T29" s="149">
        <v>2</v>
      </c>
      <c r="U29" s="149"/>
      <c r="V29" s="149"/>
      <c r="W29" s="149"/>
      <c r="X29" s="149"/>
      <c r="Y29" s="149"/>
      <c r="Z29" s="149"/>
      <c r="AA29" s="149"/>
      <c r="AB29" s="149"/>
      <c r="AC29" s="149">
        <v>8</v>
      </c>
      <c r="AD29" s="149"/>
      <c r="AE29" s="149">
        <v>8</v>
      </c>
      <c r="AF29" s="149">
        <v>20</v>
      </c>
      <c r="AG29" s="149"/>
      <c r="AH29" s="149">
        <v>10</v>
      </c>
      <c r="AI29" s="149"/>
      <c r="AJ29" s="149"/>
      <c r="AK29" s="149"/>
      <c r="AL29" s="149">
        <v>13</v>
      </c>
      <c r="AM29" s="163"/>
      <c r="AN29" s="163"/>
      <c r="AO29" s="163"/>
      <c r="AP29" s="163"/>
      <c r="AQ29" s="163"/>
      <c r="AR29" s="163"/>
      <c r="AS29" s="163"/>
      <c r="AT29" s="163"/>
      <c r="AU29" s="163"/>
      <c r="AV29" s="163"/>
      <c r="AW29" s="163"/>
      <c r="AX29" s="163"/>
      <c r="AY29" s="167"/>
      <c r="AZ29" s="167"/>
      <c r="BA29" s="167"/>
      <c r="BB29" s="167"/>
      <c r="BC29" s="167"/>
      <c r="BD29" s="167"/>
      <c r="BE29" s="163"/>
      <c r="BF29" s="165"/>
      <c r="BG29" s="165"/>
    </row>
    <row r="30" spans="1:59" s="17" customFormat="1" ht="15.75" customHeight="1">
      <c r="A30" s="85"/>
      <c r="B30" s="88"/>
      <c r="C30" s="90"/>
      <c r="D30" s="92"/>
      <c r="E30" s="90"/>
      <c r="F30" s="90"/>
      <c r="G30" s="94"/>
      <c r="H30" s="90"/>
      <c r="I30" s="90"/>
      <c r="J30" s="90"/>
      <c r="K30" s="22">
        <f>81+92+53+50</f>
        <v>276</v>
      </c>
      <c r="L30" s="18">
        <f>10+10+110+10+80</f>
        <v>220</v>
      </c>
      <c r="M30" s="18">
        <f>30+19</f>
        <v>49</v>
      </c>
      <c r="N30" s="147"/>
      <c r="O30" s="19">
        <f t="shared" si="0"/>
        <v>171</v>
      </c>
      <c r="P30" s="22">
        <f>50+40+39</f>
        <v>129</v>
      </c>
      <c r="Q30" s="100"/>
      <c r="R30" s="85"/>
      <c r="S30" s="150"/>
      <c r="T30" s="150"/>
      <c r="U30" s="150"/>
      <c r="V30" s="150"/>
      <c r="W30" s="150"/>
      <c r="X30" s="150"/>
      <c r="Y30" s="150"/>
      <c r="Z30" s="150"/>
      <c r="AA30" s="150"/>
      <c r="AB30" s="150"/>
      <c r="AC30" s="150"/>
      <c r="AD30" s="150"/>
      <c r="AE30" s="150"/>
      <c r="AF30" s="150"/>
      <c r="AG30" s="150"/>
      <c r="AH30" s="150"/>
      <c r="AI30" s="150"/>
      <c r="AJ30" s="150"/>
      <c r="AK30" s="150"/>
      <c r="AL30" s="150"/>
      <c r="AM30" s="164"/>
      <c r="AN30" s="164"/>
      <c r="AO30" s="164"/>
      <c r="AP30" s="164"/>
      <c r="AQ30" s="164"/>
      <c r="AR30" s="164"/>
      <c r="AS30" s="164"/>
      <c r="AT30" s="164"/>
      <c r="AU30" s="164"/>
      <c r="AV30" s="164"/>
      <c r="AW30" s="164"/>
      <c r="AX30" s="164"/>
      <c r="AY30" s="168"/>
      <c r="AZ30" s="168"/>
      <c r="BA30" s="168"/>
      <c r="BB30" s="168"/>
      <c r="BC30" s="168"/>
      <c r="BD30" s="168"/>
      <c r="BE30" s="164"/>
      <c r="BF30" s="166"/>
      <c r="BG30" s="166"/>
    </row>
    <row r="31" spans="1:59" s="17" customFormat="1" ht="15.75" customHeight="1">
      <c r="A31" s="108">
        <v>45266</v>
      </c>
      <c r="B31" s="87" t="s">
        <v>37</v>
      </c>
      <c r="C31" s="89">
        <v>1</v>
      </c>
      <c r="D31" s="91" t="s">
        <v>38</v>
      </c>
      <c r="E31" s="89">
        <v>84426</v>
      </c>
      <c r="F31" s="89" t="s">
        <v>49</v>
      </c>
      <c r="G31" s="93" t="s">
        <v>55</v>
      </c>
      <c r="H31" s="90" t="s">
        <v>58</v>
      </c>
      <c r="I31" s="90">
        <v>549</v>
      </c>
      <c r="J31" s="90">
        <v>549</v>
      </c>
      <c r="K31" s="20">
        <v>0</v>
      </c>
      <c r="L31" s="20">
        <v>0</v>
      </c>
      <c r="M31" s="20">
        <v>0</v>
      </c>
      <c r="N31" s="97">
        <f>O32/L32</f>
        <v>0.81238615664845171</v>
      </c>
      <c r="O31" s="21">
        <f t="shared" si="0"/>
        <v>0</v>
      </c>
      <c r="P31" s="27">
        <v>0</v>
      </c>
      <c r="Q31" s="99">
        <f>+L32-P32</f>
        <v>3</v>
      </c>
      <c r="R31" s="108"/>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22">
        <f>483+66</f>
        <v>549</v>
      </c>
      <c r="L32" s="18">
        <f>483+66</f>
        <v>549</v>
      </c>
      <c r="M32" s="18">
        <f>86+17</f>
        <v>103</v>
      </c>
      <c r="N32" s="98"/>
      <c r="O32" s="19">
        <f t="shared" si="0"/>
        <v>446</v>
      </c>
      <c r="P32" s="22">
        <f>453+80+11+2</f>
        <v>546</v>
      </c>
      <c r="Q32" s="100"/>
      <c r="R32" s="85"/>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45266</v>
      </c>
      <c r="B33" s="87" t="s">
        <v>37</v>
      </c>
      <c r="C33" s="89">
        <v>1</v>
      </c>
      <c r="D33" s="91" t="s">
        <v>38</v>
      </c>
      <c r="E33" s="89">
        <v>84352</v>
      </c>
      <c r="F33" s="89" t="s">
        <v>49</v>
      </c>
      <c r="G33" s="93" t="s">
        <v>55</v>
      </c>
      <c r="H33" s="109" t="s">
        <v>39</v>
      </c>
      <c r="I33" s="90">
        <v>1050</v>
      </c>
      <c r="J33" s="90">
        <v>1053</v>
      </c>
      <c r="K33" s="20">
        <f>43+100</f>
        <v>143</v>
      </c>
      <c r="L33" s="20">
        <f>150+85</f>
        <v>235</v>
      </c>
      <c r="M33" s="20">
        <f>45+42</f>
        <v>87</v>
      </c>
      <c r="N33" s="97">
        <f>O34/L34</f>
        <v>0.66315789473684206</v>
      </c>
      <c r="O33" s="21">
        <f t="shared" si="0"/>
        <v>148</v>
      </c>
      <c r="P33" s="27">
        <f>80+92</f>
        <v>172</v>
      </c>
      <c r="Q33" s="99">
        <f>+L34-P34</f>
        <v>223</v>
      </c>
      <c r="R33" s="85"/>
      <c r="S33" s="96">
        <v>10</v>
      </c>
      <c r="T33" s="96"/>
      <c r="U33" s="96">
        <v>19</v>
      </c>
      <c r="V33" s="96"/>
      <c r="W33" s="96"/>
      <c r="X33" s="96">
        <v>1</v>
      </c>
      <c r="Y33" s="96"/>
      <c r="Z33" s="96"/>
      <c r="AA33" s="96"/>
      <c r="AB33" s="96"/>
      <c r="AC33" s="96">
        <v>22</v>
      </c>
      <c r="AD33" s="96"/>
      <c r="AE33" s="96">
        <v>12</v>
      </c>
      <c r="AF33" s="96">
        <v>15</v>
      </c>
      <c r="AG33" s="96"/>
      <c r="AH33" s="96">
        <v>18</v>
      </c>
      <c r="AI33" s="96"/>
      <c r="AJ33" s="96"/>
      <c r="AK33" s="96"/>
      <c r="AL33" s="96">
        <v>51</v>
      </c>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41">
        <f>320+108+237+109+43+100</f>
        <v>917</v>
      </c>
      <c r="L34" s="18">
        <f>10+10+10+235+60+10+150+85</f>
        <v>570</v>
      </c>
      <c r="M34" s="18">
        <f>75+30+45+42</f>
        <v>192</v>
      </c>
      <c r="N34" s="98"/>
      <c r="O34" s="19">
        <f t="shared" si="0"/>
        <v>378</v>
      </c>
      <c r="P34" s="22">
        <f>105+70+80+92</f>
        <v>347</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45266</v>
      </c>
      <c r="B35" s="87" t="s">
        <v>37</v>
      </c>
      <c r="C35" s="89">
        <v>1</v>
      </c>
      <c r="D35" s="91" t="s">
        <v>38</v>
      </c>
      <c r="E35" s="89">
        <v>84031</v>
      </c>
      <c r="F35" s="89" t="s">
        <v>49</v>
      </c>
      <c r="G35" s="93" t="s">
        <v>53</v>
      </c>
      <c r="H35" s="90" t="s">
        <v>57</v>
      </c>
      <c r="I35" s="90">
        <v>563</v>
      </c>
      <c r="J35" s="90">
        <v>563</v>
      </c>
      <c r="K35" s="43">
        <v>0</v>
      </c>
      <c r="L35" s="20">
        <v>0</v>
      </c>
      <c r="M35" s="20">
        <v>0</v>
      </c>
      <c r="N35" s="97">
        <f>O36/L36</f>
        <v>0.85343228200371057</v>
      </c>
      <c r="O35" s="21">
        <f t="shared" si="0"/>
        <v>0</v>
      </c>
      <c r="P35" s="27">
        <v>0</v>
      </c>
      <c r="Q35" s="99">
        <f>+L36-P36</f>
        <v>0</v>
      </c>
      <c r="R35" s="85" t="s">
        <v>68</v>
      </c>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516+20+3</f>
        <v>539</v>
      </c>
      <c r="L36" s="18">
        <f>516+20+3</f>
        <v>539</v>
      </c>
      <c r="M36" s="18">
        <f>74+2+3</f>
        <v>79</v>
      </c>
      <c r="N36" s="98"/>
      <c r="O36" s="19">
        <f t="shared" si="0"/>
        <v>460</v>
      </c>
      <c r="P36" s="22">
        <f>516+20+3</f>
        <v>539</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45266</v>
      </c>
      <c r="B37" s="87" t="s">
        <v>37</v>
      </c>
      <c r="C37" s="89">
        <v>1</v>
      </c>
      <c r="D37" s="91" t="s">
        <v>38</v>
      </c>
      <c r="E37" s="89">
        <v>84031</v>
      </c>
      <c r="F37" s="89" t="s">
        <v>49</v>
      </c>
      <c r="G37" s="93" t="s">
        <v>53</v>
      </c>
      <c r="H37" s="90" t="s">
        <v>39</v>
      </c>
      <c r="I37" s="90">
        <v>623</v>
      </c>
      <c r="J37" s="90">
        <v>623</v>
      </c>
      <c r="K37" s="20">
        <v>0</v>
      </c>
      <c r="L37" s="20">
        <v>0</v>
      </c>
      <c r="M37" s="20">
        <v>0</v>
      </c>
      <c r="N37" s="97">
        <f>O38/L38</f>
        <v>0.79710144927536231</v>
      </c>
      <c r="O37" s="21">
        <f t="shared" si="0"/>
        <v>0</v>
      </c>
      <c r="P37" s="27">
        <v>0</v>
      </c>
      <c r="Q37" s="99">
        <f>+L38-P38</f>
        <v>0</v>
      </c>
      <c r="R37" s="85" t="s">
        <v>68</v>
      </c>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574+9+30+5+3</f>
        <v>621</v>
      </c>
      <c r="L38" s="18">
        <f>574+9+30+5+3</f>
        <v>621</v>
      </c>
      <c r="M38" s="18">
        <f>109+9+5+3</f>
        <v>126</v>
      </c>
      <c r="N38" s="98"/>
      <c r="O38" s="19">
        <f t="shared" si="0"/>
        <v>495</v>
      </c>
      <c r="P38" s="22">
        <f>574+9+30+5+3</f>
        <v>621</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45266</v>
      </c>
      <c r="B39" s="87" t="s">
        <v>37</v>
      </c>
      <c r="C39" s="89">
        <v>1</v>
      </c>
      <c r="D39" s="91" t="s">
        <v>77</v>
      </c>
      <c r="E39" s="89">
        <v>20785</v>
      </c>
      <c r="F39" s="89" t="s">
        <v>76</v>
      </c>
      <c r="G39" s="93" t="s">
        <v>71</v>
      </c>
      <c r="H39" s="90" t="s">
        <v>70</v>
      </c>
      <c r="I39" s="90">
        <v>1475</v>
      </c>
      <c r="J39" s="90">
        <v>1475</v>
      </c>
      <c r="K39" s="20">
        <v>20</v>
      </c>
      <c r="L39" s="20">
        <v>0</v>
      </c>
      <c r="M39" s="20">
        <v>0</v>
      </c>
      <c r="N39" s="97">
        <f>O40/L40</f>
        <v>1</v>
      </c>
      <c r="O39" s="21">
        <f t="shared" si="0"/>
        <v>0</v>
      </c>
      <c r="P39" s="27">
        <v>10</v>
      </c>
      <c r="Q39" s="99">
        <f>+L40-P40</f>
        <v>16</v>
      </c>
      <c r="R39" s="85"/>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26+20+20</f>
        <v>66</v>
      </c>
      <c r="L40" s="18">
        <f>26+10</f>
        <v>36</v>
      </c>
      <c r="M40" s="18">
        <v>0</v>
      </c>
      <c r="N40" s="98"/>
      <c r="O40" s="19">
        <f t="shared" si="0"/>
        <v>36</v>
      </c>
      <c r="P40" s="22">
        <f>10+10</f>
        <v>20</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45266</v>
      </c>
      <c r="B41" s="87" t="s">
        <v>37</v>
      </c>
      <c r="C41" s="89">
        <v>1</v>
      </c>
      <c r="D41" s="91" t="s">
        <v>77</v>
      </c>
      <c r="E41" s="89">
        <v>20785</v>
      </c>
      <c r="F41" s="89" t="s">
        <v>76</v>
      </c>
      <c r="G41" s="93" t="s">
        <v>71</v>
      </c>
      <c r="H41" s="90" t="s">
        <v>75</v>
      </c>
      <c r="I41" s="90">
        <v>501</v>
      </c>
      <c r="J41" s="90">
        <v>501</v>
      </c>
      <c r="K41" s="20">
        <v>31</v>
      </c>
      <c r="L41" s="20">
        <v>45</v>
      </c>
      <c r="M41" s="20">
        <v>5</v>
      </c>
      <c r="N41" s="97">
        <f>O42/L42</f>
        <v>0.90909090909090906</v>
      </c>
      <c r="O41" s="21">
        <f t="shared" si="0"/>
        <v>40</v>
      </c>
      <c r="P41" s="27">
        <v>5</v>
      </c>
      <c r="Q41" s="99">
        <f>+L42-P42</f>
        <v>50</v>
      </c>
      <c r="R41" s="85"/>
      <c r="S41" s="96"/>
      <c r="T41" s="96">
        <v>17</v>
      </c>
      <c r="U41" s="96">
        <v>2</v>
      </c>
      <c r="V41" s="96"/>
      <c r="W41" s="96"/>
      <c r="X41" s="96"/>
      <c r="Y41" s="96"/>
      <c r="Z41" s="96"/>
      <c r="AA41" s="96"/>
      <c r="AB41" s="96"/>
      <c r="AC41" s="96">
        <v>12</v>
      </c>
      <c r="AD41" s="96"/>
      <c r="AE41" s="96"/>
      <c r="AF41" s="96">
        <v>2</v>
      </c>
      <c r="AG41" s="96">
        <v>4</v>
      </c>
      <c r="AH41" s="96">
        <v>3</v>
      </c>
      <c r="AI41" s="96"/>
      <c r="AJ41" s="96"/>
      <c r="AK41" s="96"/>
      <c r="AL41" s="96"/>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24+31</f>
        <v>55</v>
      </c>
      <c r="L42" s="18">
        <f>10+45</f>
        <v>55</v>
      </c>
      <c r="M42" s="18">
        <f>5</f>
        <v>5</v>
      </c>
      <c r="N42" s="98"/>
      <c r="O42" s="19">
        <f t="shared" si="0"/>
        <v>50</v>
      </c>
      <c r="P42" s="22">
        <f>5</f>
        <v>5</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ht="24.75" customHeight="1">
      <c r="A43" s="111" t="s">
        <v>15</v>
      </c>
      <c r="B43" s="112"/>
      <c r="C43" s="112"/>
      <c r="D43" s="112"/>
      <c r="E43" s="112"/>
      <c r="F43" s="112"/>
      <c r="G43" s="112"/>
      <c r="H43" s="112"/>
      <c r="I43" s="113"/>
      <c r="J43" s="5">
        <f>SUM(J5:J42)</f>
        <v>20569</v>
      </c>
      <c r="K43" s="5">
        <f>+SUMPRODUCT(((MOD(ROW(K5:K42),2)=1)*(K5:K42)))</f>
        <v>1124</v>
      </c>
      <c r="L43" s="5">
        <f>+SUMPRODUCT(((MOD(ROW(L5:L42),2)=1)*(L5:L42)))</f>
        <v>1498</v>
      </c>
      <c r="M43" s="5">
        <f>+SUMPRODUCT(((MOD(ROW(M5:M42),2)=1)*(M5:M42)))</f>
        <v>413</v>
      </c>
      <c r="N43" s="23">
        <f>O43/L43</f>
        <v>0.72429906542056077</v>
      </c>
      <c r="O43" s="5">
        <f>+SUMPRODUCT(((MOD(ROW(O5:O42),2)=1)*(O5:O42)))</f>
        <v>1085</v>
      </c>
      <c r="P43" s="5">
        <f>+SUMPRODUCT(((MOD(ROW(P5:P42),2)=1)*(P5:P42)))</f>
        <v>851</v>
      </c>
      <c r="Q43" s="5">
        <f>+SUMPRODUCT(((MOD(ROW(Q5:Q42),2)=1)*(Q5:Q42)))</f>
        <v>2365</v>
      </c>
      <c r="R43" s="29"/>
      <c r="S43" s="5">
        <f t="shared" ref="S43:BG43" si="1">SUM(S5:S42)</f>
        <v>143</v>
      </c>
      <c r="T43" s="5">
        <f t="shared" si="1"/>
        <v>197</v>
      </c>
      <c r="U43" s="5">
        <f t="shared" si="1"/>
        <v>43</v>
      </c>
      <c r="V43" s="5">
        <f t="shared" si="1"/>
        <v>0</v>
      </c>
      <c r="W43" s="5">
        <f t="shared" si="1"/>
        <v>0</v>
      </c>
      <c r="X43" s="5">
        <f t="shared" si="1"/>
        <v>7</v>
      </c>
      <c r="Y43" s="5">
        <f t="shared" si="1"/>
        <v>0</v>
      </c>
      <c r="Z43" s="5">
        <f t="shared" si="1"/>
        <v>0</v>
      </c>
      <c r="AA43" s="5">
        <f t="shared" si="1"/>
        <v>0</v>
      </c>
      <c r="AB43" s="5">
        <f t="shared" si="1"/>
        <v>0</v>
      </c>
      <c r="AC43" s="5">
        <f t="shared" si="1"/>
        <v>186</v>
      </c>
      <c r="AD43" s="5">
        <f t="shared" si="1"/>
        <v>14</v>
      </c>
      <c r="AE43" s="5">
        <f t="shared" si="1"/>
        <v>41</v>
      </c>
      <c r="AF43" s="5">
        <f t="shared" si="1"/>
        <v>114</v>
      </c>
      <c r="AG43" s="5">
        <f t="shared" si="1"/>
        <v>65</v>
      </c>
      <c r="AH43" s="5">
        <f t="shared" si="1"/>
        <v>178</v>
      </c>
      <c r="AI43" s="5">
        <f t="shared" si="1"/>
        <v>0</v>
      </c>
      <c r="AJ43" s="5">
        <f t="shared" si="1"/>
        <v>0</v>
      </c>
      <c r="AK43" s="5">
        <f t="shared" si="1"/>
        <v>0</v>
      </c>
      <c r="AL43" s="5">
        <f t="shared" si="1"/>
        <v>97</v>
      </c>
      <c r="AM43" s="5">
        <f t="shared" si="1"/>
        <v>0</v>
      </c>
      <c r="AN43" s="5">
        <f t="shared" si="1"/>
        <v>0</v>
      </c>
      <c r="AO43" s="5">
        <f t="shared" si="1"/>
        <v>0</v>
      </c>
      <c r="AP43" s="5">
        <f t="shared" si="1"/>
        <v>0</v>
      </c>
      <c r="AQ43" s="5">
        <f t="shared" si="1"/>
        <v>0</v>
      </c>
      <c r="AR43" s="5">
        <f t="shared" si="1"/>
        <v>0</v>
      </c>
      <c r="AS43" s="5">
        <f t="shared" si="1"/>
        <v>0</v>
      </c>
      <c r="AT43" s="5">
        <f t="shared" si="1"/>
        <v>0</v>
      </c>
      <c r="AU43" s="5">
        <f t="shared" si="1"/>
        <v>0</v>
      </c>
      <c r="AV43" s="5">
        <f t="shared" si="1"/>
        <v>0</v>
      </c>
      <c r="AW43" s="5">
        <f t="shared" si="1"/>
        <v>0</v>
      </c>
      <c r="AX43" s="5">
        <f t="shared" si="1"/>
        <v>0</v>
      </c>
      <c r="AY43" s="5">
        <f t="shared" si="1"/>
        <v>0</v>
      </c>
      <c r="AZ43" s="5">
        <f t="shared" si="1"/>
        <v>0</v>
      </c>
      <c r="BA43" s="5">
        <f t="shared" si="1"/>
        <v>0</v>
      </c>
      <c r="BB43" s="5">
        <f t="shared" si="1"/>
        <v>0</v>
      </c>
      <c r="BC43" s="5">
        <f t="shared" si="1"/>
        <v>0</v>
      </c>
      <c r="BD43" s="5">
        <f t="shared" si="1"/>
        <v>0</v>
      </c>
      <c r="BE43" s="5">
        <f t="shared" si="1"/>
        <v>0</v>
      </c>
      <c r="BF43" s="5">
        <f t="shared" si="1"/>
        <v>0</v>
      </c>
      <c r="BG43" s="5">
        <f t="shared" si="1"/>
        <v>0</v>
      </c>
    </row>
    <row r="44" spans="1:59" s="17" customFormat="1" ht="15.75" hidden="1" customHeight="1">
      <c r="A44" s="85"/>
      <c r="B44" s="87"/>
      <c r="C44" s="89"/>
      <c r="D44" s="91"/>
      <c r="E44" s="89"/>
      <c r="F44" s="89"/>
      <c r="G44" s="93"/>
      <c r="H44" s="90"/>
      <c r="I44" s="90"/>
      <c r="J44" s="90"/>
      <c r="K44" s="20"/>
      <c r="L44" s="20"/>
      <c r="M44" s="20"/>
      <c r="N44" s="97" t="e">
        <f>O45/L45</f>
        <v>#DIV/0!</v>
      </c>
      <c r="O44" s="21">
        <f>+L44-M44</f>
        <v>0</v>
      </c>
      <c r="P44" s="27">
        <v>0</v>
      </c>
      <c r="Q44" s="99">
        <f>+L45-P45</f>
        <v>0</v>
      </c>
      <c r="R44" s="169"/>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6"/>
      <c r="AZ44" s="106"/>
      <c r="BA44" s="106"/>
      <c r="BB44" s="106"/>
      <c r="BC44" s="106"/>
      <c r="BD44" s="106"/>
      <c r="BE44" s="103"/>
      <c r="BF44" s="104"/>
      <c r="BG44" s="104"/>
    </row>
    <row r="45" spans="1:59" s="17" customFormat="1" ht="15.75" hidden="1" customHeight="1">
      <c r="A45" s="86"/>
      <c r="B45" s="88"/>
      <c r="C45" s="90"/>
      <c r="D45" s="92"/>
      <c r="E45" s="90"/>
      <c r="F45" s="90"/>
      <c r="G45" s="94"/>
      <c r="H45" s="95"/>
      <c r="I45" s="95"/>
      <c r="J45" s="95"/>
      <c r="K45" s="22"/>
      <c r="L45" s="18"/>
      <c r="M45" s="18"/>
      <c r="N45" s="98"/>
      <c r="O45" s="19">
        <f>+L45-M45</f>
        <v>0</v>
      </c>
      <c r="P45" s="22">
        <v>0</v>
      </c>
      <c r="Q45" s="100"/>
      <c r="R45" s="86"/>
      <c r="S45" s="96"/>
      <c r="T45" s="96"/>
      <c r="U45" s="96"/>
      <c r="V45" s="96"/>
      <c r="W45" s="96"/>
      <c r="X45" s="96"/>
      <c r="Y45" s="96"/>
      <c r="Z45" s="96"/>
      <c r="AA45" s="96"/>
      <c r="AB45" s="96"/>
      <c r="AC45" s="96"/>
      <c r="AD45" s="96"/>
      <c r="AE45" s="96"/>
      <c r="AF45" s="96"/>
      <c r="AG45" s="96"/>
      <c r="AH45" s="96"/>
      <c r="AI45" s="96"/>
      <c r="AJ45" s="96"/>
      <c r="AK45" s="96"/>
      <c r="AL45" s="96"/>
      <c r="AM45" s="103"/>
      <c r="AN45" s="103"/>
      <c r="AO45" s="103"/>
      <c r="AP45" s="103"/>
      <c r="AQ45" s="103"/>
      <c r="AR45" s="103"/>
      <c r="AS45" s="103"/>
      <c r="AT45" s="103"/>
      <c r="AU45" s="103"/>
      <c r="AV45" s="103"/>
      <c r="AW45" s="103"/>
      <c r="AX45" s="103"/>
      <c r="AY45" s="107"/>
      <c r="AZ45" s="107"/>
      <c r="BA45" s="107"/>
      <c r="BB45" s="107"/>
      <c r="BC45" s="107"/>
      <c r="BD45" s="107"/>
      <c r="BE45" s="103"/>
      <c r="BF45" s="105"/>
      <c r="BG45" s="105"/>
    </row>
    <row r="46" spans="1:59" s="17" customFormat="1" ht="15.75" hidden="1" customHeight="1">
      <c r="A46" s="101"/>
      <c r="B46" s="114"/>
      <c r="C46" s="116"/>
      <c r="D46" s="118"/>
      <c r="E46" s="116"/>
      <c r="F46" s="116"/>
      <c r="G46" s="120"/>
      <c r="H46" s="90"/>
      <c r="I46" s="90"/>
      <c r="J46" s="90"/>
      <c r="K46" s="20"/>
      <c r="L46" s="20"/>
      <c r="M46" s="20"/>
      <c r="N46" s="97"/>
      <c r="O46" s="21"/>
      <c r="P46" s="27"/>
      <c r="Q46" s="99"/>
      <c r="R46" s="110"/>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6"/>
      <c r="AZ46" s="106"/>
      <c r="BA46" s="106"/>
      <c r="BB46" s="106"/>
      <c r="BC46" s="106"/>
      <c r="BD46" s="106"/>
      <c r="BE46" s="103"/>
      <c r="BF46" s="104"/>
      <c r="BG46" s="104"/>
    </row>
    <row r="47" spans="1:59" s="17" customFormat="1" ht="15.75" hidden="1" customHeight="1">
      <c r="A47" s="102"/>
      <c r="B47" s="115"/>
      <c r="C47" s="117"/>
      <c r="D47" s="119"/>
      <c r="E47" s="117"/>
      <c r="F47" s="117"/>
      <c r="G47" s="121"/>
      <c r="H47" s="95"/>
      <c r="I47" s="95"/>
      <c r="J47" s="95"/>
      <c r="K47" s="22"/>
      <c r="L47" s="18"/>
      <c r="M47" s="18"/>
      <c r="N47" s="98"/>
      <c r="O47" s="19"/>
      <c r="P47" s="22"/>
      <c r="Q47" s="100"/>
      <c r="R47" s="102"/>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7"/>
      <c r="AZ47" s="107"/>
      <c r="BA47" s="107"/>
      <c r="BB47" s="107"/>
      <c r="BC47" s="107"/>
      <c r="BD47" s="107"/>
      <c r="BE47" s="103"/>
      <c r="BF47" s="105"/>
      <c r="BG47" s="105"/>
    </row>
    <row r="48" spans="1:59" s="17" customFormat="1" ht="15.75" hidden="1" customHeight="1">
      <c r="A48" s="101"/>
      <c r="B48" s="114"/>
      <c r="C48" s="116"/>
      <c r="D48" s="118"/>
      <c r="E48" s="116"/>
      <c r="F48" s="116"/>
      <c r="G48" s="120"/>
      <c r="H48" s="90"/>
      <c r="I48" s="90"/>
      <c r="J48" s="90"/>
      <c r="K48" s="20"/>
      <c r="L48" s="20"/>
      <c r="M48" s="20"/>
      <c r="N48" s="97"/>
      <c r="O48" s="21"/>
      <c r="P48" s="27"/>
      <c r="Q48" s="99"/>
      <c r="R48" s="110"/>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6"/>
      <c r="AZ48" s="106"/>
      <c r="BA48" s="106"/>
      <c r="BB48" s="106"/>
      <c r="BC48" s="106"/>
      <c r="BD48" s="106"/>
      <c r="BE48" s="103"/>
      <c r="BF48" s="104"/>
      <c r="BG48" s="104"/>
    </row>
    <row r="49" spans="1:59" s="17" customFormat="1" ht="15.75" hidden="1" customHeight="1">
      <c r="A49" s="102"/>
      <c r="B49" s="115"/>
      <c r="C49" s="117"/>
      <c r="D49" s="119"/>
      <c r="E49" s="117"/>
      <c r="F49" s="117"/>
      <c r="G49" s="121"/>
      <c r="H49" s="95"/>
      <c r="I49" s="95"/>
      <c r="J49" s="95"/>
      <c r="K49" s="22"/>
      <c r="L49" s="18"/>
      <c r="M49" s="18"/>
      <c r="N49" s="98"/>
      <c r="O49" s="19"/>
      <c r="P49" s="22"/>
      <c r="Q49" s="100"/>
      <c r="R49" s="102"/>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7"/>
      <c r="AZ49" s="107"/>
      <c r="BA49" s="107"/>
      <c r="BB49" s="107"/>
      <c r="BC49" s="107"/>
      <c r="BD49" s="107"/>
      <c r="BE49" s="103"/>
      <c r="BF49" s="105"/>
      <c r="BG49" s="105"/>
    </row>
    <row r="50" spans="1:59" ht="24.75" hidden="1" customHeight="1">
      <c r="A50" s="111" t="s">
        <v>48</v>
      </c>
      <c r="B50" s="112"/>
      <c r="C50" s="112"/>
      <c r="D50" s="112"/>
      <c r="E50" s="112"/>
      <c r="F50" s="112"/>
      <c r="G50" s="112"/>
      <c r="H50" s="112"/>
      <c r="I50" s="113"/>
      <c r="J50" s="5">
        <f>SUM(J44:J49)</f>
        <v>0</v>
      </c>
      <c r="K50" s="5">
        <f>+SUMPRODUCT(((MOD(ROW(K44:K49),2)=0)*(K44:K49)))</f>
        <v>0</v>
      </c>
      <c r="L50" s="5">
        <f>+SUMPRODUCT(((MOD(ROW(L44:L49),2)=0)*(L44:L49)))</f>
        <v>0</v>
      </c>
      <c r="M50" s="5">
        <f>+SUMPRODUCT(((MOD(ROW(M44:M49),2)=0)*(M44:M49)))</f>
        <v>0</v>
      </c>
      <c r="N50" s="23" t="e">
        <f>O50/L50</f>
        <v>#DIV/0!</v>
      </c>
      <c r="O50" s="5">
        <f>+SUMPRODUCT(((MOD(ROW(O44:O49),2)=0)*(O44:O49)))</f>
        <v>0</v>
      </c>
      <c r="P50" s="5">
        <f>+SUMPRODUCT(((MOD(ROW(P44:P49),2)=0)*(P44:P49)))</f>
        <v>0</v>
      </c>
      <c r="Q50" s="29">
        <f>SUM(Q44:Q49)</f>
        <v>0</v>
      </c>
      <c r="R50" s="29"/>
      <c r="S50" s="5">
        <f t="shared" ref="S50:BG50" si="2">SUM(S44:S49)</f>
        <v>0</v>
      </c>
      <c r="T50" s="5">
        <f t="shared" si="2"/>
        <v>0</v>
      </c>
      <c r="U50" s="5">
        <f t="shared" si="2"/>
        <v>0</v>
      </c>
      <c r="V50" s="5">
        <f t="shared" si="2"/>
        <v>0</v>
      </c>
      <c r="W50" s="5">
        <f t="shared" si="2"/>
        <v>0</v>
      </c>
      <c r="X50" s="5">
        <f t="shared" si="2"/>
        <v>0</v>
      </c>
      <c r="Y50" s="5">
        <f t="shared" si="2"/>
        <v>0</v>
      </c>
      <c r="Z50" s="5">
        <f t="shared" si="2"/>
        <v>0</v>
      </c>
      <c r="AA50" s="5">
        <f t="shared" si="2"/>
        <v>0</v>
      </c>
      <c r="AB50" s="5">
        <f t="shared" si="2"/>
        <v>0</v>
      </c>
      <c r="AC50" s="5">
        <f t="shared" si="2"/>
        <v>0</v>
      </c>
      <c r="AD50" s="5">
        <f t="shared" si="2"/>
        <v>0</v>
      </c>
      <c r="AE50" s="5">
        <f t="shared" si="2"/>
        <v>0</v>
      </c>
      <c r="AF50" s="5">
        <f t="shared" si="2"/>
        <v>0</v>
      </c>
      <c r="AG50" s="5">
        <f t="shared" si="2"/>
        <v>0</v>
      </c>
      <c r="AH50" s="5">
        <f t="shared" si="2"/>
        <v>0</v>
      </c>
      <c r="AI50" s="5">
        <f t="shared" si="2"/>
        <v>0</v>
      </c>
      <c r="AJ50" s="5">
        <f t="shared" si="2"/>
        <v>0</v>
      </c>
      <c r="AK50" s="5">
        <f t="shared" si="2"/>
        <v>0</v>
      </c>
      <c r="AL50" s="5">
        <f t="shared" si="2"/>
        <v>0</v>
      </c>
      <c r="AM50" s="5">
        <f t="shared" si="2"/>
        <v>0</v>
      </c>
      <c r="AN50" s="5">
        <f t="shared" si="2"/>
        <v>0</v>
      </c>
      <c r="AO50" s="5">
        <f t="shared" si="2"/>
        <v>0</v>
      </c>
      <c r="AP50" s="5">
        <f t="shared" si="2"/>
        <v>0</v>
      </c>
      <c r="AQ50" s="5">
        <f t="shared" si="2"/>
        <v>0</v>
      </c>
      <c r="AR50" s="5">
        <f t="shared" si="2"/>
        <v>0</v>
      </c>
      <c r="AS50" s="5">
        <f t="shared" si="2"/>
        <v>0</v>
      </c>
      <c r="AT50" s="5">
        <f t="shared" si="2"/>
        <v>0</v>
      </c>
      <c r="AU50" s="5">
        <f t="shared" si="2"/>
        <v>0</v>
      </c>
      <c r="AV50" s="5">
        <f t="shared" si="2"/>
        <v>0</v>
      </c>
      <c r="AW50" s="5">
        <f t="shared" si="2"/>
        <v>0</v>
      </c>
      <c r="AX50" s="5">
        <f t="shared" si="2"/>
        <v>0</v>
      </c>
      <c r="AY50" s="5">
        <f t="shared" si="2"/>
        <v>0</v>
      </c>
      <c r="AZ50" s="5">
        <f t="shared" si="2"/>
        <v>0</v>
      </c>
      <c r="BA50" s="5">
        <f t="shared" si="2"/>
        <v>0</v>
      </c>
      <c r="BB50" s="5">
        <f t="shared" si="2"/>
        <v>0</v>
      </c>
      <c r="BC50" s="5">
        <f t="shared" si="2"/>
        <v>0</v>
      </c>
      <c r="BD50" s="5">
        <f t="shared" si="2"/>
        <v>0</v>
      </c>
      <c r="BE50" s="5">
        <f t="shared" si="2"/>
        <v>0</v>
      </c>
      <c r="BF50" s="5">
        <f t="shared" si="2"/>
        <v>0</v>
      </c>
      <c r="BG50" s="5">
        <f t="shared" si="2"/>
        <v>0</v>
      </c>
    </row>
    <row r="51" spans="1:59" s="17" customFormat="1" ht="15.75" hidden="1" customHeight="1">
      <c r="A51" s="85"/>
      <c r="B51" s="87"/>
      <c r="C51" s="89"/>
      <c r="D51" s="91"/>
      <c r="E51" s="89"/>
      <c r="F51" s="89"/>
      <c r="G51" s="93"/>
      <c r="H51" s="90"/>
      <c r="I51" s="90"/>
      <c r="J51" s="90"/>
      <c r="K51" s="20"/>
      <c r="L51" s="20"/>
      <c r="M51" s="20"/>
      <c r="N51" s="97"/>
      <c r="O51" s="21"/>
      <c r="P51" s="27"/>
      <c r="Q51" s="99"/>
      <c r="R51" s="110"/>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6"/>
      <c r="AZ51" s="106"/>
      <c r="BA51" s="106"/>
      <c r="BB51" s="106"/>
      <c r="BC51" s="106"/>
      <c r="BD51" s="106"/>
      <c r="BE51" s="103"/>
      <c r="BF51" s="104"/>
      <c r="BG51" s="104"/>
    </row>
    <row r="52" spans="1:59" s="17" customFormat="1" ht="15.75" hidden="1" customHeight="1">
      <c r="A52" s="86"/>
      <c r="B52" s="88"/>
      <c r="C52" s="90"/>
      <c r="D52" s="92"/>
      <c r="E52" s="90"/>
      <c r="F52" s="90"/>
      <c r="G52" s="94"/>
      <c r="H52" s="95"/>
      <c r="I52" s="95"/>
      <c r="J52" s="95"/>
      <c r="K52" s="22"/>
      <c r="L52" s="18"/>
      <c r="M52" s="18"/>
      <c r="N52" s="98"/>
      <c r="O52" s="19"/>
      <c r="P52" s="22"/>
      <c r="Q52" s="100"/>
      <c r="R52" s="102"/>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7"/>
      <c r="AZ52" s="107"/>
      <c r="BA52" s="107"/>
      <c r="BB52" s="107"/>
      <c r="BC52" s="107"/>
      <c r="BD52" s="107"/>
      <c r="BE52" s="103"/>
      <c r="BF52" s="105"/>
      <c r="BG52" s="105"/>
    </row>
    <row r="53" spans="1:59" s="17" customFormat="1" ht="15.75" hidden="1" customHeight="1">
      <c r="A53" s="101"/>
      <c r="B53" s="114"/>
      <c r="C53" s="116"/>
      <c r="D53" s="118"/>
      <c r="E53" s="118"/>
      <c r="F53" s="116"/>
      <c r="G53" s="120"/>
      <c r="H53" s="90"/>
      <c r="I53" s="90"/>
      <c r="J53" s="90"/>
      <c r="K53" s="20"/>
      <c r="L53" s="20"/>
      <c r="M53" s="20"/>
      <c r="N53" s="97" t="e">
        <f>O54/L54</f>
        <v>#DIV/0!</v>
      </c>
      <c r="O53" s="21">
        <f t="shared" ref="O53:O60" si="3">L53-M53</f>
        <v>0</v>
      </c>
      <c r="P53" s="27"/>
      <c r="Q53" s="99">
        <f>+L54-P54</f>
        <v>0</v>
      </c>
      <c r="R53" s="110"/>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5.75" hidden="1" customHeight="1">
      <c r="A54" s="102"/>
      <c r="B54" s="115"/>
      <c r="C54" s="117"/>
      <c r="D54" s="119"/>
      <c r="E54" s="119"/>
      <c r="F54" s="117"/>
      <c r="G54" s="121"/>
      <c r="H54" s="95"/>
      <c r="I54" s="95"/>
      <c r="J54" s="95"/>
      <c r="K54" s="22"/>
      <c r="L54" s="18"/>
      <c r="M54" s="18"/>
      <c r="N54" s="98"/>
      <c r="O54" s="19">
        <f t="shared" si="3"/>
        <v>0</v>
      </c>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5.75" hidden="1" customHeight="1">
      <c r="A55" s="101"/>
      <c r="B55" s="114"/>
      <c r="C55" s="116"/>
      <c r="D55" s="118"/>
      <c r="E55" s="118"/>
      <c r="F55" s="116"/>
      <c r="G55" s="120"/>
      <c r="H55" s="90"/>
      <c r="I55" s="90"/>
      <c r="J55" s="90"/>
      <c r="K55" s="20"/>
      <c r="L55" s="20"/>
      <c r="M55" s="20"/>
      <c r="N55" s="97" t="e">
        <f>O56/L56</f>
        <v>#DIV/0!</v>
      </c>
      <c r="O55" s="21">
        <f t="shared" si="3"/>
        <v>0</v>
      </c>
      <c r="P55" s="27"/>
      <c r="Q55" s="99">
        <f>+L56-P56</f>
        <v>0</v>
      </c>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102"/>
      <c r="B56" s="115"/>
      <c r="C56" s="117"/>
      <c r="D56" s="119"/>
      <c r="E56" s="119"/>
      <c r="F56" s="117"/>
      <c r="G56" s="121"/>
      <c r="H56" s="95"/>
      <c r="I56" s="95"/>
      <c r="J56" s="95"/>
      <c r="K56" s="22"/>
      <c r="L56" s="18"/>
      <c r="M56" s="18"/>
      <c r="N56" s="98"/>
      <c r="O56" s="19">
        <f t="shared" si="3"/>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si="3"/>
        <v>0</v>
      </c>
      <c r="P57" s="27"/>
      <c r="Q57" s="99">
        <f>+L58-P58</f>
        <v>0</v>
      </c>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109"/>
      <c r="I59" s="90"/>
      <c r="J59" s="90"/>
      <c r="K59" s="20"/>
      <c r="L59" s="20"/>
      <c r="M59" s="20"/>
      <c r="N59" s="97" t="e">
        <f>O60/L60</f>
        <v>#DIV/0!</v>
      </c>
      <c r="O59" s="21">
        <f t="shared" si="3"/>
        <v>0</v>
      </c>
      <c r="P59" s="27"/>
      <c r="Q59" s="99">
        <f>+L60-P60</f>
        <v>0</v>
      </c>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6"/>
      <c r="F61" s="116"/>
      <c r="G61" s="120"/>
      <c r="H61" s="90"/>
      <c r="I61" s="90"/>
      <c r="J61" s="90"/>
      <c r="K61" s="20"/>
      <c r="L61" s="20"/>
      <c r="M61" s="20"/>
      <c r="N61" s="97" t="e">
        <f>O62/L62</f>
        <v>#DIV/0!</v>
      </c>
      <c r="O61" s="21"/>
      <c r="P61" s="27"/>
      <c r="Q61" s="99"/>
      <c r="R61" s="110"/>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7"/>
      <c r="F62" s="117"/>
      <c r="G62" s="121"/>
      <c r="H62" s="95"/>
      <c r="I62" s="95"/>
      <c r="J62" s="95"/>
      <c r="K62" s="22"/>
      <c r="L62" s="18"/>
      <c r="M62" s="18"/>
      <c r="N62" s="98"/>
      <c r="O62" s="19"/>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ht="24.75" hidden="1" customHeight="1">
      <c r="A63" s="111" t="s">
        <v>74</v>
      </c>
      <c r="B63" s="112"/>
      <c r="C63" s="112"/>
      <c r="D63" s="112"/>
      <c r="E63" s="112"/>
      <c r="F63" s="112"/>
      <c r="G63" s="112"/>
      <c r="H63" s="112"/>
      <c r="I63" s="113"/>
      <c r="J63" s="5">
        <f>+SUMPRODUCT(((MOD(ROW(J51:J62),2)=1)*(J51:J62)))</f>
        <v>0</v>
      </c>
      <c r="K63" s="5">
        <f>+SUMPRODUCT(((MOD(ROW(K51:K62),2)=1)*(K51:K62)))</f>
        <v>0</v>
      </c>
      <c r="L63" s="5">
        <f>+SUMPRODUCT(((MOD(ROW(L51:L62),2)=1)*(L51:L62)))</f>
        <v>0</v>
      </c>
      <c r="M63" s="5">
        <f>+SUMPRODUCT(((MOD(ROW(M51:M62),2)=1)*(M51:M62)))</f>
        <v>0</v>
      </c>
      <c r="N63" s="23" t="e">
        <f>O63/L63</f>
        <v>#DIV/0!</v>
      </c>
      <c r="O63" s="5">
        <f>+SUMPRODUCT(((MOD(ROW(O51:O62),2)=1)*(O51:O62)))</f>
        <v>0</v>
      </c>
      <c r="P63" s="5">
        <f>+SUMPRODUCT(((MOD(ROW(P51:P62),2)=1)*(P51:P62)))</f>
        <v>0</v>
      </c>
      <c r="Q63" s="29">
        <f>SUM(Q51:Q62)</f>
        <v>0</v>
      </c>
      <c r="R63" s="29"/>
      <c r="S63" s="5">
        <f t="shared" ref="S63:BG63" si="4">SUM(S51:S62)</f>
        <v>0</v>
      </c>
      <c r="T63" s="5">
        <f t="shared" si="4"/>
        <v>0</v>
      </c>
      <c r="U63" s="5">
        <f t="shared" si="4"/>
        <v>0</v>
      </c>
      <c r="V63" s="5">
        <f t="shared" si="4"/>
        <v>0</v>
      </c>
      <c r="W63" s="5">
        <f t="shared" si="4"/>
        <v>0</v>
      </c>
      <c r="X63" s="5">
        <f t="shared" si="4"/>
        <v>0</v>
      </c>
      <c r="Y63" s="5">
        <f t="shared" si="4"/>
        <v>0</v>
      </c>
      <c r="Z63" s="5">
        <f t="shared" si="4"/>
        <v>0</v>
      </c>
      <c r="AA63" s="5">
        <f t="shared" si="4"/>
        <v>0</v>
      </c>
      <c r="AB63" s="5">
        <f t="shared" si="4"/>
        <v>0</v>
      </c>
      <c r="AC63" s="5">
        <f t="shared" si="4"/>
        <v>0</v>
      </c>
      <c r="AD63" s="5">
        <f t="shared" si="4"/>
        <v>0</v>
      </c>
      <c r="AE63" s="5">
        <f t="shared" si="4"/>
        <v>0</v>
      </c>
      <c r="AF63" s="5">
        <f t="shared" si="4"/>
        <v>0</v>
      </c>
      <c r="AG63" s="5">
        <f t="shared" si="4"/>
        <v>0</v>
      </c>
      <c r="AH63" s="5">
        <f t="shared" si="4"/>
        <v>0</v>
      </c>
      <c r="AI63" s="5">
        <f t="shared" si="4"/>
        <v>0</v>
      </c>
      <c r="AJ63" s="5">
        <f t="shared" si="4"/>
        <v>0</v>
      </c>
      <c r="AK63" s="5">
        <f t="shared" si="4"/>
        <v>0</v>
      </c>
      <c r="AL63" s="5">
        <f t="shared" si="4"/>
        <v>0</v>
      </c>
      <c r="AM63" s="5">
        <f t="shared" si="4"/>
        <v>0</v>
      </c>
      <c r="AN63" s="5">
        <f t="shared" si="4"/>
        <v>0</v>
      </c>
      <c r="AO63" s="5">
        <f t="shared" si="4"/>
        <v>0</v>
      </c>
      <c r="AP63" s="5">
        <f t="shared" si="4"/>
        <v>0</v>
      </c>
      <c r="AQ63" s="5">
        <f t="shared" si="4"/>
        <v>0</v>
      </c>
      <c r="AR63" s="5">
        <f t="shared" si="4"/>
        <v>0</v>
      </c>
      <c r="AS63" s="5">
        <f t="shared" si="4"/>
        <v>0</v>
      </c>
      <c r="AT63" s="5">
        <f t="shared" si="4"/>
        <v>0</v>
      </c>
      <c r="AU63" s="5">
        <f t="shared" si="4"/>
        <v>0</v>
      </c>
      <c r="AV63" s="5">
        <f t="shared" si="4"/>
        <v>0</v>
      </c>
      <c r="AW63" s="5">
        <f t="shared" si="4"/>
        <v>0</v>
      </c>
      <c r="AX63" s="5">
        <f t="shared" si="4"/>
        <v>0</v>
      </c>
      <c r="AY63" s="5">
        <f t="shared" si="4"/>
        <v>0</v>
      </c>
      <c r="AZ63" s="5">
        <f t="shared" si="4"/>
        <v>0</v>
      </c>
      <c r="BA63" s="5">
        <f t="shared" si="4"/>
        <v>0</v>
      </c>
      <c r="BB63" s="5">
        <f t="shared" si="4"/>
        <v>0</v>
      </c>
      <c r="BC63" s="5">
        <f t="shared" si="4"/>
        <v>0</v>
      </c>
      <c r="BD63" s="5">
        <f t="shared" si="4"/>
        <v>0</v>
      </c>
      <c r="BE63" s="5">
        <f t="shared" si="4"/>
        <v>0</v>
      </c>
      <c r="BF63" s="5">
        <f t="shared" si="4"/>
        <v>0</v>
      </c>
      <c r="BG63" s="5">
        <f t="shared" si="4"/>
        <v>0</v>
      </c>
    </row>
    <row r="64" spans="1:59" ht="24.75" customHeight="1">
      <c r="A64" s="122" t="s">
        <v>5</v>
      </c>
      <c r="B64" s="122"/>
      <c r="C64" s="122"/>
      <c r="D64" s="122"/>
      <c r="E64" s="122"/>
      <c r="F64" s="122"/>
      <c r="G64" s="122"/>
      <c r="H64" s="122"/>
      <c r="I64" s="122"/>
      <c r="J64" s="30">
        <f>J43+J63+J50</f>
        <v>20569</v>
      </c>
      <c r="K64" s="42">
        <f>K43+K50+K63</f>
        <v>1124</v>
      </c>
      <c r="L64" s="42">
        <f>L43+L50+L63</f>
        <v>1498</v>
      </c>
      <c r="M64" s="42">
        <f>M43+M50+M63</f>
        <v>413</v>
      </c>
      <c r="N64" s="32">
        <f>+O64/L64</f>
        <v>0.72429906542056077</v>
      </c>
      <c r="O64" s="42">
        <f>O43+O50+O63</f>
        <v>1085</v>
      </c>
      <c r="P64" s="42">
        <f>P43+P50+P63</f>
        <v>851</v>
      </c>
      <c r="Q64" s="42">
        <f>Q43+Q50+Q63</f>
        <v>2365</v>
      </c>
      <c r="R64" s="42"/>
      <c r="S64" s="42">
        <f t="shared" ref="S64:BG64" si="5">S43+S50+S63</f>
        <v>143</v>
      </c>
      <c r="T64" s="42">
        <f t="shared" si="5"/>
        <v>197</v>
      </c>
      <c r="U64" s="42">
        <f t="shared" si="5"/>
        <v>43</v>
      </c>
      <c r="V64" s="42">
        <f t="shared" si="5"/>
        <v>0</v>
      </c>
      <c r="W64" s="42">
        <f t="shared" si="5"/>
        <v>0</v>
      </c>
      <c r="X64" s="42">
        <f t="shared" si="5"/>
        <v>7</v>
      </c>
      <c r="Y64" s="42">
        <f t="shared" si="5"/>
        <v>0</v>
      </c>
      <c r="Z64" s="42">
        <f t="shared" si="5"/>
        <v>0</v>
      </c>
      <c r="AA64" s="42">
        <f t="shared" si="5"/>
        <v>0</v>
      </c>
      <c r="AB64" s="42">
        <f t="shared" si="5"/>
        <v>0</v>
      </c>
      <c r="AC64" s="42">
        <f t="shared" si="5"/>
        <v>186</v>
      </c>
      <c r="AD64" s="42">
        <f t="shared" si="5"/>
        <v>14</v>
      </c>
      <c r="AE64" s="42">
        <f t="shared" si="5"/>
        <v>41</v>
      </c>
      <c r="AF64" s="42">
        <f t="shared" si="5"/>
        <v>114</v>
      </c>
      <c r="AG64" s="42">
        <f t="shared" si="5"/>
        <v>65</v>
      </c>
      <c r="AH64" s="42">
        <f t="shared" si="5"/>
        <v>178</v>
      </c>
      <c r="AI64" s="42">
        <f t="shared" si="5"/>
        <v>0</v>
      </c>
      <c r="AJ64" s="42">
        <f t="shared" si="5"/>
        <v>0</v>
      </c>
      <c r="AK64" s="42">
        <f t="shared" si="5"/>
        <v>0</v>
      </c>
      <c r="AL64" s="42">
        <f t="shared" si="5"/>
        <v>97</v>
      </c>
      <c r="AM64" s="42">
        <f t="shared" si="5"/>
        <v>0</v>
      </c>
      <c r="AN64" s="42">
        <f t="shared" si="5"/>
        <v>0</v>
      </c>
      <c r="AO64" s="42">
        <f t="shared" si="5"/>
        <v>0</v>
      </c>
      <c r="AP64" s="42">
        <f t="shared" si="5"/>
        <v>0</v>
      </c>
      <c r="AQ64" s="42">
        <f t="shared" si="5"/>
        <v>0</v>
      </c>
      <c r="AR64" s="42">
        <f t="shared" si="5"/>
        <v>0</v>
      </c>
      <c r="AS64" s="42">
        <f t="shared" si="5"/>
        <v>0</v>
      </c>
      <c r="AT64" s="42">
        <f t="shared" si="5"/>
        <v>0</v>
      </c>
      <c r="AU64" s="42">
        <f t="shared" si="5"/>
        <v>0</v>
      </c>
      <c r="AV64" s="42">
        <f t="shared" si="5"/>
        <v>0</v>
      </c>
      <c r="AW64" s="42">
        <f t="shared" si="5"/>
        <v>0</v>
      </c>
      <c r="AX64" s="42">
        <f t="shared" si="5"/>
        <v>0</v>
      </c>
      <c r="AY64" s="42">
        <f t="shared" si="5"/>
        <v>0</v>
      </c>
      <c r="AZ64" s="42">
        <f t="shared" si="5"/>
        <v>0</v>
      </c>
      <c r="BA64" s="42">
        <f t="shared" si="5"/>
        <v>0</v>
      </c>
      <c r="BB64" s="42">
        <f t="shared" si="5"/>
        <v>0</v>
      </c>
      <c r="BC64" s="42">
        <f t="shared" si="5"/>
        <v>0</v>
      </c>
      <c r="BD64" s="42">
        <f t="shared" si="5"/>
        <v>0</v>
      </c>
      <c r="BE64" s="42">
        <f t="shared" si="5"/>
        <v>0</v>
      </c>
      <c r="BF64" s="42">
        <f t="shared" si="5"/>
        <v>0</v>
      </c>
      <c r="BG64" s="42">
        <f t="shared" si="5"/>
        <v>0</v>
      </c>
    </row>
    <row r="65" spans="1:59" ht="31.8">
      <c r="A65" s="81" t="s">
        <v>36</v>
      </c>
      <c r="B65" s="81"/>
      <c r="C65" s="81"/>
      <c r="D65" s="81"/>
      <c r="E65" s="81"/>
      <c r="F65" s="81"/>
      <c r="G65" s="81"/>
      <c r="H65" s="81"/>
      <c r="I65" s="81"/>
      <c r="J65" s="81"/>
      <c r="K65" s="81"/>
      <c r="L65" s="81"/>
      <c r="M65" s="81"/>
      <c r="N65" s="81"/>
      <c r="O65" s="81"/>
      <c r="P65" s="24"/>
      <c r="Q65" s="24"/>
      <c r="R65" s="24"/>
      <c r="AM65" s="34"/>
      <c r="AN65" s="34"/>
      <c r="AO65" s="34"/>
      <c r="AP65" s="34"/>
      <c r="AQ65" s="34"/>
      <c r="AR65" s="34"/>
      <c r="AS65" s="34"/>
      <c r="AT65" s="34"/>
      <c r="AU65" s="34"/>
      <c r="AV65" s="34"/>
      <c r="AW65" s="34"/>
      <c r="AX65" s="34"/>
      <c r="AY65" s="34"/>
      <c r="AZ65" s="34"/>
      <c r="BA65" s="34"/>
      <c r="BB65" s="34"/>
      <c r="BC65" s="34"/>
      <c r="BD65" s="34"/>
      <c r="BE65" s="34"/>
      <c r="BF65" s="34"/>
      <c r="BG65" s="34"/>
    </row>
    <row r="66" spans="1:59" ht="33.75" customHeight="1">
      <c r="A66" s="82" t="s">
        <v>13</v>
      </c>
      <c r="B66" s="82"/>
      <c r="C66" s="82"/>
      <c r="D66" s="82"/>
      <c r="E66" s="82"/>
      <c r="F66" s="82"/>
      <c r="G66" s="82"/>
      <c r="H66" s="82"/>
      <c r="I66" s="82"/>
      <c r="J66" s="82"/>
      <c r="K66" s="82"/>
      <c r="L66" s="82"/>
      <c r="M66" s="82"/>
      <c r="N66" s="82"/>
      <c r="O66" s="82"/>
      <c r="AM66" s="34"/>
      <c r="AN66" s="34"/>
      <c r="AO66" s="34"/>
      <c r="AP66" s="34"/>
      <c r="AQ66" s="34"/>
      <c r="AR66" s="34"/>
      <c r="AS66" s="34"/>
      <c r="AT66" s="34"/>
      <c r="AU66" s="34"/>
      <c r="AV66" s="34"/>
      <c r="AW66" s="34"/>
      <c r="AX66" s="34"/>
      <c r="AY66" s="34"/>
      <c r="AZ66" s="34"/>
      <c r="BA66" s="34"/>
      <c r="BB66" s="34"/>
      <c r="BC66" s="34"/>
      <c r="BD66" s="34"/>
      <c r="BE66" s="34"/>
      <c r="BF66" s="34"/>
      <c r="BG66" s="34"/>
    </row>
    <row r="67" spans="1:59" ht="62.4">
      <c r="A67" s="9" t="s">
        <v>0</v>
      </c>
      <c r="B67" s="10" t="s">
        <v>34</v>
      </c>
      <c r="C67" s="11" t="s">
        <v>7</v>
      </c>
      <c r="D67" s="12" t="s">
        <v>1</v>
      </c>
      <c r="E67" s="13" t="s">
        <v>4</v>
      </c>
      <c r="F67" s="13" t="s">
        <v>2</v>
      </c>
      <c r="G67" s="13" t="s">
        <v>3</v>
      </c>
      <c r="H67" s="11" t="s">
        <v>6</v>
      </c>
      <c r="I67" s="14" t="s">
        <v>8</v>
      </c>
      <c r="J67" s="14" t="s">
        <v>17</v>
      </c>
      <c r="K67" s="12" t="s">
        <v>9</v>
      </c>
      <c r="L67" s="15" t="s">
        <v>10</v>
      </c>
      <c r="M67" s="15" t="s">
        <v>11</v>
      </c>
      <c r="N67" s="15" t="s">
        <v>12</v>
      </c>
      <c r="O67" s="15" t="s">
        <v>14</v>
      </c>
      <c r="P67" s="26" t="s">
        <v>16</v>
      </c>
      <c r="Q67" s="15" t="s">
        <v>42</v>
      </c>
      <c r="R67" s="15" t="s">
        <v>44</v>
      </c>
      <c r="S67" s="83">
        <v>101</v>
      </c>
      <c r="T67" s="83">
        <v>102</v>
      </c>
      <c r="U67" s="80">
        <v>106</v>
      </c>
      <c r="V67" s="80">
        <v>108</v>
      </c>
      <c r="W67" s="80">
        <v>109</v>
      </c>
      <c r="X67" s="80">
        <v>113</v>
      </c>
      <c r="Y67" s="80">
        <v>114</v>
      </c>
      <c r="Z67" s="80">
        <v>115</v>
      </c>
      <c r="AA67" s="80">
        <v>116</v>
      </c>
      <c r="AB67" s="80">
        <v>199</v>
      </c>
      <c r="AC67" s="80">
        <v>201</v>
      </c>
      <c r="AD67" s="80">
        <v>202</v>
      </c>
      <c r="AE67" s="80">
        <v>203</v>
      </c>
      <c r="AF67" s="80">
        <v>205</v>
      </c>
      <c r="AG67" s="80">
        <v>206</v>
      </c>
      <c r="AH67" s="79">
        <v>209</v>
      </c>
      <c r="AI67" s="79">
        <v>212</v>
      </c>
      <c r="AJ67" s="79">
        <v>216</v>
      </c>
      <c r="AK67" s="79">
        <v>217</v>
      </c>
      <c r="AL67" s="79">
        <v>299</v>
      </c>
      <c r="AM67" s="79">
        <v>301</v>
      </c>
      <c r="AN67" s="79">
        <v>302</v>
      </c>
      <c r="AO67" s="79">
        <v>399</v>
      </c>
      <c r="AP67" s="79">
        <v>401</v>
      </c>
      <c r="AQ67" s="79">
        <v>402</v>
      </c>
      <c r="AR67" s="79">
        <v>411</v>
      </c>
      <c r="AS67" s="79">
        <v>412</v>
      </c>
      <c r="AT67" s="79">
        <v>413</v>
      </c>
      <c r="AU67" s="79">
        <v>499</v>
      </c>
      <c r="AV67" s="79">
        <v>501</v>
      </c>
      <c r="AW67" s="79">
        <v>502</v>
      </c>
      <c r="AX67" s="79">
        <v>599</v>
      </c>
      <c r="AY67" s="79">
        <v>604</v>
      </c>
      <c r="AZ67" s="79">
        <v>605</v>
      </c>
      <c r="BA67" s="79">
        <v>699</v>
      </c>
      <c r="BB67" s="79">
        <v>701</v>
      </c>
      <c r="BC67" s="79">
        <v>702</v>
      </c>
      <c r="BD67" s="79">
        <v>703</v>
      </c>
      <c r="BE67" s="79">
        <v>704</v>
      </c>
      <c r="BF67" s="79">
        <v>799</v>
      </c>
      <c r="BG67" s="84">
        <v>999</v>
      </c>
    </row>
    <row r="68" spans="1:59" ht="62.25" customHeight="1">
      <c r="A68" s="10" t="s">
        <v>18</v>
      </c>
      <c r="B68" s="10" t="s">
        <v>19</v>
      </c>
      <c r="C68" s="13" t="s">
        <v>20</v>
      </c>
      <c r="D68" s="12" t="s">
        <v>21</v>
      </c>
      <c r="E68" s="13" t="s">
        <v>22</v>
      </c>
      <c r="F68" s="13" t="s">
        <v>23</v>
      </c>
      <c r="G68" s="13" t="s">
        <v>25</v>
      </c>
      <c r="H68" s="13" t="s">
        <v>24</v>
      </c>
      <c r="I68" s="14" t="s">
        <v>26</v>
      </c>
      <c r="J68" s="14" t="s">
        <v>27</v>
      </c>
      <c r="K68" s="15" t="s">
        <v>28</v>
      </c>
      <c r="L68" s="15" t="s">
        <v>29</v>
      </c>
      <c r="M68" s="15" t="s">
        <v>30</v>
      </c>
      <c r="N68" s="15" t="s">
        <v>32</v>
      </c>
      <c r="O68" s="15" t="s">
        <v>31</v>
      </c>
      <c r="P68" s="26" t="s">
        <v>33</v>
      </c>
      <c r="Q68" s="15" t="s">
        <v>43</v>
      </c>
      <c r="R68" s="15" t="s">
        <v>45</v>
      </c>
      <c r="S68" s="83"/>
      <c r="T68" s="83"/>
      <c r="U68" s="80"/>
      <c r="V68" s="80"/>
      <c r="W68" s="80"/>
      <c r="X68" s="80"/>
      <c r="Y68" s="80"/>
      <c r="Z68" s="80"/>
      <c r="AA68" s="80"/>
      <c r="AB68" s="80"/>
      <c r="AC68" s="80"/>
      <c r="AD68" s="80"/>
      <c r="AE68" s="80"/>
      <c r="AF68" s="80"/>
      <c r="AG68" s="80"/>
      <c r="AH68" s="79"/>
      <c r="AI68" s="79"/>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84"/>
    </row>
    <row r="69" spans="1:59" s="17" customFormat="1" ht="15.75" hidden="1" customHeight="1">
      <c r="A69" s="108"/>
      <c r="B69" s="87"/>
      <c r="C69" s="89"/>
      <c r="D69" s="91"/>
      <c r="E69" s="89"/>
      <c r="F69" s="89"/>
      <c r="G69" s="93"/>
      <c r="H69" s="89"/>
      <c r="I69" s="89"/>
      <c r="J69" s="89"/>
      <c r="K69" s="20"/>
      <c r="L69" s="20"/>
      <c r="M69" s="20"/>
      <c r="N69" s="146" t="e">
        <f>O70/L70</f>
        <v>#DIV/0!</v>
      </c>
      <c r="O69" s="21">
        <f t="shared" ref="O69:O74" si="6">L69-M69</f>
        <v>0</v>
      </c>
      <c r="P69" s="27"/>
      <c r="Q69" s="99">
        <f>+L70-P70</f>
        <v>0</v>
      </c>
      <c r="R69" s="108"/>
      <c r="S69" s="149"/>
      <c r="T69" s="149"/>
      <c r="U69" s="149"/>
      <c r="V69" s="149"/>
      <c r="W69" s="149"/>
      <c r="X69" s="149"/>
      <c r="Y69" s="149"/>
      <c r="Z69" s="149"/>
      <c r="AA69" s="149"/>
      <c r="AB69" s="149"/>
      <c r="AC69" s="149"/>
      <c r="AD69" s="149"/>
      <c r="AE69" s="149"/>
      <c r="AF69" s="149"/>
      <c r="AG69" s="149"/>
      <c r="AH69" s="149"/>
      <c r="AI69" s="149"/>
      <c r="AJ69" s="149"/>
      <c r="AK69" s="149"/>
      <c r="AL69" s="149"/>
      <c r="AM69" s="163"/>
      <c r="AN69" s="163"/>
      <c r="AO69" s="163"/>
      <c r="AP69" s="163"/>
      <c r="AQ69" s="163"/>
      <c r="AR69" s="163"/>
      <c r="AS69" s="163"/>
      <c r="AT69" s="163"/>
      <c r="AU69" s="163"/>
      <c r="AV69" s="163"/>
      <c r="AW69" s="163"/>
      <c r="AX69" s="163"/>
      <c r="AY69" s="167"/>
      <c r="AZ69" s="167"/>
      <c r="BA69" s="167"/>
      <c r="BB69" s="167"/>
      <c r="BC69" s="167"/>
      <c r="BD69" s="161"/>
      <c r="BE69" s="163"/>
      <c r="BF69" s="165"/>
      <c r="BG69" s="165"/>
    </row>
    <row r="70" spans="1:59" s="17" customFormat="1" ht="15.75" hidden="1" customHeight="1">
      <c r="A70" s="85"/>
      <c r="B70" s="88"/>
      <c r="C70" s="90"/>
      <c r="D70" s="92"/>
      <c r="E70" s="90"/>
      <c r="F70" s="90"/>
      <c r="G70" s="94"/>
      <c r="H70" s="90"/>
      <c r="I70" s="90"/>
      <c r="J70" s="90"/>
      <c r="K70" s="22"/>
      <c r="L70" s="18"/>
      <c r="M70" s="18"/>
      <c r="N70" s="147"/>
      <c r="O70" s="19">
        <f t="shared" si="6"/>
        <v>0</v>
      </c>
      <c r="P70" s="22"/>
      <c r="Q70" s="100"/>
      <c r="R70" s="85"/>
      <c r="S70" s="150"/>
      <c r="T70" s="150"/>
      <c r="U70" s="150"/>
      <c r="V70" s="150"/>
      <c r="W70" s="150"/>
      <c r="X70" s="150"/>
      <c r="Y70" s="150"/>
      <c r="Z70" s="150"/>
      <c r="AA70" s="150"/>
      <c r="AB70" s="150"/>
      <c r="AC70" s="150"/>
      <c r="AD70" s="150"/>
      <c r="AE70" s="150"/>
      <c r="AF70" s="150"/>
      <c r="AG70" s="150"/>
      <c r="AH70" s="150"/>
      <c r="AI70" s="150"/>
      <c r="AJ70" s="150"/>
      <c r="AK70" s="150"/>
      <c r="AL70" s="150"/>
      <c r="AM70" s="164"/>
      <c r="AN70" s="164"/>
      <c r="AO70" s="164"/>
      <c r="AP70" s="164"/>
      <c r="AQ70" s="164"/>
      <c r="AR70" s="164"/>
      <c r="AS70" s="164"/>
      <c r="AT70" s="164"/>
      <c r="AU70" s="164"/>
      <c r="AV70" s="164"/>
      <c r="AW70" s="164"/>
      <c r="AX70" s="164"/>
      <c r="AY70" s="168"/>
      <c r="AZ70" s="168"/>
      <c r="BA70" s="168"/>
      <c r="BB70" s="168"/>
      <c r="BC70" s="168"/>
      <c r="BD70" s="162"/>
      <c r="BE70" s="164"/>
      <c r="BF70" s="166"/>
      <c r="BG70" s="166"/>
    </row>
    <row r="71" spans="1:59" s="17" customFormat="1" ht="18" customHeight="1">
      <c r="A71" s="108">
        <v>45266</v>
      </c>
      <c r="B71" s="138" t="s">
        <v>37</v>
      </c>
      <c r="C71" s="90" t="s">
        <v>56</v>
      </c>
      <c r="D71" s="91" t="s">
        <v>38</v>
      </c>
      <c r="E71" s="89">
        <v>84217</v>
      </c>
      <c r="F71" s="89" t="s">
        <v>49</v>
      </c>
      <c r="G71" s="137" t="s">
        <v>61</v>
      </c>
      <c r="H71" s="95" t="s">
        <v>39</v>
      </c>
      <c r="I71" s="90">
        <v>4497</v>
      </c>
      <c r="J71" s="90">
        <v>4097</v>
      </c>
      <c r="K71" s="20">
        <v>80</v>
      </c>
      <c r="L71" s="20">
        <f>370+60</f>
        <v>430</v>
      </c>
      <c r="M71" s="20">
        <f>74+40</f>
        <v>114</v>
      </c>
      <c r="N71" s="97">
        <f>O72/L72</f>
        <v>0.63786982248520707</v>
      </c>
      <c r="O71" s="21">
        <f t="shared" si="6"/>
        <v>316</v>
      </c>
      <c r="P71" s="27">
        <f>200+66</f>
        <v>266</v>
      </c>
      <c r="Q71" s="99">
        <f>+L72-P72</f>
        <v>230</v>
      </c>
      <c r="R71" s="85"/>
      <c r="S71" s="96">
        <v>13</v>
      </c>
      <c r="T71" s="96">
        <v>5</v>
      </c>
      <c r="U71" s="96">
        <f>31+5</f>
        <v>36</v>
      </c>
      <c r="V71" s="96"/>
      <c r="W71" s="96"/>
      <c r="X71" s="96">
        <v>5</v>
      </c>
      <c r="Y71" s="96">
        <v>5</v>
      </c>
      <c r="Z71" s="96"/>
      <c r="AA71" s="96"/>
      <c r="AB71" s="96"/>
      <c r="AC71" s="96">
        <v>60</v>
      </c>
      <c r="AD71" s="96">
        <v>15</v>
      </c>
      <c r="AE71" s="96">
        <v>42</v>
      </c>
      <c r="AF71" s="96">
        <v>29</v>
      </c>
      <c r="AG71" s="96">
        <v>15</v>
      </c>
      <c r="AH71" s="96">
        <v>48</v>
      </c>
      <c r="AI71" s="96"/>
      <c r="AJ71" s="96"/>
      <c r="AK71" s="96"/>
      <c r="AL71" s="96">
        <v>43</v>
      </c>
      <c r="AM71" s="103"/>
      <c r="AN71" s="103"/>
      <c r="AO71" s="103"/>
      <c r="AP71" s="103"/>
      <c r="AQ71" s="103"/>
      <c r="AR71" s="103"/>
      <c r="AS71" s="103"/>
      <c r="AT71" s="103"/>
      <c r="AU71" s="103"/>
      <c r="AV71" s="103"/>
      <c r="AW71" s="103"/>
      <c r="AX71" s="103"/>
      <c r="AY71" s="106"/>
      <c r="AZ71" s="106"/>
      <c r="BA71" s="106"/>
      <c r="BB71" s="106"/>
      <c r="BC71" s="106"/>
      <c r="BD71" s="106"/>
      <c r="BE71" s="103"/>
      <c r="BF71" s="104"/>
      <c r="BG71" s="104"/>
    </row>
    <row r="72" spans="1:59" s="17" customFormat="1" ht="17.25" customHeight="1">
      <c r="A72" s="85"/>
      <c r="B72" s="139"/>
      <c r="C72" s="95"/>
      <c r="D72" s="92"/>
      <c r="E72" s="90"/>
      <c r="F72" s="90"/>
      <c r="G72" s="95"/>
      <c r="H72" s="95"/>
      <c r="I72" s="95"/>
      <c r="J72" s="95"/>
      <c r="K72" s="18">
        <f>260+160+50+100+100+240+349+166+150+60+120+30+30+230+80</f>
        <v>2125</v>
      </c>
      <c r="L72" s="18">
        <f>260+160+50+100+140+100+240+150+60+370+60</f>
        <v>1690</v>
      </c>
      <c r="M72" s="18">
        <f>120+55+27+40+30+60+87+45+34+74+40</f>
        <v>612</v>
      </c>
      <c r="N72" s="98"/>
      <c r="O72" s="19">
        <f t="shared" si="6"/>
        <v>1078</v>
      </c>
      <c r="P72" s="22">
        <f>170+70+15+112+30+30+83+50+100+127+218+53+42+60+34+200+66</f>
        <v>1460</v>
      </c>
      <c r="Q72" s="100"/>
      <c r="R72" s="86"/>
      <c r="S72" s="96"/>
      <c r="T72" s="96"/>
      <c r="U72" s="96"/>
      <c r="V72" s="96"/>
      <c r="W72" s="96"/>
      <c r="X72" s="96"/>
      <c r="Y72" s="96"/>
      <c r="Z72" s="96"/>
      <c r="AA72" s="96"/>
      <c r="AB72" s="96"/>
      <c r="AC72" s="96"/>
      <c r="AD72" s="96"/>
      <c r="AE72" s="96"/>
      <c r="AF72" s="96"/>
      <c r="AG72" s="96"/>
      <c r="AH72" s="96"/>
      <c r="AI72" s="96"/>
      <c r="AJ72" s="96"/>
      <c r="AK72" s="96"/>
      <c r="AL72" s="96"/>
      <c r="AM72" s="103"/>
      <c r="AN72" s="103"/>
      <c r="AO72" s="103"/>
      <c r="AP72" s="103"/>
      <c r="AQ72" s="103"/>
      <c r="AR72" s="103"/>
      <c r="AS72" s="103"/>
      <c r="AT72" s="103"/>
      <c r="AU72" s="103"/>
      <c r="AV72" s="103"/>
      <c r="AW72" s="103"/>
      <c r="AX72" s="103"/>
      <c r="AY72" s="107"/>
      <c r="AZ72" s="107"/>
      <c r="BA72" s="107"/>
      <c r="BB72" s="107"/>
      <c r="BC72" s="107"/>
      <c r="BD72" s="107"/>
      <c r="BE72" s="103"/>
      <c r="BF72" s="105"/>
      <c r="BG72" s="105"/>
    </row>
    <row r="73" spans="1:59" s="17" customFormat="1" ht="18" hidden="1" customHeight="1">
      <c r="A73" s="101">
        <v>45217</v>
      </c>
      <c r="B73" s="132" t="s">
        <v>37</v>
      </c>
      <c r="C73" s="117"/>
      <c r="D73" s="118" t="s">
        <v>38</v>
      </c>
      <c r="E73" s="116">
        <v>84217</v>
      </c>
      <c r="F73" s="116" t="s">
        <v>49</v>
      </c>
      <c r="G73" s="141"/>
      <c r="H73" s="95"/>
      <c r="I73" s="90"/>
      <c r="J73" s="90"/>
      <c r="K73" s="20"/>
      <c r="L73" s="20"/>
      <c r="M73" s="20"/>
      <c r="N73" s="143" t="e">
        <f>O74/L74</f>
        <v>#DIV/0!</v>
      </c>
      <c r="O73" s="21">
        <f t="shared" si="6"/>
        <v>0</v>
      </c>
      <c r="P73" s="27"/>
      <c r="Q73" s="99">
        <f>+L74-P74</f>
        <v>0</v>
      </c>
      <c r="R73" s="101">
        <v>45023</v>
      </c>
      <c r="S73" s="96"/>
      <c r="T73" s="96"/>
      <c r="U73" s="96"/>
      <c r="V73" s="96"/>
      <c r="W73" s="96"/>
      <c r="X73" s="96"/>
      <c r="Y73" s="96"/>
      <c r="Z73" s="96"/>
      <c r="AA73" s="96"/>
      <c r="AB73" s="96"/>
      <c r="AC73" s="140"/>
      <c r="AD73" s="96"/>
      <c r="AE73" s="96"/>
      <c r="AF73" s="96"/>
      <c r="AG73" s="96"/>
      <c r="AH73" s="96"/>
      <c r="AI73" s="96"/>
      <c r="AJ73" s="96"/>
      <c r="AK73" s="96"/>
      <c r="AL73" s="96"/>
      <c r="AM73" s="96"/>
      <c r="AN73" s="96"/>
      <c r="AO73" s="96"/>
      <c r="AP73" s="96"/>
      <c r="AQ73" s="96"/>
      <c r="AR73" s="96"/>
      <c r="AS73" s="96"/>
      <c r="AT73" s="96"/>
      <c r="AU73" s="96"/>
      <c r="AV73" s="96"/>
      <c r="AW73" s="96"/>
      <c r="AX73" s="96"/>
      <c r="AY73" s="124"/>
      <c r="AZ73" s="123"/>
      <c r="BA73" s="123"/>
      <c r="BB73" s="123"/>
      <c r="BC73" s="123"/>
      <c r="BD73" s="123"/>
      <c r="BE73" s="123"/>
      <c r="BF73" s="123"/>
      <c r="BG73" s="123"/>
    </row>
    <row r="74" spans="1:59" s="17" customFormat="1" ht="17.25" hidden="1" customHeight="1">
      <c r="A74" s="102"/>
      <c r="B74" s="145"/>
      <c r="C74" s="142"/>
      <c r="D74" s="119"/>
      <c r="E74" s="117"/>
      <c r="F74" s="117"/>
      <c r="G74" s="142"/>
      <c r="H74" s="95"/>
      <c r="I74" s="95"/>
      <c r="J74" s="95"/>
      <c r="K74" s="3"/>
      <c r="L74" s="3"/>
      <c r="M74" s="3"/>
      <c r="N74" s="144"/>
      <c r="O74" s="7">
        <f t="shared" si="6"/>
        <v>0</v>
      </c>
      <c r="P74" s="28"/>
      <c r="Q74" s="100"/>
      <c r="R74" s="102"/>
      <c r="S74" s="96"/>
      <c r="T74" s="96"/>
      <c r="U74" s="96"/>
      <c r="V74" s="96"/>
      <c r="W74" s="96"/>
      <c r="X74" s="96"/>
      <c r="Y74" s="96"/>
      <c r="Z74" s="96"/>
      <c r="AA74" s="96"/>
      <c r="AB74" s="96"/>
      <c r="AC74" s="140"/>
      <c r="AD74" s="96"/>
      <c r="AE74" s="96"/>
      <c r="AF74" s="96"/>
      <c r="AG74" s="96"/>
      <c r="AH74" s="96"/>
      <c r="AI74" s="96"/>
      <c r="AJ74" s="96"/>
      <c r="AK74" s="96"/>
      <c r="AL74" s="96"/>
      <c r="AM74" s="96"/>
      <c r="AN74" s="96"/>
      <c r="AO74" s="96"/>
      <c r="AP74" s="96"/>
      <c r="AQ74" s="96"/>
      <c r="AR74" s="96"/>
      <c r="AS74" s="96"/>
      <c r="AT74" s="96"/>
      <c r="AU74" s="96"/>
      <c r="AV74" s="96"/>
      <c r="AW74" s="96"/>
      <c r="AX74" s="96"/>
      <c r="AY74" s="124"/>
      <c r="AZ74" s="124"/>
      <c r="BA74" s="124"/>
      <c r="BB74" s="124"/>
      <c r="BC74" s="124"/>
      <c r="BD74" s="124"/>
      <c r="BE74" s="124"/>
      <c r="BF74" s="124"/>
      <c r="BG74" s="124"/>
    </row>
    <row r="75" spans="1:59" ht="24.75" customHeight="1">
      <c r="A75" s="111" t="s">
        <v>15</v>
      </c>
      <c r="B75" s="112"/>
      <c r="C75" s="112"/>
      <c r="D75" s="112"/>
      <c r="E75" s="112"/>
      <c r="F75" s="112"/>
      <c r="G75" s="112"/>
      <c r="H75" s="112"/>
      <c r="I75" s="113"/>
      <c r="J75" s="5">
        <f>SUM(J69:J74)</f>
        <v>4097</v>
      </c>
      <c r="K75" s="5">
        <f>+K69++K71</f>
        <v>80</v>
      </c>
      <c r="L75" s="5">
        <f>+SUMPRODUCT(((MOD(ROW(L69:L74),2)=1)*(L69:L74)))</f>
        <v>430</v>
      </c>
      <c r="M75" s="5">
        <f>+SUMPRODUCT(((MOD(ROW(M69:M74),2)=1)*(M69:M74)))</f>
        <v>114</v>
      </c>
      <c r="N75" s="23">
        <f>O75/L75</f>
        <v>0.73488372093023258</v>
      </c>
      <c r="O75" s="5">
        <f>+SUMPRODUCT(((MOD(ROW(O69:O74),2)=1)*(O69:O74)))</f>
        <v>316</v>
      </c>
      <c r="P75" s="5">
        <f>+SUMPRODUCT(((MOD(ROW(P69:P74),2)=1)*(P69:P74)))</f>
        <v>266</v>
      </c>
      <c r="Q75" s="5">
        <f>+SUMPRODUCT(((MOD(ROW(Q69:Q74),2)=1)*(Q69:Q74)))</f>
        <v>230</v>
      </c>
      <c r="R75" s="5"/>
      <c r="S75" s="5">
        <f t="shared" ref="S75:BG75" si="7">SUM(S69:S74)</f>
        <v>13</v>
      </c>
      <c r="T75" s="5">
        <f t="shared" si="7"/>
        <v>5</v>
      </c>
      <c r="U75" s="5">
        <f t="shared" si="7"/>
        <v>36</v>
      </c>
      <c r="V75" s="5">
        <f t="shared" si="7"/>
        <v>0</v>
      </c>
      <c r="W75" s="5">
        <f t="shared" si="7"/>
        <v>0</v>
      </c>
      <c r="X75" s="5">
        <f t="shared" si="7"/>
        <v>5</v>
      </c>
      <c r="Y75" s="5">
        <f t="shared" si="7"/>
        <v>5</v>
      </c>
      <c r="Z75" s="5">
        <f t="shared" si="7"/>
        <v>0</v>
      </c>
      <c r="AA75" s="5">
        <f t="shared" si="7"/>
        <v>0</v>
      </c>
      <c r="AB75" s="5">
        <f t="shared" si="7"/>
        <v>0</v>
      </c>
      <c r="AC75" s="5">
        <f t="shared" si="7"/>
        <v>60</v>
      </c>
      <c r="AD75" s="5">
        <f t="shared" si="7"/>
        <v>15</v>
      </c>
      <c r="AE75" s="5">
        <f t="shared" si="7"/>
        <v>42</v>
      </c>
      <c r="AF75" s="5">
        <f t="shared" si="7"/>
        <v>29</v>
      </c>
      <c r="AG75" s="5">
        <f t="shared" si="7"/>
        <v>15</v>
      </c>
      <c r="AH75" s="5">
        <f t="shared" si="7"/>
        <v>48</v>
      </c>
      <c r="AI75" s="5">
        <f t="shared" si="7"/>
        <v>0</v>
      </c>
      <c r="AJ75" s="5">
        <f t="shared" si="7"/>
        <v>0</v>
      </c>
      <c r="AK75" s="5">
        <f t="shared" si="7"/>
        <v>0</v>
      </c>
      <c r="AL75" s="5">
        <f t="shared" si="7"/>
        <v>43</v>
      </c>
      <c r="AM75" s="5">
        <f t="shared" si="7"/>
        <v>0</v>
      </c>
      <c r="AN75" s="5">
        <f t="shared" si="7"/>
        <v>0</v>
      </c>
      <c r="AO75" s="5">
        <f t="shared" si="7"/>
        <v>0</v>
      </c>
      <c r="AP75" s="5">
        <f t="shared" si="7"/>
        <v>0</v>
      </c>
      <c r="AQ75" s="5">
        <f t="shared" si="7"/>
        <v>0</v>
      </c>
      <c r="AR75" s="5">
        <f t="shared" si="7"/>
        <v>0</v>
      </c>
      <c r="AS75" s="5">
        <f t="shared" si="7"/>
        <v>0</v>
      </c>
      <c r="AT75" s="5">
        <f t="shared" si="7"/>
        <v>0</v>
      </c>
      <c r="AU75" s="5">
        <f t="shared" si="7"/>
        <v>0</v>
      </c>
      <c r="AV75" s="5">
        <f t="shared" si="7"/>
        <v>0</v>
      </c>
      <c r="AW75" s="5">
        <f t="shared" si="7"/>
        <v>0</v>
      </c>
      <c r="AX75" s="5">
        <f t="shared" si="7"/>
        <v>0</v>
      </c>
      <c r="AY75" s="5">
        <f t="shared" si="7"/>
        <v>0</v>
      </c>
      <c r="AZ75" s="5">
        <f t="shared" si="7"/>
        <v>0</v>
      </c>
      <c r="BA75" s="5">
        <f t="shared" si="7"/>
        <v>0</v>
      </c>
      <c r="BB75" s="5">
        <f t="shared" si="7"/>
        <v>0</v>
      </c>
      <c r="BC75" s="5">
        <f t="shared" si="7"/>
        <v>0</v>
      </c>
      <c r="BD75" s="5">
        <f t="shared" si="7"/>
        <v>0</v>
      </c>
      <c r="BE75" s="5">
        <f t="shared" si="7"/>
        <v>0</v>
      </c>
      <c r="BF75" s="5">
        <f t="shared" si="7"/>
        <v>0</v>
      </c>
      <c r="BG75" s="5">
        <f t="shared" si="7"/>
        <v>0</v>
      </c>
    </row>
    <row r="76" spans="1:59" s="17" customFormat="1" ht="15.75" hidden="1" customHeight="1">
      <c r="A76" s="101"/>
      <c r="B76" s="114"/>
      <c r="C76" s="116"/>
      <c r="D76" s="118"/>
      <c r="E76" s="116"/>
      <c r="F76" s="116"/>
      <c r="G76" s="120"/>
      <c r="H76" s="151"/>
      <c r="I76" s="89"/>
      <c r="J76" s="89"/>
      <c r="K76" s="20"/>
      <c r="L76" s="20"/>
      <c r="M76" s="20"/>
      <c r="N76" s="146"/>
      <c r="O76" s="21"/>
      <c r="P76" s="27"/>
      <c r="Q76" s="99"/>
      <c r="R76" s="148"/>
      <c r="S76" s="149"/>
      <c r="T76" s="149"/>
      <c r="U76" s="149"/>
      <c r="V76" s="149"/>
      <c r="W76" s="149"/>
      <c r="X76" s="149"/>
      <c r="Y76" s="149"/>
      <c r="Z76" s="149"/>
      <c r="AA76" s="149"/>
      <c r="AB76" s="149"/>
      <c r="AC76" s="149"/>
      <c r="AD76" s="149"/>
      <c r="AE76" s="149"/>
      <c r="AF76" s="149"/>
      <c r="AG76" s="149"/>
      <c r="AH76" s="149"/>
      <c r="AI76" s="149"/>
      <c r="AJ76" s="149"/>
      <c r="AK76" s="149"/>
      <c r="AL76" s="149"/>
      <c r="AM76" s="149"/>
      <c r="AN76" s="149"/>
      <c r="AO76" s="149"/>
      <c r="AP76" s="149"/>
      <c r="AQ76" s="149"/>
      <c r="AR76" s="149"/>
      <c r="AS76" s="149"/>
      <c r="AT76" s="149"/>
      <c r="AU76" s="149"/>
      <c r="AV76" s="149"/>
      <c r="AW76" s="149"/>
      <c r="AX76" s="149"/>
      <c r="AY76" s="152"/>
      <c r="AZ76" s="152"/>
      <c r="BA76" s="152"/>
      <c r="BB76" s="152"/>
      <c r="BC76" s="152"/>
      <c r="BD76" s="152"/>
      <c r="BE76" s="149"/>
      <c r="BF76" s="152"/>
      <c r="BG76" s="152"/>
    </row>
    <row r="77" spans="1:59" s="17" customFormat="1" ht="15.75" hidden="1" customHeight="1">
      <c r="A77" s="102"/>
      <c r="B77" s="115"/>
      <c r="C77" s="117"/>
      <c r="D77" s="119"/>
      <c r="E77" s="117"/>
      <c r="F77" s="117"/>
      <c r="G77" s="121"/>
      <c r="H77" s="90"/>
      <c r="I77" s="90"/>
      <c r="J77" s="90"/>
      <c r="K77" s="22"/>
      <c r="L77" s="18"/>
      <c r="M77" s="18"/>
      <c r="N77" s="147"/>
      <c r="O77" s="19"/>
      <c r="P77" s="22"/>
      <c r="Q77" s="100"/>
      <c r="R77" s="101"/>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3"/>
      <c r="AZ77" s="153"/>
      <c r="BA77" s="153"/>
      <c r="BB77" s="153"/>
      <c r="BC77" s="153"/>
      <c r="BD77" s="153"/>
      <c r="BE77" s="150"/>
      <c r="BF77" s="153"/>
      <c r="BG77" s="153"/>
    </row>
    <row r="78" spans="1:59" s="17" customFormat="1" ht="15.75" hidden="1" customHeight="1">
      <c r="A78" s="101"/>
      <c r="B78" s="114"/>
      <c r="C78" s="116"/>
      <c r="D78" s="118"/>
      <c r="E78" s="116"/>
      <c r="F78" s="116"/>
      <c r="G78" s="120"/>
      <c r="H78" s="151"/>
      <c r="I78" s="89"/>
      <c r="J78" s="89"/>
      <c r="K78" s="20"/>
      <c r="L78" s="20"/>
      <c r="M78" s="20"/>
      <c r="N78" s="146"/>
      <c r="O78" s="21"/>
      <c r="P78" s="27"/>
      <c r="Q78" s="99"/>
      <c r="R78" s="148"/>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52"/>
      <c r="AZ78" s="152"/>
      <c r="BA78" s="152"/>
      <c r="BB78" s="152"/>
      <c r="BC78" s="152"/>
      <c r="BD78" s="152"/>
      <c r="BE78" s="149"/>
      <c r="BF78" s="152"/>
      <c r="BG78" s="152"/>
    </row>
    <row r="79" spans="1:59" s="17" customFormat="1" ht="15.75" hidden="1" customHeight="1">
      <c r="A79" s="102"/>
      <c r="B79" s="115"/>
      <c r="C79" s="117"/>
      <c r="D79" s="119"/>
      <c r="E79" s="117"/>
      <c r="F79" s="117"/>
      <c r="G79" s="121"/>
      <c r="H79" s="90"/>
      <c r="I79" s="90"/>
      <c r="J79" s="90"/>
      <c r="K79" s="22"/>
      <c r="L79" s="18"/>
      <c r="M79" s="18"/>
      <c r="N79" s="147"/>
      <c r="O79" s="19"/>
      <c r="P79" s="22"/>
      <c r="Q79" s="100"/>
      <c r="R79" s="101"/>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3"/>
      <c r="AZ79" s="153"/>
      <c r="BA79" s="153"/>
      <c r="BB79" s="153"/>
      <c r="BC79" s="153"/>
      <c r="BD79" s="153"/>
      <c r="BE79" s="150"/>
      <c r="BF79" s="153"/>
      <c r="BG79" s="153"/>
    </row>
    <row r="80" spans="1:59" s="17" customFormat="1" ht="15.75" hidden="1" customHeight="1">
      <c r="A80" s="101"/>
      <c r="B80" s="114"/>
      <c r="C80" s="116"/>
      <c r="D80" s="118"/>
      <c r="E80" s="116"/>
      <c r="F80" s="116"/>
      <c r="G80" s="120"/>
      <c r="H80" s="109"/>
      <c r="I80" s="90"/>
      <c r="J80" s="90"/>
      <c r="K80" s="20"/>
      <c r="L80" s="20"/>
      <c r="M80" s="20"/>
      <c r="N80" s="97"/>
      <c r="O80" s="21"/>
      <c r="P80" s="27"/>
      <c r="Q80" s="99"/>
      <c r="R80" s="154"/>
      <c r="S80" s="96"/>
      <c r="T80" s="96"/>
      <c r="U80" s="96"/>
      <c r="V80" s="96"/>
      <c r="W80" s="96"/>
      <c r="X80" s="96"/>
      <c r="Y80" s="96"/>
      <c r="Z80" s="96"/>
      <c r="AA80" s="96"/>
      <c r="AB80" s="96"/>
      <c r="AC80" s="96"/>
      <c r="AD80" s="96"/>
      <c r="AE80" s="96"/>
      <c r="AF80" s="96"/>
      <c r="AG80" s="96"/>
      <c r="AH80" s="96"/>
      <c r="AI80" s="96"/>
      <c r="AJ80" s="96"/>
      <c r="AK80" s="96"/>
      <c r="AL80" s="96"/>
      <c r="AM80" s="96"/>
      <c r="AN80" s="96"/>
      <c r="AO80" s="96"/>
      <c r="AP80" s="96"/>
      <c r="AQ80" s="96"/>
      <c r="AR80" s="96"/>
      <c r="AS80" s="96"/>
      <c r="AT80" s="96"/>
      <c r="AU80" s="96"/>
      <c r="AV80" s="96"/>
      <c r="AW80" s="96"/>
      <c r="AX80" s="96"/>
      <c r="AY80" s="155"/>
      <c r="AZ80" s="155"/>
      <c r="BA80" s="155"/>
      <c r="BB80" s="155"/>
      <c r="BC80" s="155"/>
      <c r="BD80" s="155"/>
      <c r="BE80" s="96"/>
      <c r="BF80" s="155"/>
      <c r="BG80" s="155"/>
    </row>
    <row r="81" spans="1:61" s="17" customFormat="1" ht="15.75" hidden="1" customHeight="1">
      <c r="A81" s="102"/>
      <c r="B81" s="115"/>
      <c r="C81" s="117"/>
      <c r="D81" s="119"/>
      <c r="E81" s="117"/>
      <c r="F81" s="117"/>
      <c r="G81" s="121"/>
      <c r="H81" s="95"/>
      <c r="I81" s="95"/>
      <c r="J81" s="95"/>
      <c r="K81" s="22"/>
      <c r="L81" s="18"/>
      <c r="M81" s="18"/>
      <c r="N81" s="98"/>
      <c r="O81" s="19"/>
      <c r="P81" s="22"/>
      <c r="Q81" s="100"/>
      <c r="R81" s="101"/>
      <c r="S81" s="96"/>
      <c r="T81" s="96"/>
      <c r="U81" s="96"/>
      <c r="V81" s="96"/>
      <c r="W81" s="96"/>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6"/>
      <c r="AY81" s="156"/>
      <c r="AZ81" s="156"/>
      <c r="BA81" s="156"/>
      <c r="BB81" s="156"/>
      <c r="BC81" s="156"/>
      <c r="BD81" s="156"/>
      <c r="BE81" s="96"/>
      <c r="BF81" s="156"/>
      <c r="BG81" s="156"/>
    </row>
    <row r="82" spans="1:61" s="17" customFormat="1" ht="15.75" hidden="1" customHeight="1">
      <c r="A82" s="101"/>
      <c r="B82" s="114"/>
      <c r="C82" s="116"/>
      <c r="D82" s="118"/>
      <c r="E82" s="116"/>
      <c r="F82" s="116"/>
      <c r="G82" s="120"/>
      <c r="H82" s="109"/>
      <c r="I82" s="90"/>
      <c r="J82" s="90"/>
      <c r="K82" s="20"/>
      <c r="L82" s="20"/>
      <c r="M82" s="20"/>
      <c r="N82" s="97"/>
      <c r="O82" s="21"/>
      <c r="P82" s="27"/>
      <c r="Q82" s="99"/>
      <c r="R82" s="148"/>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5"/>
      <c r="AZ82" s="155"/>
      <c r="BA82" s="155"/>
      <c r="BB82" s="155"/>
      <c r="BC82" s="155"/>
      <c r="BD82" s="155"/>
      <c r="BE82" s="96"/>
      <c r="BF82" s="155"/>
      <c r="BG82" s="155"/>
    </row>
    <row r="83" spans="1:61" s="17" customFormat="1" ht="15.75" hidden="1" customHeight="1">
      <c r="A83" s="102"/>
      <c r="B83" s="115"/>
      <c r="C83" s="117"/>
      <c r="D83" s="119"/>
      <c r="E83" s="117"/>
      <c r="F83" s="117"/>
      <c r="G83" s="121"/>
      <c r="H83" s="95"/>
      <c r="I83" s="95"/>
      <c r="J83" s="95"/>
      <c r="K83" s="22"/>
      <c r="L83" s="18"/>
      <c r="M83" s="18"/>
      <c r="N83" s="98"/>
      <c r="O83" s="19"/>
      <c r="P83" s="22"/>
      <c r="Q83" s="100"/>
      <c r="R83" s="101"/>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6"/>
      <c r="AZ83" s="156"/>
      <c r="BA83" s="156"/>
      <c r="BB83" s="156"/>
      <c r="BC83" s="156"/>
      <c r="BD83" s="156"/>
      <c r="BE83" s="96"/>
      <c r="BF83" s="156"/>
      <c r="BG83" s="156"/>
    </row>
    <row r="84" spans="1:61" s="17" customFormat="1" ht="15.75" hidden="1" customHeight="1">
      <c r="A84" s="101">
        <v>45084</v>
      </c>
      <c r="B84" s="114" t="s">
        <v>37</v>
      </c>
      <c r="C84" s="116"/>
      <c r="D84" s="118"/>
      <c r="E84" s="116"/>
      <c r="F84" s="116"/>
      <c r="G84" s="120"/>
      <c r="H84" s="109"/>
      <c r="I84" s="90"/>
      <c r="J84" s="90"/>
      <c r="K84" s="20"/>
      <c r="L84" s="20"/>
      <c r="M84" s="20"/>
      <c r="N84" s="97" t="e">
        <f>O85/L85</f>
        <v>#DIV/0!</v>
      </c>
      <c r="O84" s="21"/>
      <c r="P84" s="27"/>
      <c r="Q84" s="99">
        <f>+L85-P85</f>
        <v>0</v>
      </c>
      <c r="R84" s="101"/>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2"/>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ht="24.75" hidden="1" customHeight="1">
      <c r="A86" s="111" t="s">
        <v>40</v>
      </c>
      <c r="B86" s="112"/>
      <c r="C86" s="112"/>
      <c r="D86" s="112"/>
      <c r="E86" s="112"/>
      <c r="F86" s="112"/>
      <c r="G86" s="112"/>
      <c r="H86" s="112"/>
      <c r="I86" s="113"/>
      <c r="J86" s="5">
        <f>SUM(J76:J85)</f>
        <v>0</v>
      </c>
      <c r="K86" s="5">
        <f>+SUMPRODUCT(((MOD(ROW(K76:K83),2)=0)*(K76:K83)))</f>
        <v>0</v>
      </c>
      <c r="L86" s="5">
        <f>+SUMPRODUCT(((MOD(ROW(L76:L83),2)=0)*(L76:L83)))</f>
        <v>0</v>
      </c>
      <c r="M86" s="5">
        <f>+SUMPRODUCT(((MOD(ROW(M76:M83),2)=0)*(M76:M83)))</f>
        <v>0</v>
      </c>
      <c r="N86" s="6" t="e">
        <f>O86/L86</f>
        <v>#DIV/0!</v>
      </c>
      <c r="O86" s="5">
        <f>+SUMPRODUCT(((MOD(ROW(O76:O83),2)=0)*(O76:O83)))</f>
        <v>0</v>
      </c>
      <c r="P86" s="5">
        <f>+SUMPRODUCT(((MOD(ROW(P76:P83),2)=0)*(P76:P83)))</f>
        <v>0</v>
      </c>
      <c r="Q86" s="29">
        <f>SUM(Q76:Q85)</f>
        <v>0</v>
      </c>
      <c r="R86" s="29"/>
      <c r="S86" s="29">
        <f t="shared" ref="S86:BG86" si="8">SUM(S76:S85)</f>
        <v>0</v>
      </c>
      <c r="T86" s="29">
        <f t="shared" si="8"/>
        <v>0</v>
      </c>
      <c r="U86" s="29">
        <f t="shared" si="8"/>
        <v>0</v>
      </c>
      <c r="V86" s="29">
        <f t="shared" si="8"/>
        <v>0</v>
      </c>
      <c r="W86" s="29">
        <f t="shared" si="8"/>
        <v>0</v>
      </c>
      <c r="X86" s="29">
        <f t="shared" si="8"/>
        <v>0</v>
      </c>
      <c r="Y86" s="29">
        <f t="shared" si="8"/>
        <v>0</v>
      </c>
      <c r="Z86" s="29">
        <f t="shared" si="8"/>
        <v>0</v>
      </c>
      <c r="AA86" s="29">
        <f t="shared" si="8"/>
        <v>0</v>
      </c>
      <c r="AB86" s="29">
        <f t="shared" si="8"/>
        <v>0</v>
      </c>
      <c r="AC86" s="29">
        <f t="shared" si="8"/>
        <v>0</v>
      </c>
      <c r="AD86" s="29">
        <f t="shared" si="8"/>
        <v>0</v>
      </c>
      <c r="AE86" s="29">
        <f t="shared" si="8"/>
        <v>0</v>
      </c>
      <c r="AF86" s="29">
        <f t="shared" si="8"/>
        <v>0</v>
      </c>
      <c r="AG86" s="29">
        <f t="shared" si="8"/>
        <v>0</v>
      </c>
      <c r="AH86" s="29">
        <f t="shared" si="8"/>
        <v>0</v>
      </c>
      <c r="AI86" s="29">
        <f t="shared" si="8"/>
        <v>0</v>
      </c>
      <c r="AJ86" s="29">
        <f t="shared" si="8"/>
        <v>0</v>
      </c>
      <c r="AK86" s="29">
        <f t="shared" si="8"/>
        <v>0</v>
      </c>
      <c r="AL86" s="29">
        <f t="shared" si="8"/>
        <v>0</v>
      </c>
      <c r="AM86" s="29">
        <f t="shared" si="8"/>
        <v>0</v>
      </c>
      <c r="AN86" s="29">
        <f t="shared" si="8"/>
        <v>0</v>
      </c>
      <c r="AO86" s="29">
        <f t="shared" si="8"/>
        <v>0</v>
      </c>
      <c r="AP86" s="29">
        <f t="shared" si="8"/>
        <v>0</v>
      </c>
      <c r="AQ86" s="29">
        <f t="shared" si="8"/>
        <v>0</v>
      </c>
      <c r="AR86" s="29">
        <f t="shared" si="8"/>
        <v>0</v>
      </c>
      <c r="AS86" s="29">
        <f t="shared" si="8"/>
        <v>0</v>
      </c>
      <c r="AT86" s="29">
        <f t="shared" si="8"/>
        <v>0</v>
      </c>
      <c r="AU86" s="29">
        <f t="shared" si="8"/>
        <v>0</v>
      </c>
      <c r="AV86" s="29">
        <f t="shared" si="8"/>
        <v>0</v>
      </c>
      <c r="AW86" s="29">
        <f t="shared" si="8"/>
        <v>0</v>
      </c>
      <c r="AX86" s="29">
        <f t="shared" si="8"/>
        <v>0</v>
      </c>
      <c r="AY86" s="29">
        <f t="shared" si="8"/>
        <v>0</v>
      </c>
      <c r="AZ86" s="29">
        <f t="shared" si="8"/>
        <v>0</v>
      </c>
      <c r="BA86" s="29">
        <f t="shared" si="8"/>
        <v>0</v>
      </c>
      <c r="BB86" s="29">
        <f t="shared" si="8"/>
        <v>0</v>
      </c>
      <c r="BC86" s="29">
        <f t="shared" si="8"/>
        <v>0</v>
      </c>
      <c r="BD86" s="29">
        <f t="shared" si="8"/>
        <v>0</v>
      </c>
      <c r="BE86" s="29">
        <f t="shared" si="8"/>
        <v>0</v>
      </c>
      <c r="BF86" s="29">
        <f t="shared" si="8"/>
        <v>0</v>
      </c>
      <c r="BG86" s="29">
        <f t="shared" si="8"/>
        <v>0</v>
      </c>
      <c r="BH86" s="17"/>
      <c r="BI86" s="17"/>
    </row>
    <row r="87" spans="1:61" s="17" customFormat="1" ht="15.75" hidden="1" customHeight="1">
      <c r="A87" s="101"/>
      <c r="B87" s="114"/>
      <c r="C87" s="116"/>
      <c r="D87" s="118"/>
      <c r="E87" s="116"/>
      <c r="F87" s="116"/>
      <c r="G87" s="120"/>
      <c r="H87" s="109"/>
      <c r="I87" s="90"/>
      <c r="J87" s="90"/>
      <c r="K87" s="20"/>
      <c r="L87" s="20"/>
      <c r="M87" s="20"/>
      <c r="N87" s="97"/>
      <c r="O87" s="21"/>
      <c r="P87" s="27"/>
      <c r="Q87" s="99"/>
      <c r="R87" s="154"/>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5"/>
      <c r="AZ87" s="155"/>
      <c r="BA87" s="155"/>
      <c r="BB87" s="155"/>
      <c r="BC87" s="155"/>
      <c r="BD87" s="155"/>
      <c r="BE87" s="96"/>
      <c r="BF87" s="155"/>
      <c r="BG87" s="155"/>
    </row>
    <row r="88" spans="1:61" s="17" customFormat="1" ht="15.75" hidden="1" customHeight="1">
      <c r="A88" s="102"/>
      <c r="B88" s="115"/>
      <c r="C88" s="117"/>
      <c r="D88" s="119"/>
      <c r="E88" s="117"/>
      <c r="F88" s="117"/>
      <c r="G88" s="121"/>
      <c r="H88" s="95"/>
      <c r="I88" s="95"/>
      <c r="J88" s="95"/>
      <c r="K88" s="22"/>
      <c r="L88" s="18"/>
      <c r="M88" s="18"/>
      <c r="N88" s="98"/>
      <c r="O88" s="19"/>
      <c r="P88" s="22"/>
      <c r="Q88" s="100"/>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6"/>
      <c r="AZ88" s="156"/>
      <c r="BA88" s="156"/>
      <c r="BB88" s="156"/>
      <c r="BC88" s="156"/>
      <c r="BD88" s="156"/>
      <c r="BE88" s="96"/>
      <c r="BF88" s="156"/>
      <c r="BG88" s="156"/>
    </row>
    <row r="89" spans="1:61" s="17" customFormat="1" ht="15.75" hidden="1" customHeight="1">
      <c r="A89" s="101"/>
      <c r="B89" s="114"/>
      <c r="C89" s="116"/>
      <c r="D89" s="118"/>
      <c r="E89" s="116"/>
      <c r="F89" s="116"/>
      <c r="G89" s="120"/>
      <c r="H89" s="90"/>
      <c r="I89" s="90"/>
      <c r="J89" s="90"/>
      <c r="K89" s="20"/>
      <c r="L89" s="20"/>
      <c r="M89" s="20"/>
      <c r="N89" s="97"/>
      <c r="O89" s="21"/>
      <c r="P89" s="27"/>
      <c r="Q89" s="99"/>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row>
    <row r="91" spans="1:61" s="17" customFormat="1" ht="15.75" hidden="1" customHeight="1">
      <c r="A91" s="101">
        <v>45163</v>
      </c>
      <c r="B91" s="114" t="s">
        <v>37</v>
      </c>
      <c r="C91" s="116"/>
      <c r="D91" s="118"/>
      <c r="E91" s="116"/>
      <c r="F91" s="116"/>
      <c r="G91" s="120"/>
      <c r="H91" s="90"/>
      <c r="I91" s="90"/>
      <c r="J91" s="90"/>
      <c r="K91" s="20"/>
      <c r="L91" s="20"/>
      <c r="M91" s="20"/>
      <c r="N91" s="97" t="e">
        <f>O92/L92</f>
        <v>#DIV/0!</v>
      </c>
      <c r="O91" s="21">
        <f>L91-M91</f>
        <v>0</v>
      </c>
      <c r="P91" s="27"/>
      <c r="Q91" s="99">
        <f>+L92-P92</f>
        <v>0</v>
      </c>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f>L92-M92</f>
        <v>0</v>
      </c>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v>45163</v>
      </c>
      <c r="B93" s="114" t="s">
        <v>37</v>
      </c>
      <c r="C93" s="116"/>
      <c r="D93" s="118"/>
      <c r="E93" s="116"/>
      <c r="F93" s="116"/>
      <c r="G93" s="120"/>
      <c r="H93" s="90"/>
      <c r="I93" s="90"/>
      <c r="J93" s="90"/>
      <c r="K93" s="20"/>
      <c r="L93" s="20"/>
      <c r="M93" s="20"/>
      <c r="N93" s="97" t="e">
        <f>O94/L94</f>
        <v>#DIV/0!</v>
      </c>
      <c r="O93" s="21">
        <f>L93-M93</f>
        <v>0</v>
      </c>
      <c r="P93" s="27"/>
      <c r="Q93" s="99">
        <f>+L94-P94</f>
        <v>0</v>
      </c>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f>L94-M94</f>
        <v>0</v>
      </c>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c r="BH94" s="1"/>
      <c r="BI94" s="1"/>
    </row>
    <row r="95" spans="1:61" ht="24.75" hidden="1" customHeight="1">
      <c r="A95" s="111" t="s">
        <v>48</v>
      </c>
      <c r="B95" s="112"/>
      <c r="C95" s="112"/>
      <c r="D95" s="112"/>
      <c r="E95" s="112"/>
      <c r="F95" s="112"/>
      <c r="G95" s="112"/>
      <c r="H95" s="112"/>
      <c r="I95" s="113"/>
      <c r="J95" s="5">
        <f>SUM(J87:J94)</f>
        <v>0</v>
      </c>
      <c r="K95" s="5">
        <f>+SUMPRODUCT(((MOD(ROW(K87:K94),2)=0)*(K87:K94)))</f>
        <v>0</v>
      </c>
      <c r="L95" s="5">
        <f>+SUMPRODUCT(((MOD(ROW(L87:L94),2)=0)*(L87:L94)))</f>
        <v>0</v>
      </c>
      <c r="M95" s="5">
        <f>+SUMPRODUCT(((MOD(ROW(M87:M94),2)=0)*(M87:M94)))</f>
        <v>0</v>
      </c>
      <c r="N95" s="6" t="e">
        <f>O95/L95</f>
        <v>#DIV/0!</v>
      </c>
      <c r="O95" s="5">
        <f>+SUMPRODUCT(((MOD(ROW(O87:O94),2)=0)*(O87:O94)))</f>
        <v>0</v>
      </c>
      <c r="P95" s="5">
        <f>+SUMPRODUCT(((MOD(ROW(P87:P94),2)=0)*(P87:P94)))</f>
        <v>0</v>
      </c>
      <c r="Q95" s="29">
        <f>SUM(Q87:Q94)</f>
        <v>0</v>
      </c>
      <c r="R95" s="29"/>
      <c r="S95" s="29">
        <f t="shared" ref="S95:BG95" si="9">SUM(S87:S94)</f>
        <v>0</v>
      </c>
      <c r="T95" s="29">
        <f t="shared" si="9"/>
        <v>0</v>
      </c>
      <c r="U95" s="29">
        <f t="shared" si="9"/>
        <v>0</v>
      </c>
      <c r="V95" s="29">
        <f t="shared" si="9"/>
        <v>0</v>
      </c>
      <c r="W95" s="29">
        <f t="shared" si="9"/>
        <v>0</v>
      </c>
      <c r="X95" s="29">
        <f t="shared" si="9"/>
        <v>0</v>
      </c>
      <c r="Y95" s="29">
        <f t="shared" si="9"/>
        <v>0</v>
      </c>
      <c r="Z95" s="29">
        <f t="shared" si="9"/>
        <v>0</v>
      </c>
      <c r="AA95" s="29">
        <f t="shared" si="9"/>
        <v>0</v>
      </c>
      <c r="AB95" s="29">
        <f t="shared" si="9"/>
        <v>0</v>
      </c>
      <c r="AC95" s="29">
        <f t="shared" si="9"/>
        <v>0</v>
      </c>
      <c r="AD95" s="29">
        <f t="shared" si="9"/>
        <v>0</v>
      </c>
      <c r="AE95" s="29">
        <f t="shared" si="9"/>
        <v>0</v>
      </c>
      <c r="AF95" s="29">
        <f t="shared" si="9"/>
        <v>0</v>
      </c>
      <c r="AG95" s="29">
        <f t="shared" si="9"/>
        <v>0</v>
      </c>
      <c r="AH95" s="29">
        <f t="shared" si="9"/>
        <v>0</v>
      </c>
      <c r="AI95" s="29">
        <f t="shared" si="9"/>
        <v>0</v>
      </c>
      <c r="AJ95" s="29">
        <f t="shared" si="9"/>
        <v>0</v>
      </c>
      <c r="AK95" s="29">
        <f t="shared" si="9"/>
        <v>0</v>
      </c>
      <c r="AL95" s="29">
        <f t="shared" si="9"/>
        <v>0</v>
      </c>
      <c r="AM95" s="29">
        <f t="shared" si="9"/>
        <v>0</v>
      </c>
      <c r="AN95" s="29">
        <f t="shared" si="9"/>
        <v>0</v>
      </c>
      <c r="AO95" s="29">
        <f t="shared" si="9"/>
        <v>0</v>
      </c>
      <c r="AP95" s="29">
        <f t="shared" si="9"/>
        <v>0</v>
      </c>
      <c r="AQ95" s="29">
        <f t="shared" si="9"/>
        <v>0</v>
      </c>
      <c r="AR95" s="29">
        <f t="shared" si="9"/>
        <v>0</v>
      </c>
      <c r="AS95" s="29">
        <f t="shared" si="9"/>
        <v>0</v>
      </c>
      <c r="AT95" s="29">
        <f t="shared" si="9"/>
        <v>0</v>
      </c>
      <c r="AU95" s="29">
        <f t="shared" si="9"/>
        <v>0</v>
      </c>
      <c r="AV95" s="29">
        <f t="shared" si="9"/>
        <v>0</v>
      </c>
      <c r="AW95" s="29">
        <f t="shared" si="9"/>
        <v>0</v>
      </c>
      <c r="AX95" s="29">
        <f t="shared" si="9"/>
        <v>0</v>
      </c>
      <c r="AY95" s="29">
        <f t="shared" si="9"/>
        <v>0</v>
      </c>
      <c r="AZ95" s="29">
        <f t="shared" si="9"/>
        <v>0</v>
      </c>
      <c r="BA95" s="29">
        <f t="shared" si="9"/>
        <v>0</v>
      </c>
      <c r="BB95" s="29">
        <f t="shared" si="9"/>
        <v>0</v>
      </c>
      <c r="BC95" s="29">
        <f t="shared" si="9"/>
        <v>0</v>
      </c>
      <c r="BD95" s="29">
        <f t="shared" si="9"/>
        <v>0</v>
      </c>
      <c r="BE95" s="29">
        <f t="shared" si="9"/>
        <v>0</v>
      </c>
      <c r="BF95" s="29">
        <f t="shared" si="9"/>
        <v>0</v>
      </c>
      <c r="BG95" s="29">
        <f t="shared" si="9"/>
        <v>0</v>
      </c>
      <c r="BH95" s="17"/>
      <c r="BI95" s="17"/>
    </row>
    <row r="96" spans="1:61" s="17" customFormat="1" ht="15.75" hidden="1" customHeight="1">
      <c r="A96" s="101"/>
      <c r="B96" s="114"/>
      <c r="C96" s="116"/>
      <c r="D96" s="118"/>
      <c r="E96" s="157"/>
      <c r="F96" s="116"/>
      <c r="G96" s="120"/>
      <c r="H96" s="109"/>
      <c r="I96" s="90"/>
      <c r="J96" s="90"/>
      <c r="K96" s="20"/>
      <c r="L96" s="20"/>
      <c r="M96" s="20"/>
      <c r="N96" s="97"/>
      <c r="O96" s="21"/>
      <c r="P96" s="27"/>
      <c r="Q96" s="99"/>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5"/>
      <c r="AZ96" s="155"/>
      <c r="BA96" s="155"/>
      <c r="BB96" s="155"/>
      <c r="BC96" s="155"/>
      <c r="BD96" s="155"/>
      <c r="BE96" s="96"/>
      <c r="BF96" s="155"/>
      <c r="BG96" s="155"/>
    </row>
    <row r="97" spans="1:61" s="17" customFormat="1" ht="15.75" hidden="1" customHeight="1">
      <c r="A97" s="102"/>
      <c r="B97" s="115"/>
      <c r="C97" s="117"/>
      <c r="D97" s="119"/>
      <c r="E97" s="117"/>
      <c r="F97" s="117"/>
      <c r="G97" s="121"/>
      <c r="H97" s="95"/>
      <c r="I97" s="95"/>
      <c r="J97" s="95"/>
      <c r="K97" s="22"/>
      <c r="L97" s="18"/>
      <c r="M97" s="18"/>
      <c r="N97" s="98"/>
      <c r="O97" s="19"/>
      <c r="P97" s="22"/>
      <c r="Q97" s="100"/>
      <c r="R97" s="102"/>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6"/>
      <c r="AZ97" s="156"/>
      <c r="BA97" s="156"/>
      <c r="BB97" s="156"/>
      <c r="BC97" s="156"/>
      <c r="BD97" s="156"/>
      <c r="BE97" s="96"/>
      <c r="BF97" s="156"/>
      <c r="BG97" s="156"/>
    </row>
    <row r="98" spans="1:61" s="17" customFormat="1" ht="15.75" hidden="1" customHeight="1">
      <c r="A98" s="101">
        <v>45061</v>
      </c>
      <c r="B98" s="114" t="s">
        <v>37</v>
      </c>
      <c r="C98" s="116"/>
      <c r="D98" s="118"/>
      <c r="E98" s="157"/>
      <c r="F98" s="116"/>
      <c r="G98" s="120"/>
      <c r="H98" s="90"/>
      <c r="I98" s="90"/>
      <c r="J98" s="90"/>
      <c r="K98" s="20"/>
      <c r="L98" s="20"/>
      <c r="M98" s="20"/>
      <c r="N98" s="97" t="e">
        <f>O99/L99</f>
        <v>#DIV/0!</v>
      </c>
      <c r="O98" s="21">
        <f t="shared" ref="O98:O103" si="10">L98-M98</f>
        <v>0</v>
      </c>
      <c r="P98" s="27"/>
      <c r="Q98" s="99">
        <f>+L99-P99</f>
        <v>0</v>
      </c>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f t="shared" si="10"/>
        <v>0</v>
      </c>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row>
    <row r="100" spans="1:61" s="17" customFormat="1" ht="15.75" hidden="1" customHeight="1">
      <c r="A100" s="101">
        <v>44990</v>
      </c>
      <c r="B100" s="114" t="s">
        <v>37</v>
      </c>
      <c r="C100" s="116"/>
      <c r="D100" s="118"/>
      <c r="E100" s="116"/>
      <c r="F100" s="116"/>
      <c r="G100" s="120"/>
      <c r="H100" s="90"/>
      <c r="I100" s="90"/>
      <c r="J100" s="90"/>
      <c r="K100" s="20"/>
      <c r="L100" s="20"/>
      <c r="M100" s="20"/>
      <c r="N100" s="97" t="e">
        <f>O101/L101</f>
        <v>#DIV/0!</v>
      </c>
      <c r="O100" s="21">
        <f t="shared" si="10"/>
        <v>0</v>
      </c>
      <c r="P100" s="27"/>
      <c r="Q100" s="99">
        <f>+L101-P101</f>
        <v>0</v>
      </c>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f t="shared" si="10"/>
        <v>0</v>
      </c>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44990</v>
      </c>
      <c r="B102" s="114" t="s">
        <v>37</v>
      </c>
      <c r="C102" s="116"/>
      <c r="D102" s="118"/>
      <c r="E102" s="116"/>
      <c r="F102" s="116"/>
      <c r="G102" s="120"/>
      <c r="H102" s="90"/>
      <c r="I102" s="90"/>
      <c r="J102" s="90"/>
      <c r="K102" s="20"/>
      <c r="L102" s="20"/>
      <c r="M102" s="20"/>
      <c r="N102" s="97" t="e">
        <f>O103/L103</f>
        <v>#DIV/0!</v>
      </c>
      <c r="O102" s="21">
        <f t="shared" si="10"/>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c r="BH103" s="1"/>
      <c r="BI103" s="1"/>
    </row>
    <row r="104" spans="1:61" ht="24.75" hidden="1" customHeight="1">
      <c r="A104" s="111" t="s">
        <v>46</v>
      </c>
      <c r="B104" s="112"/>
      <c r="C104" s="112"/>
      <c r="D104" s="112"/>
      <c r="E104" s="112"/>
      <c r="F104" s="112"/>
      <c r="G104" s="112"/>
      <c r="H104" s="112"/>
      <c r="I104" s="113"/>
      <c r="J104" s="5">
        <f>SUM(J96:J103)</f>
        <v>0</v>
      </c>
      <c r="K104" s="5">
        <f>+SUMPRODUCT(((MOD(ROW(K96:K103),2)=0)*(K96:K103)))</f>
        <v>0</v>
      </c>
      <c r="L104" s="5">
        <f>+SUMPRODUCT(((MOD(ROW(L96:L103),2)=0)*(L96:L103)))</f>
        <v>0</v>
      </c>
      <c r="M104" s="5">
        <f>+SUMPRODUCT(((MOD(ROW(M96:M103),2)=0)*(M96:M103)))</f>
        <v>0</v>
      </c>
      <c r="N104" s="6" t="e">
        <f>O104/L104</f>
        <v>#DIV/0!</v>
      </c>
      <c r="O104" s="5">
        <f>+SUMPRODUCT(((MOD(ROW(O96:O103),2)=0)*(O96:O103)))</f>
        <v>0</v>
      </c>
      <c r="P104" s="5">
        <f>+SUMPRODUCT(((MOD(ROW(P96:P103),2)=0)*(P96:P103)))</f>
        <v>0</v>
      </c>
      <c r="Q104" s="29">
        <f>SUM(Q96:Q103)</f>
        <v>0</v>
      </c>
      <c r="R104" s="29"/>
      <c r="S104" s="29">
        <f t="shared" ref="S104:BG104" si="11">SUM(S96:S103)</f>
        <v>0</v>
      </c>
      <c r="T104" s="29">
        <f t="shared" si="11"/>
        <v>0</v>
      </c>
      <c r="U104" s="29">
        <f t="shared" si="11"/>
        <v>0</v>
      </c>
      <c r="V104" s="29">
        <f t="shared" si="11"/>
        <v>0</v>
      </c>
      <c r="W104" s="29">
        <f t="shared" si="11"/>
        <v>0</v>
      </c>
      <c r="X104" s="29">
        <f t="shared" si="11"/>
        <v>0</v>
      </c>
      <c r="Y104" s="29">
        <f t="shared" si="11"/>
        <v>0</v>
      </c>
      <c r="Z104" s="29">
        <f t="shared" si="11"/>
        <v>0</v>
      </c>
      <c r="AA104" s="29">
        <f t="shared" si="11"/>
        <v>0</v>
      </c>
      <c r="AB104" s="29">
        <f t="shared" si="11"/>
        <v>0</v>
      </c>
      <c r="AC104" s="29">
        <f t="shared" si="11"/>
        <v>0</v>
      </c>
      <c r="AD104" s="29">
        <f t="shared" si="11"/>
        <v>0</v>
      </c>
      <c r="AE104" s="29">
        <f t="shared" si="11"/>
        <v>0</v>
      </c>
      <c r="AF104" s="29">
        <f t="shared" si="11"/>
        <v>0</v>
      </c>
      <c r="AG104" s="29">
        <f t="shared" si="11"/>
        <v>0</v>
      </c>
      <c r="AH104" s="29">
        <f t="shared" si="11"/>
        <v>0</v>
      </c>
      <c r="AI104" s="29">
        <f t="shared" si="11"/>
        <v>0</v>
      </c>
      <c r="AJ104" s="29">
        <f t="shared" si="11"/>
        <v>0</v>
      </c>
      <c r="AK104" s="29">
        <f t="shared" si="11"/>
        <v>0</v>
      </c>
      <c r="AL104" s="29">
        <f t="shared" si="11"/>
        <v>0</v>
      </c>
      <c r="AM104" s="29">
        <f t="shared" si="11"/>
        <v>0</v>
      </c>
      <c r="AN104" s="29">
        <f t="shared" si="11"/>
        <v>0</v>
      </c>
      <c r="AO104" s="29">
        <f t="shared" si="11"/>
        <v>0</v>
      </c>
      <c r="AP104" s="29">
        <f t="shared" si="11"/>
        <v>0</v>
      </c>
      <c r="AQ104" s="29">
        <f t="shared" si="11"/>
        <v>0</v>
      </c>
      <c r="AR104" s="29">
        <f t="shared" si="11"/>
        <v>0</v>
      </c>
      <c r="AS104" s="29">
        <f t="shared" si="11"/>
        <v>0</v>
      </c>
      <c r="AT104" s="29">
        <f t="shared" si="11"/>
        <v>0</v>
      </c>
      <c r="AU104" s="29">
        <f t="shared" si="11"/>
        <v>0</v>
      </c>
      <c r="AV104" s="29">
        <f t="shared" si="11"/>
        <v>0</v>
      </c>
      <c r="AW104" s="29">
        <f t="shared" si="11"/>
        <v>0</v>
      </c>
      <c r="AX104" s="29">
        <f t="shared" si="11"/>
        <v>0</v>
      </c>
      <c r="AY104" s="29">
        <f t="shared" si="11"/>
        <v>0</v>
      </c>
      <c r="AZ104" s="29">
        <f t="shared" si="11"/>
        <v>0</v>
      </c>
      <c r="BA104" s="29">
        <f t="shared" si="11"/>
        <v>0</v>
      </c>
      <c r="BB104" s="29">
        <f t="shared" si="11"/>
        <v>0</v>
      </c>
      <c r="BC104" s="29">
        <f t="shared" si="11"/>
        <v>0</v>
      </c>
      <c r="BD104" s="29">
        <f t="shared" si="11"/>
        <v>0</v>
      </c>
      <c r="BE104" s="29">
        <f t="shared" si="11"/>
        <v>0</v>
      </c>
      <c r="BF104" s="29">
        <f t="shared" si="11"/>
        <v>0</v>
      </c>
      <c r="BG104" s="29">
        <f t="shared" si="11"/>
        <v>0</v>
      </c>
    </row>
    <row r="105" spans="1:61" ht="24.75" customHeight="1">
      <c r="A105" s="122" t="s">
        <v>5</v>
      </c>
      <c r="B105" s="122"/>
      <c r="C105" s="122"/>
      <c r="D105" s="122"/>
      <c r="E105" s="122"/>
      <c r="F105" s="122"/>
      <c r="G105" s="122"/>
      <c r="H105" s="122"/>
      <c r="I105" s="122"/>
      <c r="J105" s="4">
        <f>J75+J86+J95+J104</f>
        <v>4097</v>
      </c>
      <c r="K105" s="4">
        <f>K75+K86+K95+K104</f>
        <v>80</v>
      </c>
      <c r="L105" s="4">
        <f>L75+L86+L95+L104</f>
        <v>430</v>
      </c>
      <c r="M105" s="4">
        <f>M75+M86+M95+M104</f>
        <v>114</v>
      </c>
      <c r="N105" s="33">
        <f>O105/L105</f>
        <v>0.73488372093023258</v>
      </c>
      <c r="O105" s="4">
        <f>O75+O86+O95+O104</f>
        <v>316</v>
      </c>
      <c r="P105" s="31">
        <f>P75+P86+P95+P104</f>
        <v>266</v>
      </c>
      <c r="Q105" s="31">
        <f>Q75+Q86+Q95+Q104</f>
        <v>230</v>
      </c>
      <c r="R105" s="4"/>
      <c r="S105" s="31">
        <f t="shared" ref="S105:BG105" si="12">S75+S86+S95+S104</f>
        <v>13</v>
      </c>
      <c r="T105" s="31">
        <f t="shared" si="12"/>
        <v>5</v>
      </c>
      <c r="U105" s="31">
        <f t="shared" si="12"/>
        <v>36</v>
      </c>
      <c r="V105" s="31">
        <f t="shared" si="12"/>
        <v>0</v>
      </c>
      <c r="W105" s="31">
        <f t="shared" si="12"/>
        <v>0</v>
      </c>
      <c r="X105" s="31">
        <f t="shared" si="12"/>
        <v>5</v>
      </c>
      <c r="Y105" s="31">
        <f t="shared" si="12"/>
        <v>5</v>
      </c>
      <c r="Z105" s="31">
        <f t="shared" si="12"/>
        <v>0</v>
      </c>
      <c r="AA105" s="31">
        <f t="shared" si="12"/>
        <v>0</v>
      </c>
      <c r="AB105" s="31">
        <f t="shared" si="12"/>
        <v>0</v>
      </c>
      <c r="AC105" s="31">
        <f t="shared" si="12"/>
        <v>60</v>
      </c>
      <c r="AD105" s="31">
        <f t="shared" si="12"/>
        <v>15</v>
      </c>
      <c r="AE105" s="31">
        <f t="shared" si="12"/>
        <v>42</v>
      </c>
      <c r="AF105" s="31">
        <f t="shared" si="12"/>
        <v>29</v>
      </c>
      <c r="AG105" s="31">
        <f t="shared" si="12"/>
        <v>15</v>
      </c>
      <c r="AH105" s="31">
        <f t="shared" si="12"/>
        <v>48</v>
      </c>
      <c r="AI105" s="31">
        <f t="shared" si="12"/>
        <v>0</v>
      </c>
      <c r="AJ105" s="31">
        <f t="shared" si="12"/>
        <v>0</v>
      </c>
      <c r="AK105" s="31">
        <f t="shared" si="12"/>
        <v>0</v>
      </c>
      <c r="AL105" s="31">
        <f t="shared" si="12"/>
        <v>43</v>
      </c>
      <c r="AM105" s="31">
        <f t="shared" si="12"/>
        <v>0</v>
      </c>
      <c r="AN105" s="31">
        <f t="shared" si="12"/>
        <v>0</v>
      </c>
      <c r="AO105" s="31">
        <f t="shared" si="12"/>
        <v>0</v>
      </c>
      <c r="AP105" s="31">
        <f t="shared" si="12"/>
        <v>0</v>
      </c>
      <c r="AQ105" s="31">
        <f t="shared" si="12"/>
        <v>0</v>
      </c>
      <c r="AR105" s="31">
        <f t="shared" si="12"/>
        <v>0</v>
      </c>
      <c r="AS105" s="31">
        <f t="shared" si="12"/>
        <v>0</v>
      </c>
      <c r="AT105" s="31">
        <f t="shared" si="12"/>
        <v>0</v>
      </c>
      <c r="AU105" s="31">
        <f t="shared" si="12"/>
        <v>0</v>
      </c>
      <c r="AV105" s="31">
        <f t="shared" si="12"/>
        <v>0</v>
      </c>
      <c r="AW105" s="31">
        <f t="shared" si="12"/>
        <v>0</v>
      </c>
      <c r="AX105" s="31">
        <f t="shared" si="12"/>
        <v>0</v>
      </c>
      <c r="AY105" s="31">
        <f t="shared" si="12"/>
        <v>0</v>
      </c>
      <c r="AZ105" s="31">
        <f t="shared" si="12"/>
        <v>0</v>
      </c>
      <c r="BA105" s="31">
        <f t="shared" si="12"/>
        <v>0</v>
      </c>
      <c r="BB105" s="31">
        <f t="shared" si="12"/>
        <v>0</v>
      </c>
      <c r="BC105" s="31">
        <f t="shared" si="12"/>
        <v>0</v>
      </c>
      <c r="BD105" s="31">
        <f t="shared" si="12"/>
        <v>0</v>
      </c>
      <c r="BE105" s="31">
        <f t="shared" si="12"/>
        <v>0</v>
      </c>
      <c r="BF105" s="31">
        <f t="shared" si="12"/>
        <v>0</v>
      </c>
      <c r="BG105" s="31">
        <f t="shared" si="12"/>
        <v>0</v>
      </c>
    </row>
    <row r="108" spans="1:61" s="25" customFormat="1" ht="35.25" customHeight="1">
      <c r="A108" s="2"/>
      <c r="B108" s="2"/>
      <c r="C108" s="2"/>
      <c r="D108" s="1"/>
      <c r="E108" s="1"/>
      <c r="F108" s="1"/>
      <c r="G108" s="1"/>
      <c r="H108" s="1"/>
      <c r="I108" s="1"/>
      <c r="J108" s="1"/>
      <c r="K108" s="35"/>
      <c r="L108" s="35"/>
      <c r="M108" s="35"/>
      <c r="N108" s="35"/>
      <c r="O108" s="35"/>
      <c r="P108" s="35"/>
      <c r="Q108" s="36"/>
      <c r="S108" s="8"/>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row>
    <row r="111" spans="1:61" s="25" customFormat="1" ht="33" customHeight="1">
      <c r="A111" s="2"/>
      <c r="B111" s="2"/>
      <c r="C111" s="2"/>
      <c r="D111" s="1"/>
      <c r="E111" s="1"/>
      <c r="F111" s="1"/>
      <c r="G111" s="1"/>
      <c r="H111" s="1"/>
      <c r="I111" s="1"/>
      <c r="J111" s="1"/>
      <c r="K111" s="1"/>
      <c r="L111" s="1"/>
      <c r="M111" s="1"/>
      <c r="N111" s="1"/>
      <c r="O111" s="1"/>
      <c r="S111" s="8"/>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row>
  </sheetData>
  <mergeCells count="2471">
    <mergeCell ref="A1:O1"/>
    <mergeCell ref="A2:O2"/>
    <mergeCell ref="S3:S4"/>
    <mergeCell ref="T3:T4"/>
    <mergeCell ref="U3:U4"/>
    <mergeCell ref="V3:V4"/>
    <mergeCell ref="AY3:AY4"/>
    <mergeCell ref="AZ3:AZ4"/>
    <mergeCell ref="BA3:BA4"/>
    <mergeCell ref="BB3:BB4"/>
    <mergeCell ref="BC3:BC4"/>
    <mergeCell ref="BD3:BD4"/>
    <mergeCell ref="BE3:BE4"/>
    <mergeCell ref="BF3:BF4"/>
    <mergeCell ref="BG3:BG4"/>
    <mergeCell ref="A5:A6"/>
    <mergeCell ref="B5:B6"/>
    <mergeCell ref="C5:C6"/>
    <mergeCell ref="D5:D6"/>
    <mergeCell ref="E5:E6"/>
    <mergeCell ref="F5:F6"/>
    <mergeCell ref="G5:G6"/>
    <mergeCell ref="H5:H6"/>
    <mergeCell ref="I5:I6"/>
    <mergeCell ref="J5:J6"/>
    <mergeCell ref="N5:N6"/>
    <mergeCell ref="Q5:Q6"/>
    <mergeCell ref="R5:R6"/>
    <mergeCell ref="S5:S6"/>
    <mergeCell ref="T5:T6"/>
    <mergeCell ref="W3:W4"/>
    <mergeCell ref="X3:X4"/>
    <mergeCell ref="Y3:Y4"/>
    <mergeCell ref="Z3:Z4"/>
    <mergeCell ref="AA3:AA4"/>
    <mergeCell ref="AB3:AB4"/>
    <mergeCell ref="AC3:AC4"/>
    <mergeCell ref="AD3:AD4"/>
    <mergeCell ref="AD5:AD6"/>
    <mergeCell ref="AE5:AE6"/>
    <mergeCell ref="AF5:AF6"/>
    <mergeCell ref="AQ3:AQ4"/>
    <mergeCell ref="AR3:AR4"/>
    <mergeCell ref="AQ5:AQ6"/>
    <mergeCell ref="AR5:AR6"/>
    <mergeCell ref="AG5:AG6"/>
    <mergeCell ref="AH5:AH6"/>
    <mergeCell ref="AI5:AI6"/>
    <mergeCell ref="AJ5:AJ6"/>
    <mergeCell ref="AK5:AK6"/>
    <mergeCell ref="AL5:AL6"/>
    <mergeCell ref="AU3:AU4"/>
    <mergeCell ref="AV3:AV4"/>
    <mergeCell ref="AW3:AW4"/>
    <mergeCell ref="AX3:AX4"/>
    <mergeCell ref="AE3:AE4"/>
    <mergeCell ref="AF3:AF4"/>
    <mergeCell ref="AG3:AG4"/>
    <mergeCell ref="AH3:AH4"/>
    <mergeCell ref="AS3:AS4"/>
    <mergeCell ref="AT3:AT4"/>
    <mergeCell ref="AI3:AI4"/>
    <mergeCell ref="AJ3:AJ4"/>
    <mergeCell ref="AK3:AK4"/>
    <mergeCell ref="AL3:AL4"/>
    <mergeCell ref="AM3:AM4"/>
    <mergeCell ref="AN3:AN4"/>
    <mergeCell ref="AO3:AO4"/>
    <mergeCell ref="AP3:AP4"/>
    <mergeCell ref="AX5:AX6"/>
    <mergeCell ref="AY5:AY6"/>
    <mergeCell ref="AZ5:AZ6"/>
    <mergeCell ref="BA5:BA6"/>
    <mergeCell ref="BB5:BB6"/>
    <mergeCell ref="BC5:BC6"/>
    <mergeCell ref="BD5:BD6"/>
    <mergeCell ref="BE5:BE6"/>
    <mergeCell ref="BF5:BF6"/>
    <mergeCell ref="BG5:BG6"/>
    <mergeCell ref="A7:A8"/>
    <mergeCell ref="B7:B8"/>
    <mergeCell ref="C7:C8"/>
    <mergeCell ref="D7:D8"/>
    <mergeCell ref="E7:E8"/>
    <mergeCell ref="F7:F8"/>
    <mergeCell ref="G7:G8"/>
    <mergeCell ref="H7:H8"/>
    <mergeCell ref="I7:I8"/>
    <mergeCell ref="J7:J8"/>
    <mergeCell ref="N7:N8"/>
    <mergeCell ref="Q7:Q8"/>
    <mergeCell ref="R7:R8"/>
    <mergeCell ref="U5:U6"/>
    <mergeCell ref="V5:V6"/>
    <mergeCell ref="W5:W6"/>
    <mergeCell ref="X5:X6"/>
    <mergeCell ref="Y5:Y6"/>
    <mergeCell ref="Z5:Z6"/>
    <mergeCell ref="AA5:AA6"/>
    <mergeCell ref="AB5:AB6"/>
    <mergeCell ref="AC5:AC6"/>
    <mergeCell ref="AG7:AG8"/>
    <mergeCell ref="AH7:AH8"/>
    <mergeCell ref="AI7:AI8"/>
    <mergeCell ref="AJ7:AJ8"/>
    <mergeCell ref="AM5:AM6"/>
    <mergeCell ref="AN5:AN6"/>
    <mergeCell ref="AO5:AO6"/>
    <mergeCell ref="AP5:AP6"/>
    <mergeCell ref="AO7:AO8"/>
    <mergeCell ref="AP7:AP8"/>
    <mergeCell ref="AS5:AS6"/>
    <mergeCell ref="AT5:AT6"/>
    <mergeCell ref="AU5:AU6"/>
    <mergeCell ref="AV5:AV6"/>
    <mergeCell ref="AW5:AW6"/>
    <mergeCell ref="AK7:AK8"/>
    <mergeCell ref="AL7:AL8"/>
    <mergeCell ref="AM7:AM8"/>
    <mergeCell ref="AN7:AN8"/>
    <mergeCell ref="AQ7:AQ8"/>
    <mergeCell ref="AR7:AR8"/>
    <mergeCell ref="AS7:AS8"/>
    <mergeCell ref="AT7:AT8"/>
    <mergeCell ref="AU7:AU8"/>
    <mergeCell ref="AV7:AV8"/>
    <mergeCell ref="AW7:AW8"/>
    <mergeCell ref="BA7:BA8"/>
    <mergeCell ref="BB7:BB8"/>
    <mergeCell ref="BC7:BC8"/>
    <mergeCell ref="BD7:BD8"/>
    <mergeCell ref="BE7:BE8"/>
    <mergeCell ref="BF7:BF8"/>
    <mergeCell ref="BG7:BG8"/>
    <mergeCell ref="A9:A10"/>
    <mergeCell ref="B9:B10"/>
    <mergeCell ref="C9:C10"/>
    <mergeCell ref="D9:D10"/>
    <mergeCell ref="E9:E10"/>
    <mergeCell ref="F9:F10"/>
    <mergeCell ref="G9:G10"/>
    <mergeCell ref="H9:H10"/>
    <mergeCell ref="I9:I10"/>
    <mergeCell ref="J9:J10"/>
    <mergeCell ref="N9:N10"/>
    <mergeCell ref="S7:S8"/>
    <mergeCell ref="T7:T8"/>
    <mergeCell ref="U7:U8"/>
    <mergeCell ref="V7:V8"/>
    <mergeCell ref="W7:W8"/>
    <mergeCell ref="X7:X8"/>
    <mergeCell ref="Y7:Y8"/>
    <mergeCell ref="Z7:Z8"/>
    <mergeCell ref="AA7:AA8"/>
    <mergeCell ref="AB7:AB8"/>
    <mergeCell ref="AC7:AC8"/>
    <mergeCell ref="AD7:AD8"/>
    <mergeCell ref="AE7:AE8"/>
    <mergeCell ref="AF7:AF8"/>
    <mergeCell ref="AX7:AX8"/>
    <mergeCell ref="AI9:AI10"/>
    <mergeCell ref="AJ9:AJ10"/>
    <mergeCell ref="AK9:AK10"/>
    <mergeCell ref="AL9:AL10"/>
    <mergeCell ref="BG9:BG10"/>
    <mergeCell ref="A11:A12"/>
    <mergeCell ref="B11:B12"/>
    <mergeCell ref="C11:C12"/>
    <mergeCell ref="D11:D12"/>
    <mergeCell ref="E11:E12"/>
    <mergeCell ref="F11:F12"/>
    <mergeCell ref="G11:G12"/>
    <mergeCell ref="H11:H12"/>
    <mergeCell ref="I11:I12"/>
    <mergeCell ref="Q9:Q10"/>
    <mergeCell ref="R9:R10"/>
    <mergeCell ref="S9:S10"/>
    <mergeCell ref="T9:T10"/>
    <mergeCell ref="U9:U10"/>
    <mergeCell ref="V9:V10"/>
    <mergeCell ref="W9:W10"/>
    <mergeCell ref="X9:X10"/>
    <mergeCell ref="AY7:AY8"/>
    <mergeCell ref="AZ7:AZ8"/>
    <mergeCell ref="Y9:Y10"/>
    <mergeCell ref="Z9:Z10"/>
    <mergeCell ref="AA9:AA10"/>
    <mergeCell ref="AB9:AB10"/>
    <mergeCell ref="AC9:AC10"/>
    <mergeCell ref="AD9:AD10"/>
    <mergeCell ref="AE9:AE10"/>
    <mergeCell ref="AF9:AF10"/>
    <mergeCell ref="AG9:AG10"/>
    <mergeCell ref="AH9:AH10"/>
    <mergeCell ref="AO9:AO10"/>
    <mergeCell ref="AP9:AP10"/>
    <mergeCell ref="AQ9:AQ10"/>
    <mergeCell ref="AR9:AR10"/>
    <mergeCell ref="AS9:AS10"/>
    <mergeCell ref="AT9:AT10"/>
    <mergeCell ref="AU9:AU10"/>
    <mergeCell ref="AM9:AM10"/>
    <mergeCell ref="AN9:AN10"/>
    <mergeCell ref="AV9:AV10"/>
    <mergeCell ref="AW9:AW10"/>
    <mergeCell ref="AX9:AX10"/>
    <mergeCell ref="AY9:AY10"/>
    <mergeCell ref="BC11:BC12"/>
    <mergeCell ref="AI11:AI12"/>
    <mergeCell ref="AJ11:AJ12"/>
    <mergeCell ref="BE11:BE12"/>
    <mergeCell ref="BF11:BF12"/>
    <mergeCell ref="AT11:AT12"/>
    <mergeCell ref="AU11:AU12"/>
    <mergeCell ref="AV11:AV12"/>
    <mergeCell ref="AW11:AW12"/>
    <mergeCell ref="AX11:AX12"/>
    <mergeCell ref="AY11:AY12"/>
    <mergeCell ref="AZ11:AZ12"/>
    <mergeCell ref="BA11:BA12"/>
    <mergeCell ref="BB11:BB12"/>
    <mergeCell ref="AZ9:AZ10"/>
    <mergeCell ref="BA9:BA10"/>
    <mergeCell ref="BB9:BB10"/>
    <mergeCell ref="BC9:BC10"/>
    <mergeCell ref="BD9:BD10"/>
    <mergeCell ref="BE9:BE10"/>
    <mergeCell ref="BF9:BF10"/>
    <mergeCell ref="BG11:BG12"/>
    <mergeCell ref="A13:A14"/>
    <mergeCell ref="B13:B14"/>
    <mergeCell ref="C13:C14"/>
    <mergeCell ref="D13:D14"/>
    <mergeCell ref="E13:E14"/>
    <mergeCell ref="F13:F14"/>
    <mergeCell ref="G13:G14"/>
    <mergeCell ref="J11:J12"/>
    <mergeCell ref="N11:N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11:AF12"/>
    <mergeCell ref="AW13:AW14"/>
    <mergeCell ref="AX13:AX14"/>
    <mergeCell ref="AY13:AY14"/>
    <mergeCell ref="AZ13:AZ14"/>
    <mergeCell ref="BA13:BA14"/>
    <mergeCell ref="BB13:BB14"/>
    <mergeCell ref="A17:A18"/>
    <mergeCell ref="B17:B18"/>
    <mergeCell ref="C17:C18"/>
    <mergeCell ref="D17:D18"/>
    <mergeCell ref="E17:E18"/>
    <mergeCell ref="AE13:AE14"/>
    <mergeCell ref="AM11:AM12"/>
    <mergeCell ref="AN11:AN12"/>
    <mergeCell ref="AO11:AO12"/>
    <mergeCell ref="AP11:AP12"/>
    <mergeCell ref="AQ11:AQ12"/>
    <mergeCell ref="AR11:AR12"/>
    <mergeCell ref="AS11:AS12"/>
    <mergeCell ref="F17:F18"/>
    <mergeCell ref="G17:G18"/>
    <mergeCell ref="H17:H18"/>
    <mergeCell ref="I17:I18"/>
    <mergeCell ref="J17:J18"/>
    <mergeCell ref="N17:N18"/>
    <mergeCell ref="Q17:Q18"/>
    <mergeCell ref="R17:R18"/>
    <mergeCell ref="S17:S18"/>
    <mergeCell ref="T17:T18"/>
    <mergeCell ref="U17:U18"/>
    <mergeCell ref="V17:V18"/>
    <mergeCell ref="AF13:AF14"/>
    <mergeCell ref="AG13:AG14"/>
    <mergeCell ref="AH13:AH14"/>
    <mergeCell ref="AK11:AK12"/>
    <mergeCell ref="AL11:AL12"/>
    <mergeCell ref="Y13:Y14"/>
    <mergeCell ref="Z13:Z14"/>
    <mergeCell ref="AA13:AA14"/>
    <mergeCell ref="H13:H14"/>
    <mergeCell ref="I13:I14"/>
    <mergeCell ref="J13:J14"/>
    <mergeCell ref="N13:N14"/>
    <mergeCell ref="Q13:Q14"/>
    <mergeCell ref="R13:R14"/>
    <mergeCell ref="S13:S14"/>
    <mergeCell ref="T13:T14"/>
    <mergeCell ref="U13:U14"/>
    <mergeCell ref="V13:V14"/>
    <mergeCell ref="W13:W14"/>
    <mergeCell ref="X13:X14"/>
    <mergeCell ref="AG11:AG12"/>
    <mergeCell ref="AH11:AH12"/>
    <mergeCell ref="BC13:BC14"/>
    <mergeCell ref="BD13:BD14"/>
    <mergeCell ref="BD11:BD12"/>
    <mergeCell ref="BE13:BE14"/>
    <mergeCell ref="BF13:BF14"/>
    <mergeCell ref="BG13:BG14"/>
    <mergeCell ref="AB13:AB14"/>
    <mergeCell ref="AC13:AC14"/>
    <mergeCell ref="AD13:AD14"/>
    <mergeCell ref="AK13:AK14"/>
    <mergeCell ref="AL13:AL14"/>
    <mergeCell ref="AM13:AM14"/>
    <mergeCell ref="AN13:AN14"/>
    <mergeCell ref="AO13:AO14"/>
    <mergeCell ref="AP13:AP14"/>
    <mergeCell ref="AQ13:AQ14"/>
    <mergeCell ref="AR13:AR14"/>
    <mergeCell ref="AS13:AS14"/>
    <mergeCell ref="AT13:AT14"/>
    <mergeCell ref="AU13:AU14"/>
    <mergeCell ref="AV13:AV14"/>
    <mergeCell ref="AI13:AI14"/>
    <mergeCell ref="AJ13:AJ14"/>
    <mergeCell ref="AY17:AY18"/>
    <mergeCell ref="AZ17:AZ18"/>
    <mergeCell ref="BA17:BA18"/>
    <mergeCell ref="BB17:BB18"/>
    <mergeCell ref="BC17:BC18"/>
    <mergeCell ref="BD17:BD18"/>
    <mergeCell ref="BE17:BE18"/>
    <mergeCell ref="BF17:BF18"/>
    <mergeCell ref="BG17:BG18"/>
    <mergeCell ref="A19:A20"/>
    <mergeCell ref="B19:B20"/>
    <mergeCell ref="C19:C20"/>
    <mergeCell ref="D19:D20"/>
    <mergeCell ref="E19:E20"/>
    <mergeCell ref="F19:F20"/>
    <mergeCell ref="G19:G20"/>
    <mergeCell ref="H19:H20"/>
    <mergeCell ref="I19:I20"/>
    <mergeCell ref="J19:J20"/>
    <mergeCell ref="N19:N20"/>
    <mergeCell ref="Q19:Q20"/>
    <mergeCell ref="R19:R20"/>
    <mergeCell ref="S19:S20"/>
    <mergeCell ref="T19:T20"/>
    <mergeCell ref="W17:W18"/>
    <mergeCell ref="X17:X18"/>
    <mergeCell ref="Y17:Y18"/>
    <mergeCell ref="Z17:Z18"/>
    <mergeCell ref="AA17:AA18"/>
    <mergeCell ref="AB17:AB18"/>
    <mergeCell ref="AC17:AC18"/>
    <mergeCell ref="AD17:AD18"/>
    <mergeCell ref="AE19:AE20"/>
    <mergeCell ref="AF19:AF20"/>
    <mergeCell ref="AQ17:AQ18"/>
    <mergeCell ref="AR17:AR18"/>
    <mergeCell ref="AQ19:AQ20"/>
    <mergeCell ref="AR19:AR20"/>
    <mergeCell ref="AG19:AG20"/>
    <mergeCell ref="AH19:AH20"/>
    <mergeCell ref="AI19:AI20"/>
    <mergeCell ref="AJ19:AJ20"/>
    <mergeCell ref="AK19:AK20"/>
    <mergeCell ref="AL19:AL20"/>
    <mergeCell ref="AU17:AU18"/>
    <mergeCell ref="AV17:AV18"/>
    <mergeCell ref="AW17:AW18"/>
    <mergeCell ref="AX17:AX18"/>
    <mergeCell ref="AE17:AE18"/>
    <mergeCell ref="AF17:AF18"/>
    <mergeCell ref="AG17:AG18"/>
    <mergeCell ref="AH17:AH18"/>
    <mergeCell ref="AS17:AS18"/>
    <mergeCell ref="AT17:AT18"/>
    <mergeCell ref="AI17:AI18"/>
    <mergeCell ref="AJ17:AJ18"/>
    <mergeCell ref="AK17:AK18"/>
    <mergeCell ref="AL17:AL18"/>
    <mergeCell ref="AM17:AM18"/>
    <mergeCell ref="AN17:AN18"/>
    <mergeCell ref="AO17:AO18"/>
    <mergeCell ref="AP17:AP18"/>
    <mergeCell ref="AX19:AX20"/>
    <mergeCell ref="AM19:AM20"/>
    <mergeCell ref="AZ19:AZ20"/>
    <mergeCell ref="BA19:BA20"/>
    <mergeCell ref="BB19:BB20"/>
    <mergeCell ref="BC19:BC20"/>
    <mergeCell ref="BD19:BD20"/>
    <mergeCell ref="BE19:BE20"/>
    <mergeCell ref="BF19:BF20"/>
    <mergeCell ref="BG19:BG20"/>
    <mergeCell ref="A21:A22"/>
    <mergeCell ref="B21:B22"/>
    <mergeCell ref="C21:C22"/>
    <mergeCell ref="D21:D22"/>
    <mergeCell ref="E21:E22"/>
    <mergeCell ref="F21:F22"/>
    <mergeCell ref="G21:G22"/>
    <mergeCell ref="H21:H22"/>
    <mergeCell ref="I21:I22"/>
    <mergeCell ref="J21:J22"/>
    <mergeCell ref="N21:N22"/>
    <mergeCell ref="Q21:Q22"/>
    <mergeCell ref="R21:R22"/>
    <mergeCell ref="U19:U20"/>
    <mergeCell ref="V19:V20"/>
    <mergeCell ref="W19:W20"/>
    <mergeCell ref="X19:X20"/>
    <mergeCell ref="Y19:Y20"/>
    <mergeCell ref="Z19:Z20"/>
    <mergeCell ref="AA19:AA20"/>
    <mergeCell ref="AB19:AB20"/>
    <mergeCell ref="AC19:AC20"/>
    <mergeCell ref="AE21:AE22"/>
    <mergeCell ref="AD19:AD20"/>
    <mergeCell ref="AN19:AN20"/>
    <mergeCell ref="AO19:AO20"/>
    <mergeCell ref="AP19:AP20"/>
    <mergeCell ref="AO21:AO22"/>
    <mergeCell ref="AP21:AP22"/>
    <mergeCell ref="AS19:AS20"/>
    <mergeCell ref="AT19:AT20"/>
    <mergeCell ref="AU19:AU20"/>
    <mergeCell ref="AV19:AV20"/>
    <mergeCell ref="AW19:AW20"/>
    <mergeCell ref="AY21:AY22"/>
    <mergeCell ref="AY19:AY20"/>
    <mergeCell ref="AK21:AK22"/>
    <mergeCell ref="AL21:AL22"/>
    <mergeCell ref="AM21:AM22"/>
    <mergeCell ref="AN21:AN22"/>
    <mergeCell ref="AQ21:AQ22"/>
    <mergeCell ref="AR21:AR22"/>
    <mergeCell ref="AS21:AS22"/>
    <mergeCell ref="AT21:AT22"/>
    <mergeCell ref="AU21:AU22"/>
    <mergeCell ref="AV21:AV22"/>
    <mergeCell ref="AW21:AW22"/>
    <mergeCell ref="AX21:AX22"/>
    <mergeCell ref="BG21:BG22"/>
    <mergeCell ref="A23:A24"/>
    <mergeCell ref="B23:B24"/>
    <mergeCell ref="C23:C24"/>
    <mergeCell ref="D23:D24"/>
    <mergeCell ref="E23:E24"/>
    <mergeCell ref="F23:F24"/>
    <mergeCell ref="G23:G24"/>
    <mergeCell ref="H23:H24"/>
    <mergeCell ref="I23:I24"/>
    <mergeCell ref="J23:J24"/>
    <mergeCell ref="N23:N24"/>
    <mergeCell ref="S21:S22"/>
    <mergeCell ref="T21:T22"/>
    <mergeCell ref="U21:U22"/>
    <mergeCell ref="V21:V22"/>
    <mergeCell ref="W21:W22"/>
    <mergeCell ref="X21:X22"/>
    <mergeCell ref="Y21:Y22"/>
    <mergeCell ref="Z21:Z22"/>
    <mergeCell ref="AA21:AA22"/>
    <mergeCell ref="AB21:AB22"/>
    <mergeCell ref="AC21:AC22"/>
    <mergeCell ref="AD21:AD22"/>
    <mergeCell ref="AF23:AF24"/>
    <mergeCell ref="AF21:AF22"/>
    <mergeCell ref="AG21:AG22"/>
    <mergeCell ref="AH21:AH22"/>
    <mergeCell ref="AI21:AI22"/>
    <mergeCell ref="AJ21:AJ22"/>
    <mergeCell ref="AZ21:AZ22"/>
    <mergeCell ref="BG23:BG24"/>
    <mergeCell ref="A25:A26"/>
    <mergeCell ref="B25:B26"/>
    <mergeCell ref="C25:C26"/>
    <mergeCell ref="D25:D26"/>
    <mergeCell ref="E25:E26"/>
    <mergeCell ref="F25:F26"/>
    <mergeCell ref="G25:G26"/>
    <mergeCell ref="H25:H26"/>
    <mergeCell ref="I25:I26"/>
    <mergeCell ref="Q23:Q24"/>
    <mergeCell ref="R23:R24"/>
    <mergeCell ref="S23:S24"/>
    <mergeCell ref="T23:T24"/>
    <mergeCell ref="U23:U24"/>
    <mergeCell ref="V23:V24"/>
    <mergeCell ref="W23:W24"/>
    <mergeCell ref="BA21:BA22"/>
    <mergeCell ref="AL23:AL24"/>
    <mergeCell ref="BB21:BB22"/>
    <mergeCell ref="X23:X24"/>
    <mergeCell ref="Y23:Y24"/>
    <mergeCell ref="Z23:Z24"/>
    <mergeCell ref="AA23:AA24"/>
    <mergeCell ref="AB23:AB24"/>
    <mergeCell ref="AC23:AC24"/>
    <mergeCell ref="AD23:AD24"/>
    <mergeCell ref="AE23:AE24"/>
    <mergeCell ref="BC21:BC22"/>
    <mergeCell ref="BD21:BD22"/>
    <mergeCell ref="BE21:BE22"/>
    <mergeCell ref="BF21:BF22"/>
    <mergeCell ref="AI23:AI24"/>
    <mergeCell ref="AG23:AG24"/>
    <mergeCell ref="AH23:AH24"/>
    <mergeCell ref="AO23:AO24"/>
    <mergeCell ref="AP23:AP24"/>
    <mergeCell ref="AQ23:AQ24"/>
    <mergeCell ref="AR23:AR24"/>
    <mergeCell ref="AS23:AS24"/>
    <mergeCell ref="AT23:AT24"/>
    <mergeCell ref="AM23:AM24"/>
    <mergeCell ref="AN23:AN24"/>
    <mergeCell ref="AU23:AU24"/>
    <mergeCell ref="AV23:AV24"/>
    <mergeCell ref="AW23:AW24"/>
    <mergeCell ref="AX23:AX24"/>
    <mergeCell ref="AY23:AY24"/>
    <mergeCell ref="AZ23:AZ24"/>
    <mergeCell ref="AJ23:AJ24"/>
    <mergeCell ref="AK23:AK24"/>
    <mergeCell ref="BE25:BE26"/>
    <mergeCell ref="BF25:BF26"/>
    <mergeCell ref="AT25:AT26"/>
    <mergeCell ref="AU25:AU26"/>
    <mergeCell ref="AV25:AV26"/>
    <mergeCell ref="AW25:AW26"/>
    <mergeCell ref="AX25:AX26"/>
    <mergeCell ref="AY25:AY26"/>
    <mergeCell ref="AZ25:AZ26"/>
    <mergeCell ref="BA25:BA26"/>
    <mergeCell ref="BB25:BB26"/>
    <mergeCell ref="BA23:BA24"/>
    <mergeCell ref="BB23:BB24"/>
    <mergeCell ref="BC23:BC24"/>
    <mergeCell ref="BD23:BD24"/>
    <mergeCell ref="BE23:BE24"/>
    <mergeCell ref="BF23:BF24"/>
    <mergeCell ref="BG25:BG26"/>
    <mergeCell ref="A27:A28"/>
    <mergeCell ref="B27:B28"/>
    <mergeCell ref="C27:C28"/>
    <mergeCell ref="D27:D28"/>
    <mergeCell ref="E27:E28"/>
    <mergeCell ref="F27:F28"/>
    <mergeCell ref="G27:G28"/>
    <mergeCell ref="J25:J26"/>
    <mergeCell ref="N25:N26"/>
    <mergeCell ref="Q25:Q26"/>
    <mergeCell ref="R25:R26"/>
    <mergeCell ref="S25:S26"/>
    <mergeCell ref="T25:T26"/>
    <mergeCell ref="U25:U26"/>
    <mergeCell ref="V25:V26"/>
    <mergeCell ref="W25:W26"/>
    <mergeCell ref="X25:X26"/>
    <mergeCell ref="Y25:Y26"/>
    <mergeCell ref="Z25:Z26"/>
    <mergeCell ref="AA25:AA26"/>
    <mergeCell ref="AB25:AB26"/>
    <mergeCell ref="AC25:AC26"/>
    <mergeCell ref="AD25:AD26"/>
    <mergeCell ref="AE25:AE26"/>
    <mergeCell ref="AF25:AF26"/>
    <mergeCell ref="AW27:AW28"/>
    <mergeCell ref="AX27:AX28"/>
    <mergeCell ref="AY27:AY28"/>
    <mergeCell ref="AZ27:AZ28"/>
    <mergeCell ref="BA27:BA28"/>
    <mergeCell ref="BB27:BB28"/>
    <mergeCell ref="A29:A30"/>
    <mergeCell ref="B29:B30"/>
    <mergeCell ref="C29:C30"/>
    <mergeCell ref="D29:D30"/>
    <mergeCell ref="E29:E30"/>
    <mergeCell ref="AE27:AE28"/>
    <mergeCell ref="AM25:AM26"/>
    <mergeCell ref="AN25:AN26"/>
    <mergeCell ref="AO25:AO26"/>
    <mergeCell ref="AP25:AP26"/>
    <mergeCell ref="AQ25:AQ26"/>
    <mergeCell ref="AR25:AR26"/>
    <mergeCell ref="AS25:AS26"/>
    <mergeCell ref="F29:F30"/>
    <mergeCell ref="G29:G30"/>
    <mergeCell ref="H29:H30"/>
    <mergeCell ref="I29:I30"/>
    <mergeCell ref="J29:J30"/>
    <mergeCell ref="N29:N30"/>
    <mergeCell ref="Q29:Q30"/>
    <mergeCell ref="R29:R30"/>
    <mergeCell ref="S29:S30"/>
    <mergeCell ref="T29:T30"/>
    <mergeCell ref="U29:U30"/>
    <mergeCell ref="V29:V30"/>
    <mergeCell ref="AF27:AF28"/>
    <mergeCell ref="AG27:AG28"/>
    <mergeCell ref="AH27:AH28"/>
    <mergeCell ref="AK25:AK26"/>
    <mergeCell ref="AL25:AL26"/>
    <mergeCell ref="Y27:Y28"/>
    <mergeCell ref="Z27:Z28"/>
    <mergeCell ref="AA27:AA28"/>
    <mergeCell ref="H27:H28"/>
    <mergeCell ref="I27:I28"/>
    <mergeCell ref="J27:J28"/>
    <mergeCell ref="N27:N28"/>
    <mergeCell ref="Q27:Q28"/>
    <mergeCell ref="R27:R28"/>
    <mergeCell ref="S27:S28"/>
    <mergeCell ref="T27:T28"/>
    <mergeCell ref="U27:U28"/>
    <mergeCell ref="V27:V28"/>
    <mergeCell ref="W27:W28"/>
    <mergeCell ref="X27:X28"/>
    <mergeCell ref="AG25:AG26"/>
    <mergeCell ref="AH25:AH26"/>
    <mergeCell ref="BC27:BC28"/>
    <mergeCell ref="BD27:BD28"/>
    <mergeCell ref="BD25:BD26"/>
    <mergeCell ref="BC25:BC26"/>
    <mergeCell ref="AI25:AI26"/>
    <mergeCell ref="AJ25:AJ26"/>
    <mergeCell ref="BE27:BE28"/>
    <mergeCell ref="BF27:BF28"/>
    <mergeCell ref="BG27:BG28"/>
    <mergeCell ref="AB27:AB28"/>
    <mergeCell ref="AC27:AC28"/>
    <mergeCell ref="AD27:AD28"/>
    <mergeCell ref="AK27:AK28"/>
    <mergeCell ref="AL27:AL28"/>
    <mergeCell ref="AM27:AM28"/>
    <mergeCell ref="AN27:AN28"/>
    <mergeCell ref="AO27:AO28"/>
    <mergeCell ref="AP27:AP28"/>
    <mergeCell ref="AQ27:AQ28"/>
    <mergeCell ref="AR27:AR28"/>
    <mergeCell ref="AS27:AS28"/>
    <mergeCell ref="AT27:AT28"/>
    <mergeCell ref="AU27:AU28"/>
    <mergeCell ref="AV27:AV28"/>
    <mergeCell ref="AI27:AI28"/>
    <mergeCell ref="AJ27:AJ28"/>
    <mergeCell ref="BB29:BB30"/>
    <mergeCell ref="BC29:BC30"/>
    <mergeCell ref="BD29:BD30"/>
    <mergeCell ref="BE29:BE30"/>
    <mergeCell ref="BF29:BF30"/>
    <mergeCell ref="BG29:BG30"/>
    <mergeCell ref="A31:A32"/>
    <mergeCell ref="B31:B32"/>
    <mergeCell ref="C31:C32"/>
    <mergeCell ref="D31:D32"/>
    <mergeCell ref="E31:E32"/>
    <mergeCell ref="F31:F32"/>
    <mergeCell ref="G31:G32"/>
    <mergeCell ref="H31:H32"/>
    <mergeCell ref="I31:I32"/>
    <mergeCell ref="J31:J32"/>
    <mergeCell ref="N31:N32"/>
    <mergeCell ref="Q31:Q32"/>
    <mergeCell ref="R31:R32"/>
    <mergeCell ref="S31:S32"/>
    <mergeCell ref="T31:T32"/>
    <mergeCell ref="W29:W30"/>
    <mergeCell ref="X29:X30"/>
    <mergeCell ref="Y29:Y30"/>
    <mergeCell ref="Z29:Z30"/>
    <mergeCell ref="AA29:AA30"/>
    <mergeCell ref="AB29:AB30"/>
    <mergeCell ref="AC29:AC30"/>
    <mergeCell ref="AD29:AD30"/>
    <mergeCell ref="AE29:AE30"/>
    <mergeCell ref="AF29:AF30"/>
    <mergeCell ref="AG29:AG30"/>
    <mergeCell ref="AQ29:AQ30"/>
    <mergeCell ref="AR29:AR30"/>
    <mergeCell ref="AQ31:AQ32"/>
    <mergeCell ref="AR31:AR32"/>
    <mergeCell ref="AG31:AG32"/>
    <mergeCell ref="AH31:AH32"/>
    <mergeCell ref="AI31:AI32"/>
    <mergeCell ref="AJ31:AJ32"/>
    <mergeCell ref="AK31:AK32"/>
    <mergeCell ref="AL31:AL32"/>
    <mergeCell ref="AU29:AU30"/>
    <mergeCell ref="AV29:AV30"/>
    <mergeCell ref="AW29:AW30"/>
    <mergeCell ref="AX29:AX30"/>
    <mergeCell ref="AY29:AY30"/>
    <mergeCell ref="AZ29:AZ30"/>
    <mergeCell ref="BA29:BA30"/>
    <mergeCell ref="AH29:AH30"/>
    <mergeCell ref="AS29:AS30"/>
    <mergeCell ref="AT29:AT30"/>
    <mergeCell ref="AI29:AI30"/>
    <mergeCell ref="AJ29:AJ30"/>
    <mergeCell ref="AK29:AK30"/>
    <mergeCell ref="AL29:AL30"/>
    <mergeCell ref="AM29:AM30"/>
    <mergeCell ref="AN29:AN30"/>
    <mergeCell ref="AO29:AO30"/>
    <mergeCell ref="AP29:AP30"/>
    <mergeCell ref="BA31:BA32"/>
    <mergeCell ref="BC31:BC32"/>
    <mergeCell ref="BD31:BD32"/>
    <mergeCell ref="BE31:BE32"/>
    <mergeCell ref="BF31:BF32"/>
    <mergeCell ref="BG31:BG32"/>
    <mergeCell ref="A33:A34"/>
    <mergeCell ref="B33:B34"/>
    <mergeCell ref="C33:C34"/>
    <mergeCell ref="D33:D34"/>
    <mergeCell ref="E33:E34"/>
    <mergeCell ref="F33:F34"/>
    <mergeCell ref="G33:G34"/>
    <mergeCell ref="H33:H34"/>
    <mergeCell ref="I33:I34"/>
    <mergeCell ref="J33:J34"/>
    <mergeCell ref="N33:N34"/>
    <mergeCell ref="Q33:Q34"/>
    <mergeCell ref="R33:R34"/>
    <mergeCell ref="U31:U32"/>
    <mergeCell ref="V31:V32"/>
    <mergeCell ref="W31:W32"/>
    <mergeCell ref="X31:X32"/>
    <mergeCell ref="Y31:Y32"/>
    <mergeCell ref="Z31:Z32"/>
    <mergeCell ref="AA31:AA32"/>
    <mergeCell ref="AB31:AB32"/>
    <mergeCell ref="AC31:AC32"/>
    <mergeCell ref="AD31:AD32"/>
    <mergeCell ref="AE31:AE32"/>
    <mergeCell ref="AF31:AF32"/>
    <mergeCell ref="AH33:AH34"/>
    <mergeCell ref="AI33:AI34"/>
    <mergeCell ref="AJ33:AJ34"/>
    <mergeCell ref="AM31:AM32"/>
    <mergeCell ref="AN31:AN32"/>
    <mergeCell ref="AO31:AO32"/>
    <mergeCell ref="AP31:AP32"/>
    <mergeCell ref="AO33:AO34"/>
    <mergeCell ref="AP33:AP34"/>
    <mergeCell ref="AS31:AS32"/>
    <mergeCell ref="AT31:AT32"/>
    <mergeCell ref="AU31:AU32"/>
    <mergeCell ref="AV31:AV32"/>
    <mergeCell ref="AW31:AW32"/>
    <mergeCell ref="AX31:AX32"/>
    <mergeCell ref="AY31:AY32"/>
    <mergeCell ref="AZ31:AZ32"/>
    <mergeCell ref="BB33:BB34"/>
    <mergeCell ref="AL33:AL34"/>
    <mergeCell ref="AM33:AM34"/>
    <mergeCell ref="AN33:AN34"/>
    <mergeCell ref="BB31:BB32"/>
    <mergeCell ref="AQ33:AQ34"/>
    <mergeCell ref="AR33:AR34"/>
    <mergeCell ref="AS33:AS34"/>
    <mergeCell ref="AT33:AT34"/>
    <mergeCell ref="AU33:AU34"/>
    <mergeCell ref="AV33:AV34"/>
    <mergeCell ref="AW33:AW34"/>
    <mergeCell ref="AX33:AX34"/>
    <mergeCell ref="AY33:AY34"/>
    <mergeCell ref="AZ33:AZ34"/>
    <mergeCell ref="BA33:BA34"/>
    <mergeCell ref="BC33:BC34"/>
    <mergeCell ref="BD33:BD34"/>
    <mergeCell ref="BE33:BE34"/>
    <mergeCell ref="BF33:BF34"/>
    <mergeCell ref="BG33:BG34"/>
    <mergeCell ref="A35:A36"/>
    <mergeCell ref="B35:B36"/>
    <mergeCell ref="C35:C36"/>
    <mergeCell ref="D35:D36"/>
    <mergeCell ref="E35:E36"/>
    <mergeCell ref="F35:F36"/>
    <mergeCell ref="G35:G36"/>
    <mergeCell ref="H35:H36"/>
    <mergeCell ref="I35:I36"/>
    <mergeCell ref="J35:J36"/>
    <mergeCell ref="N35:N36"/>
    <mergeCell ref="S33:S34"/>
    <mergeCell ref="T33:T34"/>
    <mergeCell ref="U33:U34"/>
    <mergeCell ref="V33:V34"/>
    <mergeCell ref="W33:W34"/>
    <mergeCell ref="X33:X34"/>
    <mergeCell ref="Y33:Y34"/>
    <mergeCell ref="Z33:Z34"/>
    <mergeCell ref="AA33:AA34"/>
    <mergeCell ref="AB33:AB34"/>
    <mergeCell ref="AC33:AC34"/>
    <mergeCell ref="AD33:AD34"/>
    <mergeCell ref="AE33:AE34"/>
    <mergeCell ref="AF33:AF34"/>
    <mergeCell ref="AG33:AG34"/>
    <mergeCell ref="AK33:AK34"/>
    <mergeCell ref="AV35:AV36"/>
    <mergeCell ref="AW35:AW36"/>
    <mergeCell ref="AX35:AX36"/>
    <mergeCell ref="AY35:AY36"/>
    <mergeCell ref="AZ35:AZ36"/>
    <mergeCell ref="BA35:BA36"/>
    <mergeCell ref="BB35:BB36"/>
    <mergeCell ref="BC35:BC36"/>
    <mergeCell ref="BD35:BD36"/>
    <mergeCell ref="BE35:BE36"/>
    <mergeCell ref="BF35:BF36"/>
    <mergeCell ref="BG35:BG36"/>
    <mergeCell ref="A37:A38"/>
    <mergeCell ref="B37:B38"/>
    <mergeCell ref="C37:C38"/>
    <mergeCell ref="D37:D38"/>
    <mergeCell ref="E37:E38"/>
    <mergeCell ref="F37:F38"/>
    <mergeCell ref="G37:G38"/>
    <mergeCell ref="H37:H38"/>
    <mergeCell ref="I37:I38"/>
    <mergeCell ref="Q35:Q36"/>
    <mergeCell ref="R35:R36"/>
    <mergeCell ref="S35:S36"/>
    <mergeCell ref="T35:T36"/>
    <mergeCell ref="U35:U36"/>
    <mergeCell ref="V35:V36"/>
    <mergeCell ref="W35:W36"/>
    <mergeCell ref="X35:X36"/>
    <mergeCell ref="Y35:Y36"/>
    <mergeCell ref="Z35:Z36"/>
    <mergeCell ref="AA35:AA36"/>
    <mergeCell ref="AI35:AI36"/>
    <mergeCell ref="AJ35:AJ36"/>
    <mergeCell ref="AK35:AK36"/>
    <mergeCell ref="AL35:AL36"/>
    <mergeCell ref="AA37:AA38"/>
    <mergeCell ref="AB37:AB38"/>
    <mergeCell ref="AO35:AO36"/>
    <mergeCell ref="AP35:AP36"/>
    <mergeCell ref="AQ35:AQ36"/>
    <mergeCell ref="AR35:AR36"/>
    <mergeCell ref="AS35:AS36"/>
    <mergeCell ref="AT35:AT36"/>
    <mergeCell ref="AU35:AU36"/>
    <mergeCell ref="AB35:AB36"/>
    <mergeCell ref="AC35:AC36"/>
    <mergeCell ref="AD35:AD36"/>
    <mergeCell ref="AE35:AE36"/>
    <mergeCell ref="AF35:AF36"/>
    <mergeCell ref="AG35:AG36"/>
    <mergeCell ref="AH35:AH36"/>
    <mergeCell ref="AO37:AO38"/>
    <mergeCell ref="AP37:AP38"/>
    <mergeCell ref="AQ37:AQ38"/>
    <mergeCell ref="AR37:AR38"/>
    <mergeCell ref="AM35:AM36"/>
    <mergeCell ref="AN35:AN36"/>
    <mergeCell ref="A39:A40"/>
    <mergeCell ref="B39:B40"/>
    <mergeCell ref="C39:C40"/>
    <mergeCell ref="D39:D40"/>
    <mergeCell ref="E39:E40"/>
    <mergeCell ref="BE37:BE38"/>
    <mergeCell ref="AS37:AS38"/>
    <mergeCell ref="AT37:AT38"/>
    <mergeCell ref="AU37:AU38"/>
    <mergeCell ref="AV37:AV38"/>
    <mergeCell ref="J37:J38"/>
    <mergeCell ref="N37:N38"/>
    <mergeCell ref="Q37:Q38"/>
    <mergeCell ref="R37:R38"/>
    <mergeCell ref="S37:S38"/>
    <mergeCell ref="T37:T38"/>
    <mergeCell ref="U37:U38"/>
    <mergeCell ref="V37:V38"/>
    <mergeCell ref="W37:W38"/>
    <mergeCell ref="X37:X38"/>
    <mergeCell ref="Y37:Y38"/>
    <mergeCell ref="Z37:Z38"/>
    <mergeCell ref="AG37:AG38"/>
    <mergeCell ref="AH37:AH38"/>
    <mergeCell ref="AI37:AI38"/>
    <mergeCell ref="AJ37:AJ38"/>
    <mergeCell ref="AK37:AK38"/>
    <mergeCell ref="AL37:AL38"/>
    <mergeCell ref="AW37:AW38"/>
    <mergeCell ref="AX37:AX38"/>
    <mergeCell ref="AM37:AM38"/>
    <mergeCell ref="AN37:AN38"/>
    <mergeCell ref="BF37:BF38"/>
    <mergeCell ref="BG37:BG38"/>
    <mergeCell ref="AY37:AY38"/>
    <mergeCell ref="AZ37:AZ38"/>
    <mergeCell ref="BA37:BA38"/>
    <mergeCell ref="BB37:BB38"/>
    <mergeCell ref="BC37:BC38"/>
    <mergeCell ref="BD37:BD38"/>
    <mergeCell ref="F39:F40"/>
    <mergeCell ref="G39:G40"/>
    <mergeCell ref="H39:H40"/>
    <mergeCell ref="I39:I40"/>
    <mergeCell ref="J39:J40"/>
    <mergeCell ref="N39:N40"/>
    <mergeCell ref="Q39:Q40"/>
    <mergeCell ref="R39:R40"/>
    <mergeCell ref="S39:S40"/>
    <mergeCell ref="T39:T40"/>
    <mergeCell ref="U39:U40"/>
    <mergeCell ref="V39:V40"/>
    <mergeCell ref="W39:W40"/>
    <mergeCell ref="X39:X40"/>
    <mergeCell ref="Y39:Y40"/>
    <mergeCell ref="Z39:Z40"/>
    <mergeCell ref="AA39:AA40"/>
    <mergeCell ref="AC37:AC38"/>
    <mergeCell ref="AD37:AD38"/>
    <mergeCell ref="AE37:AE38"/>
    <mergeCell ref="AF37:AF38"/>
    <mergeCell ref="AJ39:AJ40"/>
    <mergeCell ref="AK39:AK40"/>
    <mergeCell ref="AL39:AL40"/>
    <mergeCell ref="AM39:AM40"/>
    <mergeCell ref="AN39:AN40"/>
    <mergeCell ref="AY39:AY40"/>
    <mergeCell ref="AZ39:AZ40"/>
    <mergeCell ref="AO39:AO40"/>
    <mergeCell ref="AP39:AP40"/>
    <mergeCell ref="AQ39:AQ40"/>
    <mergeCell ref="AR39:AR40"/>
    <mergeCell ref="AS39:AS40"/>
    <mergeCell ref="AT39:AT40"/>
    <mergeCell ref="AU39:AU40"/>
    <mergeCell ref="AV39:AV40"/>
    <mergeCell ref="AB39:AB40"/>
    <mergeCell ref="AW39:AW40"/>
    <mergeCell ref="AX39:AX40"/>
    <mergeCell ref="Q41:Q42"/>
    <mergeCell ref="R41:R42"/>
    <mergeCell ref="S41:S42"/>
    <mergeCell ref="T41:T42"/>
    <mergeCell ref="U41:U42"/>
    <mergeCell ref="V41:V42"/>
    <mergeCell ref="W41:W42"/>
    <mergeCell ref="X41:X42"/>
    <mergeCell ref="Y41:Y42"/>
    <mergeCell ref="Z41:Z42"/>
    <mergeCell ref="AC39:AC40"/>
    <mergeCell ref="AD39:AD40"/>
    <mergeCell ref="AE39:AE40"/>
    <mergeCell ref="AF39:AF40"/>
    <mergeCell ref="AG39:AG40"/>
    <mergeCell ref="AH39:AH40"/>
    <mergeCell ref="AI39:AI40"/>
    <mergeCell ref="BA39:BA40"/>
    <mergeCell ref="BB39:BB40"/>
    <mergeCell ref="BC39:BC40"/>
    <mergeCell ref="BD39:BD40"/>
    <mergeCell ref="BE39:BE40"/>
    <mergeCell ref="BF39:BF40"/>
    <mergeCell ref="BG39:BG40"/>
    <mergeCell ref="BF41:BF42"/>
    <mergeCell ref="BG41:BG42"/>
    <mergeCell ref="A43:I43"/>
    <mergeCell ref="A44:A45"/>
    <mergeCell ref="B44:B45"/>
    <mergeCell ref="C44:C45"/>
    <mergeCell ref="D44:D45"/>
    <mergeCell ref="E44:E45"/>
    <mergeCell ref="F44:F45"/>
    <mergeCell ref="U44:U45"/>
    <mergeCell ref="V44:V45"/>
    <mergeCell ref="W44:W45"/>
    <mergeCell ref="G44:G45"/>
    <mergeCell ref="H44:H45"/>
    <mergeCell ref="I44:I45"/>
    <mergeCell ref="J44:J45"/>
    <mergeCell ref="N44:N45"/>
    <mergeCell ref="Q44:Q45"/>
    <mergeCell ref="R44:R45"/>
    <mergeCell ref="AA41:AA42"/>
    <mergeCell ref="AB41:AB42"/>
    <mergeCell ref="B41:B42"/>
    <mergeCell ref="C41:C42"/>
    <mergeCell ref="D41:D42"/>
    <mergeCell ref="E41:E42"/>
    <mergeCell ref="A41:A42"/>
    <mergeCell ref="AV41:AV42"/>
    <mergeCell ref="AW41:AW42"/>
    <mergeCell ref="AX41:AX42"/>
    <mergeCell ref="AM41:AM42"/>
    <mergeCell ref="BD44:BD45"/>
    <mergeCell ref="BE44:BE45"/>
    <mergeCell ref="AP44:AP45"/>
    <mergeCell ref="AQ44:AQ45"/>
    <mergeCell ref="AR44:AR45"/>
    <mergeCell ref="AS44:AS45"/>
    <mergeCell ref="AY41:AY42"/>
    <mergeCell ref="AZ41:AZ42"/>
    <mergeCell ref="BA41:BA42"/>
    <mergeCell ref="BB41:BB42"/>
    <mergeCell ref="BC41:BC42"/>
    <mergeCell ref="BD41:BD42"/>
    <mergeCell ref="BE41:BE42"/>
    <mergeCell ref="Z44:Z45"/>
    <mergeCell ref="AA44:AA45"/>
    <mergeCell ref="AB44:AB45"/>
    <mergeCell ref="AC44:AC45"/>
    <mergeCell ref="AR41:AR42"/>
    <mergeCell ref="AS41:AS42"/>
    <mergeCell ref="AT41:AT42"/>
    <mergeCell ref="AU41:AU42"/>
    <mergeCell ref="F41:F42"/>
    <mergeCell ref="G41:G42"/>
    <mergeCell ref="H41:H42"/>
    <mergeCell ref="I41:I42"/>
    <mergeCell ref="J41:J42"/>
    <mergeCell ref="N41:N42"/>
    <mergeCell ref="BG46:BG47"/>
    <mergeCell ref="AV46:AV47"/>
    <mergeCell ref="AW46:AW47"/>
    <mergeCell ref="AX46:AX47"/>
    <mergeCell ref="AY46:AY47"/>
    <mergeCell ref="AZ46:AZ47"/>
    <mergeCell ref="BA46:BA47"/>
    <mergeCell ref="AP46:AP47"/>
    <mergeCell ref="X44:X45"/>
    <mergeCell ref="Y44:Y45"/>
    <mergeCell ref="AC41:AC42"/>
    <mergeCell ref="AD41:AD42"/>
    <mergeCell ref="AE41:AE42"/>
    <mergeCell ref="AF41:AF42"/>
    <mergeCell ref="AG41:AG42"/>
    <mergeCell ref="AH41:AH42"/>
    <mergeCell ref="AI41:AI42"/>
    <mergeCell ref="AJ41:AJ42"/>
    <mergeCell ref="AK41:AK42"/>
    <mergeCell ref="AL41:AL42"/>
    <mergeCell ref="AN41:AN42"/>
    <mergeCell ref="AO41:AO42"/>
    <mergeCell ref="AP41:AP42"/>
    <mergeCell ref="AQ41:AQ42"/>
    <mergeCell ref="AT44:AT45"/>
    <mergeCell ref="AU44:AU45"/>
    <mergeCell ref="AJ44:AJ45"/>
    <mergeCell ref="AK44:AK45"/>
    <mergeCell ref="AL44:AL45"/>
    <mergeCell ref="AM44:AM45"/>
    <mergeCell ref="AO48:AO49"/>
    <mergeCell ref="AD48:AD49"/>
    <mergeCell ref="AE48:AE49"/>
    <mergeCell ref="AF48:AF49"/>
    <mergeCell ref="AG48:AG49"/>
    <mergeCell ref="AH48:AH49"/>
    <mergeCell ref="A46:A47"/>
    <mergeCell ref="B46:B47"/>
    <mergeCell ref="C46:C47"/>
    <mergeCell ref="D46:D47"/>
    <mergeCell ref="E46:E47"/>
    <mergeCell ref="F46:F47"/>
    <mergeCell ref="AN44:AN45"/>
    <mergeCell ref="AO44:AO45"/>
    <mergeCell ref="BF44:BF45"/>
    <mergeCell ref="BG44:BG45"/>
    <mergeCell ref="AV44:AV45"/>
    <mergeCell ref="AW44:AW45"/>
    <mergeCell ref="AX44:AX45"/>
    <mergeCell ref="AY44:AY45"/>
    <mergeCell ref="AZ44:AZ45"/>
    <mergeCell ref="BA44:BA45"/>
    <mergeCell ref="BB44:BB45"/>
    <mergeCell ref="BC44:BC45"/>
    <mergeCell ref="AD44:AD45"/>
    <mergeCell ref="AE44:AE45"/>
    <mergeCell ref="AF44:AF45"/>
    <mergeCell ref="AG44:AG45"/>
    <mergeCell ref="AH44:AH45"/>
    <mergeCell ref="AI44:AI45"/>
    <mergeCell ref="S44:S45"/>
    <mergeCell ref="T44:T45"/>
    <mergeCell ref="G46:G47"/>
    <mergeCell ref="H46:H47"/>
    <mergeCell ref="I46:I47"/>
    <mergeCell ref="J46:J47"/>
    <mergeCell ref="Z46:Z47"/>
    <mergeCell ref="AA46:AA47"/>
    <mergeCell ref="AB46:AB47"/>
    <mergeCell ref="AC46:AC47"/>
    <mergeCell ref="R46:R47"/>
    <mergeCell ref="S46:S47"/>
    <mergeCell ref="T46:T47"/>
    <mergeCell ref="N46:N47"/>
    <mergeCell ref="Q46:Q47"/>
    <mergeCell ref="BC46:BC47"/>
    <mergeCell ref="BD46:BD47"/>
    <mergeCell ref="BE46:BE47"/>
    <mergeCell ref="BF46:BF47"/>
    <mergeCell ref="AD46:AD47"/>
    <mergeCell ref="AE46:AE47"/>
    <mergeCell ref="AF46:AF47"/>
    <mergeCell ref="AG46:AG47"/>
    <mergeCell ref="AH46:AH47"/>
    <mergeCell ref="AR46:AR47"/>
    <mergeCell ref="AS46:AS47"/>
    <mergeCell ref="AT46:AT47"/>
    <mergeCell ref="AU46:AU47"/>
    <mergeCell ref="BB46:BB47"/>
    <mergeCell ref="U46:U47"/>
    <mergeCell ref="V46:V47"/>
    <mergeCell ref="W46:W47"/>
    <mergeCell ref="AO46:AO47"/>
    <mergeCell ref="AI46:AI47"/>
    <mergeCell ref="AW48:AW49"/>
    <mergeCell ref="AX48:AX49"/>
    <mergeCell ref="AY48:AY49"/>
    <mergeCell ref="AZ48:AZ49"/>
    <mergeCell ref="BA48:BA49"/>
    <mergeCell ref="BB48:BB49"/>
    <mergeCell ref="BC48:BC49"/>
    <mergeCell ref="BD48:BD49"/>
    <mergeCell ref="BE48:BE49"/>
    <mergeCell ref="BF48:BF49"/>
    <mergeCell ref="AP48:AP49"/>
    <mergeCell ref="AQ48:AQ49"/>
    <mergeCell ref="AR48:AR49"/>
    <mergeCell ref="AS48:AS49"/>
    <mergeCell ref="AT48:AT49"/>
    <mergeCell ref="AU48:AU49"/>
    <mergeCell ref="AV48:AV49"/>
    <mergeCell ref="AN48:AN49"/>
    <mergeCell ref="AQ46:AQ47"/>
    <mergeCell ref="W48:W49"/>
    <mergeCell ref="X48:X49"/>
    <mergeCell ref="Y48:Y49"/>
    <mergeCell ref="Z48:Z49"/>
    <mergeCell ref="AA48:AA49"/>
    <mergeCell ref="AB48:AB49"/>
    <mergeCell ref="AL48:AL49"/>
    <mergeCell ref="AM48:AM49"/>
    <mergeCell ref="AK51:AK52"/>
    <mergeCell ref="AL51:AL52"/>
    <mergeCell ref="AA51:AA52"/>
    <mergeCell ref="AB51:AB52"/>
    <mergeCell ref="AC51:AC52"/>
    <mergeCell ref="AD51:AD52"/>
    <mergeCell ref="AE51:AE52"/>
    <mergeCell ref="AF51:AF52"/>
    <mergeCell ref="AJ46:AJ47"/>
    <mergeCell ref="AK46:AK47"/>
    <mergeCell ref="AL46:AL47"/>
    <mergeCell ref="AM46:AM47"/>
    <mergeCell ref="AN46:AN47"/>
    <mergeCell ref="AJ48:AJ49"/>
    <mergeCell ref="AK48:AK49"/>
    <mergeCell ref="AI48:AI49"/>
    <mergeCell ref="AH51:AH52"/>
    <mergeCell ref="AI51:AI52"/>
    <mergeCell ref="AJ51:AJ52"/>
    <mergeCell ref="X46:X47"/>
    <mergeCell ref="Y46:Y47"/>
    <mergeCell ref="AC48:AC49"/>
    <mergeCell ref="AT51:AT52"/>
    <mergeCell ref="AU51:AU52"/>
    <mergeCell ref="AV51:AV52"/>
    <mergeCell ref="AW51:AW52"/>
    <mergeCell ref="AX51:AX52"/>
    <mergeCell ref="AY51:AY52"/>
    <mergeCell ref="AZ51:AZ52"/>
    <mergeCell ref="BA51:BA52"/>
    <mergeCell ref="BB51:BB52"/>
    <mergeCell ref="BC51:BC52"/>
    <mergeCell ref="BD51:BD52"/>
    <mergeCell ref="BE51:BE52"/>
    <mergeCell ref="BF51:BF52"/>
    <mergeCell ref="BG51:BG52"/>
    <mergeCell ref="AS51:AS52"/>
    <mergeCell ref="BG48:BG49"/>
    <mergeCell ref="B53:B54"/>
    <mergeCell ref="C53:C54"/>
    <mergeCell ref="D53:D54"/>
    <mergeCell ref="E53:E54"/>
    <mergeCell ref="F53:F54"/>
    <mergeCell ref="G53:G54"/>
    <mergeCell ref="J51:J52"/>
    <mergeCell ref="N51:N52"/>
    <mergeCell ref="Q51:Q52"/>
    <mergeCell ref="R51:R52"/>
    <mergeCell ref="S51:S52"/>
    <mergeCell ref="T51:T52"/>
    <mergeCell ref="U51:U52"/>
    <mergeCell ref="V51:V52"/>
    <mergeCell ref="W51:W52"/>
    <mergeCell ref="X51:X52"/>
    <mergeCell ref="A50:I50"/>
    <mergeCell ref="A51:A52"/>
    <mergeCell ref="B51:B52"/>
    <mergeCell ref="C51:C52"/>
    <mergeCell ref="D51:D52"/>
    <mergeCell ref="E51:E52"/>
    <mergeCell ref="F51:F52"/>
    <mergeCell ref="G51:G52"/>
    <mergeCell ref="H51:H52"/>
    <mergeCell ref="I51:I52"/>
    <mergeCell ref="R48:R49"/>
    <mergeCell ref="S48:S49"/>
    <mergeCell ref="T48:T49"/>
    <mergeCell ref="U48:U49"/>
    <mergeCell ref="V48:V49"/>
    <mergeCell ref="Y51:Y52"/>
    <mergeCell ref="AG51:AG52"/>
    <mergeCell ref="A48:A49"/>
    <mergeCell ref="B48:B49"/>
    <mergeCell ref="C48:C49"/>
    <mergeCell ref="D48:D49"/>
    <mergeCell ref="E48:E49"/>
    <mergeCell ref="F48:F49"/>
    <mergeCell ref="G48:G49"/>
    <mergeCell ref="H48:H49"/>
    <mergeCell ref="I48:I49"/>
    <mergeCell ref="J48:J49"/>
    <mergeCell ref="N48:N49"/>
    <mergeCell ref="Q48:Q49"/>
    <mergeCell ref="A55:A56"/>
    <mergeCell ref="B55:B56"/>
    <mergeCell ref="C55:C56"/>
    <mergeCell ref="D55:D56"/>
    <mergeCell ref="E55:E56"/>
    <mergeCell ref="AE53:AE54"/>
    <mergeCell ref="AM51:AM52"/>
    <mergeCell ref="AN51:AN52"/>
    <mergeCell ref="AO51:AO52"/>
    <mergeCell ref="AP51:AP52"/>
    <mergeCell ref="AQ51:AQ52"/>
    <mergeCell ref="AR51:AR52"/>
    <mergeCell ref="Z51:Z52"/>
    <mergeCell ref="AP55:AP56"/>
    <mergeCell ref="H53:H54"/>
    <mergeCell ref="I53:I54"/>
    <mergeCell ref="J53:J54"/>
    <mergeCell ref="N53:N54"/>
    <mergeCell ref="Q53:Q54"/>
    <mergeCell ref="R53:R54"/>
    <mergeCell ref="S53:S54"/>
    <mergeCell ref="T53:T54"/>
    <mergeCell ref="U53:U54"/>
    <mergeCell ref="V53:V54"/>
    <mergeCell ref="W53:W54"/>
    <mergeCell ref="X53:X54"/>
    <mergeCell ref="A53:A54"/>
    <mergeCell ref="AC55:AC56"/>
    <mergeCell ref="AD55:AD56"/>
    <mergeCell ref="AE55:AE56"/>
    <mergeCell ref="AF55:AF56"/>
    <mergeCell ref="AG55:AG56"/>
    <mergeCell ref="BG53:BG54"/>
    <mergeCell ref="AB53:AB54"/>
    <mergeCell ref="AC53:AC54"/>
    <mergeCell ref="AD53:AD54"/>
    <mergeCell ref="F55:F56"/>
    <mergeCell ref="G55:G56"/>
    <mergeCell ref="H55:H56"/>
    <mergeCell ref="I55:I56"/>
    <mergeCell ref="J55:J56"/>
    <mergeCell ref="N55:N56"/>
    <mergeCell ref="Q55:Q56"/>
    <mergeCell ref="R55:R56"/>
    <mergeCell ref="S55:S56"/>
    <mergeCell ref="T55:T56"/>
    <mergeCell ref="U55:U56"/>
    <mergeCell ref="V55:V56"/>
    <mergeCell ref="AF53:AF54"/>
    <mergeCell ref="AG53:AG54"/>
    <mergeCell ref="AH53:AH54"/>
    <mergeCell ref="AI53:AI54"/>
    <mergeCell ref="AJ53:AJ54"/>
    <mergeCell ref="Y53:Y54"/>
    <mergeCell ref="Z53:Z54"/>
    <mergeCell ref="AA53:AA54"/>
    <mergeCell ref="AK53:AK54"/>
    <mergeCell ref="AL53:AL54"/>
    <mergeCell ref="AM53:AM54"/>
    <mergeCell ref="AN53:AN54"/>
    <mergeCell ref="AO53:AO54"/>
    <mergeCell ref="AP53:AP54"/>
    <mergeCell ref="AQ53:AQ54"/>
    <mergeCell ref="AR53:AR54"/>
    <mergeCell ref="BC53:BC54"/>
    <mergeCell ref="BD53:BD54"/>
    <mergeCell ref="BE53:BE54"/>
    <mergeCell ref="BF53:BF54"/>
    <mergeCell ref="AS53:AS54"/>
    <mergeCell ref="AT53:AT54"/>
    <mergeCell ref="AU53:AU54"/>
    <mergeCell ref="AV53:AV54"/>
    <mergeCell ref="AW53:AW54"/>
    <mergeCell ref="AX53:AX54"/>
    <mergeCell ref="AY53:AY54"/>
    <mergeCell ref="AZ53:AZ54"/>
    <mergeCell ref="BA53:BA54"/>
    <mergeCell ref="BB53:BB54"/>
    <mergeCell ref="AW55:AW56"/>
    <mergeCell ref="AX55:AX56"/>
    <mergeCell ref="AY55:AY56"/>
    <mergeCell ref="AZ55:AZ56"/>
    <mergeCell ref="BA55:BA56"/>
    <mergeCell ref="BB55:BB56"/>
    <mergeCell ref="BC55:BC56"/>
    <mergeCell ref="BD55:BD56"/>
    <mergeCell ref="BE55:BE56"/>
    <mergeCell ref="BF55:BF56"/>
    <mergeCell ref="AU55:AU56"/>
    <mergeCell ref="AV55:AV56"/>
    <mergeCell ref="BG55:BG56"/>
    <mergeCell ref="A57:A58"/>
    <mergeCell ref="B57:B58"/>
    <mergeCell ref="C57:C58"/>
    <mergeCell ref="D57:D58"/>
    <mergeCell ref="E57:E58"/>
    <mergeCell ref="F57:F58"/>
    <mergeCell ref="G57:G58"/>
    <mergeCell ref="H57:H58"/>
    <mergeCell ref="I57:I58"/>
    <mergeCell ref="J57:J58"/>
    <mergeCell ref="N57:N58"/>
    <mergeCell ref="Q57:Q58"/>
    <mergeCell ref="R57:R58"/>
    <mergeCell ref="S57:S58"/>
    <mergeCell ref="T57:T58"/>
    <mergeCell ref="W55:W56"/>
    <mergeCell ref="X55:X56"/>
    <mergeCell ref="Y55:Y56"/>
    <mergeCell ref="Z55:Z56"/>
    <mergeCell ref="AA55:AA56"/>
    <mergeCell ref="AB55:AB56"/>
    <mergeCell ref="AB57:AB58"/>
    <mergeCell ref="AC57:AC58"/>
    <mergeCell ref="AD57:AD58"/>
    <mergeCell ref="AE57:AE58"/>
    <mergeCell ref="AF57:AF58"/>
    <mergeCell ref="AQ55:AQ56"/>
    <mergeCell ref="AR55:AR56"/>
    <mergeCell ref="AQ57:AQ58"/>
    <mergeCell ref="AR57:AR58"/>
    <mergeCell ref="AG57:AG58"/>
    <mergeCell ref="AH55:AH56"/>
    <mergeCell ref="AS55:AS56"/>
    <mergeCell ref="AT55:AT56"/>
    <mergeCell ref="AI55:AI56"/>
    <mergeCell ref="AJ55:AJ56"/>
    <mergeCell ref="AK55:AK56"/>
    <mergeCell ref="AL55:AL56"/>
    <mergeCell ref="AM55:AM56"/>
    <mergeCell ref="AN55:AN56"/>
    <mergeCell ref="AO55:AO56"/>
    <mergeCell ref="AX57:AX58"/>
    <mergeCell ref="AY57:AY58"/>
    <mergeCell ref="AZ57:AZ58"/>
    <mergeCell ref="BA57:BA58"/>
    <mergeCell ref="BB57:BB58"/>
    <mergeCell ref="BC57:BC58"/>
    <mergeCell ref="BD57:BD58"/>
    <mergeCell ref="AN57:AN58"/>
    <mergeCell ref="AO57:AO58"/>
    <mergeCell ref="AP57:AP58"/>
    <mergeCell ref="AU57:AU58"/>
    <mergeCell ref="AW57:AW58"/>
    <mergeCell ref="AV57:AV58"/>
    <mergeCell ref="U57:U58"/>
    <mergeCell ref="V57:V58"/>
    <mergeCell ref="W57:W58"/>
    <mergeCell ref="X57:X58"/>
    <mergeCell ref="Y57:Y58"/>
    <mergeCell ref="Z57:Z58"/>
    <mergeCell ref="AA57:AA58"/>
    <mergeCell ref="AC59:AC60"/>
    <mergeCell ref="AH57:AH58"/>
    <mergeCell ref="AE59:AE60"/>
    <mergeCell ref="AF59:AF60"/>
    <mergeCell ref="AG59:AG60"/>
    <mergeCell ref="AH59:AH60"/>
    <mergeCell ref="AI59:AI60"/>
    <mergeCell ref="AJ59:AJ60"/>
    <mergeCell ref="AM57:AM58"/>
    <mergeCell ref="AS57:AS58"/>
    <mergeCell ref="AI57:AI58"/>
    <mergeCell ref="AJ57:AJ58"/>
    <mergeCell ref="AK57:AK58"/>
    <mergeCell ref="AL57:AL58"/>
    <mergeCell ref="AK59:AK60"/>
    <mergeCell ref="AL59:AL60"/>
    <mergeCell ref="AM59:AM60"/>
    <mergeCell ref="AN59:AN60"/>
    <mergeCell ref="AY59:AY60"/>
    <mergeCell ref="AZ59:AZ60"/>
    <mergeCell ref="BA59:BA60"/>
    <mergeCell ref="BB59:BB60"/>
    <mergeCell ref="BC59:BC60"/>
    <mergeCell ref="BE57:BE58"/>
    <mergeCell ref="BF57:BF58"/>
    <mergeCell ref="BE59:BE60"/>
    <mergeCell ref="BF59:BF60"/>
    <mergeCell ref="BG59:BG60"/>
    <mergeCell ref="AV59:AV60"/>
    <mergeCell ref="BG57:BG58"/>
    <mergeCell ref="AT57:AT58"/>
    <mergeCell ref="A61:A62"/>
    <mergeCell ref="B61:B62"/>
    <mergeCell ref="C61:C62"/>
    <mergeCell ref="D61:D62"/>
    <mergeCell ref="E61:E62"/>
    <mergeCell ref="F61:F62"/>
    <mergeCell ref="G61:G62"/>
    <mergeCell ref="H61:H62"/>
    <mergeCell ref="I61:I62"/>
    <mergeCell ref="J61:J62"/>
    <mergeCell ref="N61:N62"/>
    <mergeCell ref="S59:S60"/>
    <mergeCell ref="T59:T60"/>
    <mergeCell ref="U59:U60"/>
    <mergeCell ref="V59:V60"/>
    <mergeCell ref="W59:W60"/>
    <mergeCell ref="X59:X60"/>
    <mergeCell ref="A59:A60"/>
    <mergeCell ref="B59:B60"/>
    <mergeCell ref="C59:C60"/>
    <mergeCell ref="D59:D60"/>
    <mergeCell ref="E59:E60"/>
    <mergeCell ref="F59:F60"/>
    <mergeCell ref="G59:G60"/>
    <mergeCell ref="H59:H60"/>
    <mergeCell ref="I59:I60"/>
    <mergeCell ref="J59:J60"/>
    <mergeCell ref="N59:N60"/>
    <mergeCell ref="Q59:Q60"/>
    <mergeCell ref="R59:R60"/>
    <mergeCell ref="Y59:Y60"/>
    <mergeCell ref="Z59:Z60"/>
    <mergeCell ref="AA59:AA60"/>
    <mergeCell ref="AB59:AB60"/>
    <mergeCell ref="AD61:AD62"/>
    <mergeCell ref="AD59:AD60"/>
    <mergeCell ref="AB61:AB62"/>
    <mergeCell ref="AC61:AC62"/>
    <mergeCell ref="AM61:AM62"/>
    <mergeCell ref="AO59:AO60"/>
    <mergeCell ref="AQ59:AQ60"/>
    <mergeCell ref="AR59:AR60"/>
    <mergeCell ref="AS59:AS60"/>
    <mergeCell ref="AT59:AT60"/>
    <mergeCell ref="AU59:AU60"/>
    <mergeCell ref="AX61:AX62"/>
    <mergeCell ref="AP61:AP62"/>
    <mergeCell ref="AQ61:AQ62"/>
    <mergeCell ref="AR61:AR62"/>
    <mergeCell ref="AS61:AS62"/>
    <mergeCell ref="AT61:AT62"/>
    <mergeCell ref="AU61:AU62"/>
    <mergeCell ref="AV61:AV62"/>
    <mergeCell ref="AW61:AW62"/>
    <mergeCell ref="AX59:AX60"/>
    <mergeCell ref="BD59:BD60"/>
    <mergeCell ref="AP59:AP60"/>
    <mergeCell ref="AY61:AY62"/>
    <mergeCell ref="AZ61:AZ62"/>
    <mergeCell ref="BA61:BA62"/>
    <mergeCell ref="BB61:BB62"/>
    <mergeCell ref="BC61:BC62"/>
    <mergeCell ref="BD61:BD62"/>
    <mergeCell ref="AW59:AW60"/>
    <mergeCell ref="BE61:BE62"/>
    <mergeCell ref="BF61:BF62"/>
    <mergeCell ref="BG61:BG62"/>
    <mergeCell ref="A63:I63"/>
    <mergeCell ref="A64:I64"/>
    <mergeCell ref="A65:O65"/>
    <mergeCell ref="A66:O66"/>
    <mergeCell ref="S67:S68"/>
    <mergeCell ref="T67:T68"/>
    <mergeCell ref="U67:U68"/>
    <mergeCell ref="V67:V68"/>
    <mergeCell ref="W67:W68"/>
    <mergeCell ref="Q61:Q62"/>
    <mergeCell ref="R61:R62"/>
    <mergeCell ref="S61:S62"/>
    <mergeCell ref="T61:T62"/>
    <mergeCell ref="U61:U62"/>
    <mergeCell ref="V61:V62"/>
    <mergeCell ref="W61:W62"/>
    <mergeCell ref="X61:X62"/>
    <mergeCell ref="Y61:Y62"/>
    <mergeCell ref="Z61:Z62"/>
    <mergeCell ref="AA61:AA62"/>
    <mergeCell ref="BG67:BG68"/>
    <mergeCell ref="X67:X68"/>
    <mergeCell ref="Y67:Y68"/>
    <mergeCell ref="Z67:Z68"/>
    <mergeCell ref="AA67:AA68"/>
    <mergeCell ref="AB67:AB68"/>
    <mergeCell ref="AC67:AC68"/>
    <mergeCell ref="AM67:AM68"/>
    <mergeCell ref="AN67:AN68"/>
    <mergeCell ref="AO67:AO68"/>
    <mergeCell ref="AD67:AD68"/>
    <mergeCell ref="AE67:AE68"/>
    <mergeCell ref="AF67:AF68"/>
    <mergeCell ref="AG67:AG68"/>
    <mergeCell ref="AH67:AH68"/>
    <mergeCell ref="AI67:AI68"/>
    <mergeCell ref="AI61:AI62"/>
    <mergeCell ref="AJ61:AJ62"/>
    <mergeCell ref="AK61:AK62"/>
    <mergeCell ref="AL61:AL62"/>
    <mergeCell ref="AJ67:AJ68"/>
    <mergeCell ref="AK67:AK68"/>
    <mergeCell ref="AL67:AL68"/>
    <mergeCell ref="AO61:AO62"/>
    <mergeCell ref="AE61:AE62"/>
    <mergeCell ref="AF61:AF62"/>
    <mergeCell ref="AG61:AG62"/>
    <mergeCell ref="AH61:AH62"/>
    <mergeCell ref="AN61:AN62"/>
    <mergeCell ref="AP67:AP68"/>
    <mergeCell ref="AQ67:AQ68"/>
    <mergeCell ref="AR67:AR68"/>
    <mergeCell ref="AS67:AS68"/>
    <mergeCell ref="AT67:AT68"/>
    <mergeCell ref="AU67:AU68"/>
    <mergeCell ref="AV67:AV68"/>
    <mergeCell ref="AW67:AW68"/>
    <mergeCell ref="AX67:AX68"/>
    <mergeCell ref="AY67:AY68"/>
    <mergeCell ref="AZ67:AZ68"/>
    <mergeCell ref="BA67:BA68"/>
    <mergeCell ref="BB67:BB68"/>
    <mergeCell ref="BC67:BC68"/>
    <mergeCell ref="BD67:BD68"/>
    <mergeCell ref="BE67:BE68"/>
    <mergeCell ref="BF67:BF68"/>
    <mergeCell ref="A69:A70"/>
    <mergeCell ref="B69:B70"/>
    <mergeCell ref="C69:C70"/>
    <mergeCell ref="D69:D70"/>
    <mergeCell ref="E69:E70"/>
    <mergeCell ref="F69:F70"/>
    <mergeCell ref="G69:G70"/>
    <mergeCell ref="H69:H70"/>
    <mergeCell ref="I69:I70"/>
    <mergeCell ref="J69:J70"/>
    <mergeCell ref="N69:N70"/>
    <mergeCell ref="Q69:Q70"/>
    <mergeCell ref="R69:R70"/>
    <mergeCell ref="S69:S70"/>
    <mergeCell ref="T69:T70"/>
    <mergeCell ref="U69:U70"/>
    <mergeCell ref="V69:V70"/>
    <mergeCell ref="BF69:BF70"/>
    <mergeCell ref="BG69:BG70"/>
    <mergeCell ref="X69:X70"/>
    <mergeCell ref="Y69:Y70"/>
    <mergeCell ref="Z69:Z70"/>
    <mergeCell ref="AA69:AA70"/>
    <mergeCell ref="AB69:AB70"/>
    <mergeCell ref="AC69:AC70"/>
    <mergeCell ref="AD69:AD70"/>
    <mergeCell ref="AE69:AE70"/>
    <mergeCell ref="AF69:AF70"/>
    <mergeCell ref="AG69:AG70"/>
    <mergeCell ref="AH69:AH70"/>
    <mergeCell ref="AI69:AI70"/>
    <mergeCell ref="AJ69:AJ70"/>
    <mergeCell ref="AK69:AK70"/>
    <mergeCell ref="AL69:AL70"/>
    <mergeCell ref="AM69:AM70"/>
    <mergeCell ref="AN69:AN70"/>
    <mergeCell ref="AO69:AO70"/>
    <mergeCell ref="W71:W72"/>
    <mergeCell ref="AP69:AP70"/>
    <mergeCell ref="AQ69:AQ70"/>
    <mergeCell ref="AR69:AR70"/>
    <mergeCell ref="AS69:AS70"/>
    <mergeCell ref="AT69:AT70"/>
    <mergeCell ref="AU69:AU70"/>
    <mergeCell ref="AV69:AV70"/>
    <mergeCell ref="AW69:AW70"/>
    <mergeCell ref="AX69:AX70"/>
    <mergeCell ref="AY69:AY70"/>
    <mergeCell ref="AZ69:AZ70"/>
    <mergeCell ref="BA69:BA70"/>
    <mergeCell ref="BB69:BB70"/>
    <mergeCell ref="BC69:BC70"/>
    <mergeCell ref="BD69:BD70"/>
    <mergeCell ref="BE69:BE70"/>
    <mergeCell ref="W69:W70"/>
    <mergeCell ref="BC71:BC72"/>
    <mergeCell ref="BD71:BD72"/>
    <mergeCell ref="BE71:BE72"/>
    <mergeCell ref="A71:A72"/>
    <mergeCell ref="B71:B72"/>
    <mergeCell ref="C71:C72"/>
    <mergeCell ref="D71:D72"/>
    <mergeCell ref="E71:E72"/>
    <mergeCell ref="F71:F72"/>
    <mergeCell ref="G71:G72"/>
    <mergeCell ref="H71:H72"/>
    <mergeCell ref="I71:I72"/>
    <mergeCell ref="J71:J72"/>
    <mergeCell ref="N71:N72"/>
    <mergeCell ref="Q71:Q72"/>
    <mergeCell ref="R71:R72"/>
    <mergeCell ref="S71:S72"/>
    <mergeCell ref="T71:T72"/>
    <mergeCell ref="U71:U72"/>
    <mergeCell ref="V71:V72"/>
    <mergeCell ref="BG71:BG72"/>
    <mergeCell ref="X71:X72"/>
    <mergeCell ref="Y71:Y72"/>
    <mergeCell ref="Z71:Z72"/>
    <mergeCell ref="AA71:AA72"/>
    <mergeCell ref="AB71:AB72"/>
    <mergeCell ref="AC71:AC72"/>
    <mergeCell ref="AD71:AD72"/>
    <mergeCell ref="AE71:AE72"/>
    <mergeCell ref="AF71:AF72"/>
    <mergeCell ref="AG71:AG72"/>
    <mergeCell ref="AH71:AH72"/>
    <mergeCell ref="AI71:AI72"/>
    <mergeCell ref="AJ71:AJ72"/>
    <mergeCell ref="AK71:AK72"/>
    <mergeCell ref="AL71:AL72"/>
    <mergeCell ref="AM71:AM72"/>
    <mergeCell ref="AN71:AN72"/>
    <mergeCell ref="AO71:AO72"/>
    <mergeCell ref="AP71:AP72"/>
    <mergeCell ref="AQ71:AQ72"/>
    <mergeCell ref="AR71:AR72"/>
    <mergeCell ref="AS71:AS72"/>
    <mergeCell ref="AT71:AT72"/>
    <mergeCell ref="AU71:AU72"/>
    <mergeCell ref="AV71:AV72"/>
    <mergeCell ref="AW71:AW72"/>
    <mergeCell ref="AX71:AX72"/>
    <mergeCell ref="AY71:AY72"/>
    <mergeCell ref="AZ71:AZ72"/>
    <mergeCell ref="BA71:BA72"/>
    <mergeCell ref="BB71:BB72"/>
    <mergeCell ref="BF71:BF72"/>
    <mergeCell ref="BC73:BC74"/>
    <mergeCell ref="BD73:BD74"/>
    <mergeCell ref="BE73:BE74"/>
    <mergeCell ref="BF73:BF74"/>
    <mergeCell ref="BG73:BG74"/>
    <mergeCell ref="AV73:AV74"/>
    <mergeCell ref="AW73:AW74"/>
    <mergeCell ref="AX73:AX74"/>
    <mergeCell ref="AY73:AY74"/>
    <mergeCell ref="AZ73:AZ74"/>
    <mergeCell ref="A73:A74"/>
    <mergeCell ref="B73:B74"/>
    <mergeCell ref="C73:C74"/>
    <mergeCell ref="D73:D74"/>
    <mergeCell ref="E73:E74"/>
    <mergeCell ref="F73:F74"/>
    <mergeCell ref="G73:G74"/>
    <mergeCell ref="H73:H74"/>
    <mergeCell ref="I73:I74"/>
    <mergeCell ref="J73:J74"/>
    <mergeCell ref="N73:N74"/>
    <mergeCell ref="Q73:Q74"/>
    <mergeCell ref="AA73:AA74"/>
    <mergeCell ref="AB73:AB74"/>
    <mergeCell ref="AC73:AC74"/>
    <mergeCell ref="R73:R74"/>
    <mergeCell ref="S73:S74"/>
    <mergeCell ref="T73:T74"/>
    <mergeCell ref="U73:U74"/>
    <mergeCell ref="V73:V74"/>
    <mergeCell ref="W73:W74"/>
    <mergeCell ref="BB73:BB74"/>
    <mergeCell ref="AJ73:AJ74"/>
    <mergeCell ref="AK73:AK74"/>
    <mergeCell ref="AL73:AL74"/>
    <mergeCell ref="AM73:AM74"/>
    <mergeCell ref="AN73:AN74"/>
    <mergeCell ref="AO73:AO74"/>
    <mergeCell ref="A75:I75"/>
    <mergeCell ref="A76:A77"/>
    <mergeCell ref="B76:B77"/>
    <mergeCell ref="C76:C77"/>
    <mergeCell ref="D76:D77"/>
    <mergeCell ref="E76:E77"/>
    <mergeCell ref="F76:F77"/>
    <mergeCell ref="G76:G77"/>
    <mergeCell ref="H76:H77"/>
    <mergeCell ref="I76:I77"/>
    <mergeCell ref="J76:J77"/>
    <mergeCell ref="N76:N77"/>
    <mergeCell ref="Q76:Q77"/>
    <mergeCell ref="R76:R77"/>
    <mergeCell ref="S76:S77"/>
    <mergeCell ref="T76:T77"/>
    <mergeCell ref="BA73:BA74"/>
    <mergeCell ref="AP73:AP74"/>
    <mergeCell ref="AQ73:AQ74"/>
    <mergeCell ref="AR73:AR74"/>
    <mergeCell ref="AS73:AS74"/>
    <mergeCell ref="AT73:AT74"/>
    <mergeCell ref="AU73:AU74"/>
    <mergeCell ref="AA76:AA77"/>
    <mergeCell ref="Y73:Y74"/>
    <mergeCell ref="Z73:Z74"/>
    <mergeCell ref="AQ76:AQ77"/>
    <mergeCell ref="AR76:AR77"/>
    <mergeCell ref="AG76:AG77"/>
    <mergeCell ref="AH76:AH77"/>
    <mergeCell ref="AI76:AI77"/>
    <mergeCell ref="AJ76:AJ77"/>
    <mergeCell ref="AK76:AK77"/>
    <mergeCell ref="AL76:AL77"/>
    <mergeCell ref="AD73:AD74"/>
    <mergeCell ref="AE73:AE74"/>
    <mergeCell ref="AF73:AF74"/>
    <mergeCell ref="AG73:AG74"/>
    <mergeCell ref="AH73:AH74"/>
    <mergeCell ref="AI73:AI74"/>
    <mergeCell ref="X73:X74"/>
    <mergeCell ref="AX76:AX77"/>
    <mergeCell ref="AS76:AS77"/>
    <mergeCell ref="AT76:AT77"/>
    <mergeCell ref="AU76:AU77"/>
    <mergeCell ref="AV76:AV77"/>
    <mergeCell ref="AW76:AW77"/>
    <mergeCell ref="AE76:AE77"/>
    <mergeCell ref="AF76:AF77"/>
    <mergeCell ref="BC76:BC77"/>
    <mergeCell ref="BD76:BD77"/>
    <mergeCell ref="BE76:BE77"/>
    <mergeCell ref="BF76:BF77"/>
    <mergeCell ref="BG76:BG77"/>
    <mergeCell ref="A78:A79"/>
    <mergeCell ref="B78:B79"/>
    <mergeCell ref="C78:C79"/>
    <mergeCell ref="D78:D79"/>
    <mergeCell ref="E78:E79"/>
    <mergeCell ref="F78:F79"/>
    <mergeCell ref="G78:G79"/>
    <mergeCell ref="H78:H79"/>
    <mergeCell ref="I78:I79"/>
    <mergeCell ref="J78:J79"/>
    <mergeCell ref="N78:N79"/>
    <mergeCell ref="Q78:Q79"/>
    <mergeCell ref="R78:R79"/>
    <mergeCell ref="U76:U77"/>
    <mergeCell ref="V76:V77"/>
    <mergeCell ref="W76:W77"/>
    <mergeCell ref="X76:X77"/>
    <mergeCell ref="Y76:Y77"/>
    <mergeCell ref="Z76:Z77"/>
    <mergeCell ref="AB76:AB77"/>
    <mergeCell ref="AC76:AC77"/>
    <mergeCell ref="AD76:AD77"/>
    <mergeCell ref="AE78:AE79"/>
    <mergeCell ref="AM76:AM77"/>
    <mergeCell ref="AN76:AN77"/>
    <mergeCell ref="AO76:AO77"/>
    <mergeCell ref="AP76:AP77"/>
    <mergeCell ref="AY76:AY77"/>
    <mergeCell ref="AZ76:AZ77"/>
    <mergeCell ref="BA76:BA77"/>
    <mergeCell ref="BB76:BB77"/>
    <mergeCell ref="AY78:AY79"/>
    <mergeCell ref="AZ78:AZ79"/>
    <mergeCell ref="BA78:BA79"/>
    <mergeCell ref="BB78:BB79"/>
    <mergeCell ref="AL78:AL79"/>
    <mergeCell ref="AM78:AM79"/>
    <mergeCell ref="AN78:AN79"/>
    <mergeCell ref="BC78:BC79"/>
    <mergeCell ref="BD78:BD79"/>
    <mergeCell ref="BE78:BE79"/>
    <mergeCell ref="BF78:BF79"/>
    <mergeCell ref="BG78:BG79"/>
    <mergeCell ref="A80:A81"/>
    <mergeCell ref="B80:B81"/>
    <mergeCell ref="C80:C81"/>
    <mergeCell ref="D80:D81"/>
    <mergeCell ref="E80:E81"/>
    <mergeCell ref="F80:F81"/>
    <mergeCell ref="G80:G81"/>
    <mergeCell ref="H80:H81"/>
    <mergeCell ref="I80:I81"/>
    <mergeCell ref="J80:J81"/>
    <mergeCell ref="N80:N81"/>
    <mergeCell ref="S78:S79"/>
    <mergeCell ref="T78:T79"/>
    <mergeCell ref="U78:U79"/>
    <mergeCell ref="V78:V79"/>
    <mergeCell ref="W78:W79"/>
    <mergeCell ref="X78:X79"/>
    <mergeCell ref="Y78:Y79"/>
    <mergeCell ref="Z78:Z79"/>
    <mergeCell ref="AA78:AA79"/>
    <mergeCell ref="AB78:AB79"/>
    <mergeCell ref="AC78:AC79"/>
    <mergeCell ref="AD78:AD79"/>
    <mergeCell ref="AF80:AF81"/>
    <mergeCell ref="AG80:AG81"/>
    <mergeCell ref="AH80:AH81"/>
    <mergeCell ref="AK78:AK79"/>
    <mergeCell ref="AM80:AM81"/>
    <mergeCell ref="AN80:AN81"/>
    <mergeCell ref="AQ78:AQ79"/>
    <mergeCell ref="AR78:AR79"/>
    <mergeCell ref="AS78:AS79"/>
    <mergeCell ref="AT78:AT79"/>
    <mergeCell ref="AE80:AE81"/>
    <mergeCell ref="AV78:AV79"/>
    <mergeCell ref="AW78:AW79"/>
    <mergeCell ref="AX78:AX79"/>
    <mergeCell ref="AI80:AI81"/>
    <mergeCell ref="AJ80:AJ81"/>
    <mergeCell ref="AK80:AK81"/>
    <mergeCell ref="AL80:AL81"/>
    <mergeCell ref="AF78:AF79"/>
    <mergeCell ref="AG78:AG79"/>
    <mergeCell ref="AH78:AH79"/>
    <mergeCell ref="AI78:AI79"/>
    <mergeCell ref="AJ78:AJ79"/>
    <mergeCell ref="AO78:AO79"/>
    <mergeCell ref="AP78:AP79"/>
    <mergeCell ref="AJ82:AJ83"/>
    <mergeCell ref="AX82:AX83"/>
    <mergeCell ref="BB80:BB81"/>
    <mergeCell ref="AZ80:AZ81"/>
    <mergeCell ref="BA80:BA81"/>
    <mergeCell ref="AO80:AO81"/>
    <mergeCell ref="AP80:AP81"/>
    <mergeCell ref="AQ80:AQ81"/>
    <mergeCell ref="AR80:AR81"/>
    <mergeCell ref="AS80:AS81"/>
    <mergeCell ref="AT80:AT81"/>
    <mergeCell ref="AU80:AU81"/>
    <mergeCell ref="AV80:AV81"/>
    <mergeCell ref="AW80:AW81"/>
    <mergeCell ref="AX80:AX81"/>
    <mergeCell ref="AY80:AY81"/>
    <mergeCell ref="AU78:AU79"/>
    <mergeCell ref="BB82:BB83"/>
    <mergeCell ref="BE80:BE81"/>
    <mergeCell ref="BF80:BF81"/>
    <mergeCell ref="BG80:BG81"/>
    <mergeCell ref="A82:A83"/>
    <mergeCell ref="B82:B83"/>
    <mergeCell ref="C82:C83"/>
    <mergeCell ref="D82:D83"/>
    <mergeCell ref="E82:E83"/>
    <mergeCell ref="F82:F83"/>
    <mergeCell ref="G82:G83"/>
    <mergeCell ref="H82:H83"/>
    <mergeCell ref="I82:I83"/>
    <mergeCell ref="Q80:Q81"/>
    <mergeCell ref="R80:R81"/>
    <mergeCell ref="S80:S81"/>
    <mergeCell ref="T80:T81"/>
    <mergeCell ref="U80:U81"/>
    <mergeCell ref="V80:V81"/>
    <mergeCell ref="W80:W81"/>
    <mergeCell ref="X80:X81"/>
    <mergeCell ref="Y80:Y81"/>
    <mergeCell ref="Z80:Z81"/>
    <mergeCell ref="AA80:AA81"/>
    <mergeCell ref="AB80:AB81"/>
    <mergeCell ref="AC80:AC81"/>
    <mergeCell ref="AD80:AD81"/>
    <mergeCell ref="AW82:AW83"/>
    <mergeCell ref="AK82:AK83"/>
    <mergeCell ref="AL82:AL83"/>
    <mergeCell ref="BG82:BG83"/>
    <mergeCell ref="J82:J83"/>
    <mergeCell ref="N82:N83"/>
    <mergeCell ref="AN87:AN88"/>
    <mergeCell ref="AA84:AA85"/>
    <mergeCell ref="AB84:AB85"/>
    <mergeCell ref="U87:U88"/>
    <mergeCell ref="V87:V88"/>
    <mergeCell ref="W87:W88"/>
    <mergeCell ref="X87:X88"/>
    <mergeCell ref="Y87:Y88"/>
    <mergeCell ref="Z87:Z88"/>
    <mergeCell ref="AE87:AE88"/>
    <mergeCell ref="AF87:AF88"/>
    <mergeCell ref="AG87:AG88"/>
    <mergeCell ref="AH87:AH88"/>
    <mergeCell ref="AL87:AL88"/>
    <mergeCell ref="BC80:BC81"/>
    <mergeCell ref="BD80:BD81"/>
    <mergeCell ref="Y82:Y83"/>
    <mergeCell ref="Z82:Z83"/>
    <mergeCell ref="AA82:AA83"/>
    <mergeCell ref="AB82:AB83"/>
    <mergeCell ref="AC82:AC83"/>
    <mergeCell ref="AD82:AD83"/>
    <mergeCell ref="AE82:AE83"/>
    <mergeCell ref="AF82:AF83"/>
    <mergeCell ref="AG82:AG83"/>
    <mergeCell ref="AH82:AH83"/>
    <mergeCell ref="AI82:AI83"/>
    <mergeCell ref="AZ82:AZ83"/>
    <mergeCell ref="BA82:BA83"/>
    <mergeCell ref="AV82:AV83"/>
    <mergeCell ref="AY82:AY83"/>
    <mergeCell ref="AR82:AR83"/>
    <mergeCell ref="AI87:AI88"/>
    <mergeCell ref="AM87:AM88"/>
    <mergeCell ref="Q82:Q83"/>
    <mergeCell ref="R82:R83"/>
    <mergeCell ref="S82:S83"/>
    <mergeCell ref="T82:T83"/>
    <mergeCell ref="U82:U83"/>
    <mergeCell ref="V82:V83"/>
    <mergeCell ref="W82:W83"/>
    <mergeCell ref="X82:X83"/>
    <mergeCell ref="T84:T85"/>
    <mergeCell ref="U84:U85"/>
    <mergeCell ref="V84:V85"/>
    <mergeCell ref="W84:W85"/>
    <mergeCell ref="X84:X85"/>
    <mergeCell ref="Y84:Y85"/>
    <mergeCell ref="Z84:Z85"/>
    <mergeCell ref="BC82:BC83"/>
    <mergeCell ref="BD82:BD83"/>
    <mergeCell ref="BE82:BE83"/>
    <mergeCell ref="AC84:AC85"/>
    <mergeCell ref="AD84:AD85"/>
    <mergeCell ref="BF82:BF83"/>
    <mergeCell ref="AE84:AE85"/>
    <mergeCell ref="AF84:AF85"/>
    <mergeCell ref="AG84:AG85"/>
    <mergeCell ref="AH84:AH85"/>
    <mergeCell ref="AI84:AI85"/>
    <mergeCell ref="AJ84:AJ85"/>
    <mergeCell ref="AK84:AK85"/>
    <mergeCell ref="AL84:AL85"/>
    <mergeCell ref="AM84:AM85"/>
    <mergeCell ref="AN84:AN85"/>
    <mergeCell ref="AO84:AO85"/>
    <mergeCell ref="AS84:AS85"/>
    <mergeCell ref="AT84:AT85"/>
    <mergeCell ref="AU84:AU85"/>
    <mergeCell ref="AV84:AV85"/>
    <mergeCell ref="AM82:AM83"/>
    <mergeCell ref="AN82:AN83"/>
    <mergeCell ref="AO82:AO83"/>
    <mergeCell ref="AP82:AP83"/>
    <mergeCell ref="AQ82:AQ83"/>
    <mergeCell ref="AS82:AS83"/>
    <mergeCell ref="AT82:AT83"/>
    <mergeCell ref="AU82:AU83"/>
    <mergeCell ref="BG84:BG85"/>
    <mergeCell ref="AW84:AW85"/>
    <mergeCell ref="AX84:AX85"/>
    <mergeCell ref="AY84:AY85"/>
    <mergeCell ref="AZ84:AZ85"/>
    <mergeCell ref="BA84:BA85"/>
    <mergeCell ref="BB84:BB85"/>
    <mergeCell ref="AQ84:AQ85"/>
    <mergeCell ref="AR84:AR85"/>
    <mergeCell ref="BC84:BC85"/>
    <mergeCell ref="BD84:BD85"/>
    <mergeCell ref="BG87:BG88"/>
    <mergeCell ref="AP87:AP88"/>
    <mergeCell ref="AQ87:AQ88"/>
    <mergeCell ref="AR87:AR88"/>
    <mergeCell ref="AO87:AO88"/>
    <mergeCell ref="BE84:BE85"/>
    <mergeCell ref="BF84:BF85"/>
    <mergeCell ref="AP84:AP85"/>
    <mergeCell ref="AT87:AT88"/>
    <mergeCell ref="AU87:AU88"/>
    <mergeCell ref="BD87:BD88"/>
    <mergeCell ref="BE87:BE88"/>
    <mergeCell ref="BF87:BF88"/>
    <mergeCell ref="AS87:AS88"/>
    <mergeCell ref="A86:I86"/>
    <mergeCell ref="H84:H85"/>
    <mergeCell ref="I84:I85"/>
    <mergeCell ref="J84:J85"/>
    <mergeCell ref="N84:N85"/>
    <mergeCell ref="Q84:Q85"/>
    <mergeCell ref="R84:R85"/>
    <mergeCell ref="AA87:AA88"/>
    <mergeCell ref="AB87:AB88"/>
    <mergeCell ref="S84:S85"/>
    <mergeCell ref="A84:A85"/>
    <mergeCell ref="B84:B85"/>
    <mergeCell ref="C84:C85"/>
    <mergeCell ref="D84:D85"/>
    <mergeCell ref="E84:E85"/>
    <mergeCell ref="F84:F85"/>
    <mergeCell ref="G84:G85"/>
    <mergeCell ref="A87:A88"/>
    <mergeCell ref="B87:B88"/>
    <mergeCell ref="C87:C88"/>
    <mergeCell ref="D87:D88"/>
    <mergeCell ref="E87:E88"/>
    <mergeCell ref="F87:F88"/>
    <mergeCell ref="G87:G88"/>
    <mergeCell ref="H87:H88"/>
    <mergeCell ref="I87:I88"/>
    <mergeCell ref="J87:J88"/>
    <mergeCell ref="N87:N88"/>
    <mergeCell ref="Q87:Q88"/>
    <mergeCell ref="BB89:BB90"/>
    <mergeCell ref="BC89:BC90"/>
    <mergeCell ref="AD89:AD90"/>
    <mergeCell ref="AE89:AE90"/>
    <mergeCell ref="AF89:AF90"/>
    <mergeCell ref="AG89:AG90"/>
    <mergeCell ref="R87:R88"/>
    <mergeCell ref="S87:S88"/>
    <mergeCell ref="T87:T88"/>
    <mergeCell ref="BB87:BB88"/>
    <mergeCell ref="BC87:BC88"/>
    <mergeCell ref="AD87:AD88"/>
    <mergeCell ref="F89:F90"/>
    <mergeCell ref="U89:U90"/>
    <mergeCell ref="V89:V90"/>
    <mergeCell ref="W89:W90"/>
    <mergeCell ref="G89:G90"/>
    <mergeCell ref="H89:H90"/>
    <mergeCell ref="I89:I90"/>
    <mergeCell ref="J89:J90"/>
    <mergeCell ref="N89:N90"/>
    <mergeCell ref="Q89:Q90"/>
    <mergeCell ref="R89:R90"/>
    <mergeCell ref="AJ87:AJ88"/>
    <mergeCell ref="AV87:AV88"/>
    <mergeCell ref="AW87:AW88"/>
    <mergeCell ref="AX87:AX88"/>
    <mergeCell ref="AY87:AY88"/>
    <mergeCell ref="AZ87:AZ88"/>
    <mergeCell ref="BA87:BA88"/>
    <mergeCell ref="AC87:AC88"/>
    <mergeCell ref="AK87:AK88"/>
    <mergeCell ref="BA89:BA90"/>
    <mergeCell ref="S89:S90"/>
    <mergeCell ref="T89:T90"/>
    <mergeCell ref="U91:U92"/>
    <mergeCell ref="V91:V92"/>
    <mergeCell ref="W91:W92"/>
    <mergeCell ref="AR89:AR90"/>
    <mergeCell ref="AS89:AS90"/>
    <mergeCell ref="AT89:AT90"/>
    <mergeCell ref="AU89:AU90"/>
    <mergeCell ref="AK91:AK92"/>
    <mergeCell ref="AL91:AL92"/>
    <mergeCell ref="AM91:AM92"/>
    <mergeCell ref="AN91:AN92"/>
    <mergeCell ref="AB89:AB90"/>
    <mergeCell ref="AC89:AC90"/>
    <mergeCell ref="BA91:BA92"/>
    <mergeCell ref="AP91:AP92"/>
    <mergeCell ref="AH89:AH90"/>
    <mergeCell ref="AI89:AI90"/>
    <mergeCell ref="BG89:BG90"/>
    <mergeCell ref="Z91:Z92"/>
    <mergeCell ref="AA91:AA92"/>
    <mergeCell ref="AB91:AB92"/>
    <mergeCell ref="AC91:AC92"/>
    <mergeCell ref="BB91:BB92"/>
    <mergeCell ref="BC91:BC92"/>
    <mergeCell ref="BD91:BD92"/>
    <mergeCell ref="BE91:BE92"/>
    <mergeCell ref="BF91:BF92"/>
    <mergeCell ref="AJ89:AJ90"/>
    <mergeCell ref="AK89:AK90"/>
    <mergeCell ref="AL89:AL90"/>
    <mergeCell ref="AM89:AM90"/>
    <mergeCell ref="AN89:AN90"/>
    <mergeCell ref="AO89:AO90"/>
    <mergeCell ref="AP89:AP90"/>
    <mergeCell ref="AQ89:AQ90"/>
    <mergeCell ref="BG91:BG92"/>
    <mergeCell ref="AV91:AV92"/>
    <mergeCell ref="AW91:AW92"/>
    <mergeCell ref="AX91:AX92"/>
    <mergeCell ref="AY91:AY92"/>
    <mergeCell ref="AZ91:AZ92"/>
    <mergeCell ref="BD89:BD90"/>
    <mergeCell ref="BE89:BE90"/>
    <mergeCell ref="BF89:BF90"/>
    <mergeCell ref="AV89:AV90"/>
    <mergeCell ref="AW89:AW90"/>
    <mergeCell ref="AX89:AX90"/>
    <mergeCell ref="AY89:AY90"/>
    <mergeCell ref="AZ89:AZ90"/>
    <mergeCell ref="N91:N92"/>
    <mergeCell ref="Q91:Q92"/>
    <mergeCell ref="AH91:AH92"/>
    <mergeCell ref="AR91:AR92"/>
    <mergeCell ref="AS91:AS92"/>
    <mergeCell ref="AT91:AT92"/>
    <mergeCell ref="AU91:AU92"/>
    <mergeCell ref="R91:R92"/>
    <mergeCell ref="S91:S92"/>
    <mergeCell ref="T91:T92"/>
    <mergeCell ref="AD91:AD92"/>
    <mergeCell ref="AW93:AW94"/>
    <mergeCell ref="AX93:AX94"/>
    <mergeCell ref="AY93:AY94"/>
    <mergeCell ref="AZ93:AZ94"/>
    <mergeCell ref="BA93:BA94"/>
    <mergeCell ref="BB93:BB94"/>
    <mergeCell ref="AE93:AE94"/>
    <mergeCell ref="AF93:AF94"/>
    <mergeCell ref="AG93:AG94"/>
    <mergeCell ref="AH93:AH94"/>
    <mergeCell ref="AI93:AI94"/>
    <mergeCell ref="AJ93:AJ94"/>
    <mergeCell ref="AK93:AK94"/>
    <mergeCell ref="BC93:BC94"/>
    <mergeCell ref="BD93:BD94"/>
    <mergeCell ref="BE93:BE94"/>
    <mergeCell ref="A93:A94"/>
    <mergeCell ref="B93:B94"/>
    <mergeCell ref="C93:C94"/>
    <mergeCell ref="D93:D94"/>
    <mergeCell ref="E93:E94"/>
    <mergeCell ref="F93:F94"/>
    <mergeCell ref="AO91:AO92"/>
    <mergeCell ref="G93:G94"/>
    <mergeCell ref="H93:H94"/>
    <mergeCell ref="I93:I94"/>
    <mergeCell ref="J93:J94"/>
    <mergeCell ref="N93:N94"/>
    <mergeCell ref="Q93:Q94"/>
    <mergeCell ref="AI91:AI92"/>
    <mergeCell ref="X91:X92"/>
    <mergeCell ref="Y91:Y92"/>
    <mergeCell ref="AQ91:AQ92"/>
    <mergeCell ref="AJ91:AJ92"/>
    <mergeCell ref="AP93:AP94"/>
    <mergeCell ref="AQ93:AQ94"/>
    <mergeCell ref="AR93:AR94"/>
    <mergeCell ref="AS93:AS94"/>
    <mergeCell ref="AT93:AT94"/>
    <mergeCell ref="AU93:AU94"/>
    <mergeCell ref="AV93:AV94"/>
    <mergeCell ref="AC93:AC94"/>
    <mergeCell ref="AN93:AN94"/>
    <mergeCell ref="AO93:AO94"/>
    <mergeCell ref="AD93:AD94"/>
    <mergeCell ref="BF93:BF94"/>
    <mergeCell ref="BG93:BG94"/>
    <mergeCell ref="A95:I95"/>
    <mergeCell ref="A96:A97"/>
    <mergeCell ref="B96:B97"/>
    <mergeCell ref="C96:C97"/>
    <mergeCell ref="D96:D97"/>
    <mergeCell ref="E96:E97"/>
    <mergeCell ref="F96:F97"/>
    <mergeCell ref="G96:G97"/>
    <mergeCell ref="H96:H97"/>
    <mergeCell ref="I96:I97"/>
    <mergeCell ref="R93:R94"/>
    <mergeCell ref="S93:S94"/>
    <mergeCell ref="T93:T94"/>
    <mergeCell ref="U93:U94"/>
    <mergeCell ref="V93:V94"/>
    <mergeCell ref="W93:W94"/>
    <mergeCell ref="X93:X94"/>
    <mergeCell ref="Y93:Y94"/>
    <mergeCell ref="Z93:Z94"/>
    <mergeCell ref="AA93:AA94"/>
    <mergeCell ref="AB93:AB94"/>
    <mergeCell ref="AL93:AL94"/>
    <mergeCell ref="AM93:AM94"/>
    <mergeCell ref="AK96:AK97"/>
    <mergeCell ref="AL96:AL97"/>
    <mergeCell ref="AA96:AA97"/>
    <mergeCell ref="AB96:AB97"/>
    <mergeCell ref="AC96:AC97"/>
    <mergeCell ref="AD96:AD97"/>
    <mergeCell ref="AE96:AE97"/>
    <mergeCell ref="BF96:BF97"/>
    <mergeCell ref="BG96:BG97"/>
    <mergeCell ref="A98:A99"/>
    <mergeCell ref="B98:B99"/>
    <mergeCell ref="C98:C99"/>
    <mergeCell ref="D98:D99"/>
    <mergeCell ref="E98:E99"/>
    <mergeCell ref="F98:F99"/>
    <mergeCell ref="G98:G99"/>
    <mergeCell ref="J96:J97"/>
    <mergeCell ref="N96:N97"/>
    <mergeCell ref="Q96:Q97"/>
    <mergeCell ref="R96:R97"/>
    <mergeCell ref="S96:S97"/>
    <mergeCell ref="T96:T97"/>
    <mergeCell ref="U96:U97"/>
    <mergeCell ref="V96:V97"/>
    <mergeCell ref="W96:W97"/>
    <mergeCell ref="X96:X97"/>
    <mergeCell ref="Y96:Y97"/>
    <mergeCell ref="Z96:Z97"/>
    <mergeCell ref="AG96:AG97"/>
    <mergeCell ref="AH96:AH97"/>
    <mergeCell ref="AI96:AI97"/>
    <mergeCell ref="AF96:AF97"/>
    <mergeCell ref="AJ96:AJ97"/>
    <mergeCell ref="AM96:AM97"/>
    <mergeCell ref="AN96:AN97"/>
    <mergeCell ref="AO96:AO97"/>
    <mergeCell ref="AP96:AP97"/>
    <mergeCell ref="AQ96:AQ97"/>
    <mergeCell ref="AT96:AT97"/>
    <mergeCell ref="AU96:AU97"/>
    <mergeCell ref="AV96:AV97"/>
    <mergeCell ref="AW96:AW97"/>
    <mergeCell ref="BB98:BB99"/>
    <mergeCell ref="BC98:BC99"/>
    <mergeCell ref="BD98:BD99"/>
    <mergeCell ref="BE98:BE99"/>
    <mergeCell ref="AR98:AR99"/>
    <mergeCell ref="AS98:AS99"/>
    <mergeCell ref="AT98:AT99"/>
    <mergeCell ref="AU98:AU99"/>
    <mergeCell ref="AV98:AV99"/>
    <mergeCell ref="AW98:AW99"/>
    <mergeCell ref="AX98:AX99"/>
    <mergeCell ref="AY98:AY99"/>
    <mergeCell ref="AZ98:AZ99"/>
    <mergeCell ref="BA98:BA99"/>
    <mergeCell ref="AX96:AX97"/>
    <mergeCell ref="AY96:AY97"/>
    <mergeCell ref="AZ96:AZ97"/>
    <mergeCell ref="BA96:BA97"/>
    <mergeCell ref="BB96:BB97"/>
    <mergeCell ref="BC96:BC97"/>
    <mergeCell ref="BD96:BD97"/>
    <mergeCell ref="BE96:BE97"/>
    <mergeCell ref="BF98:BF99"/>
    <mergeCell ref="BG98:BG99"/>
    <mergeCell ref="A100:A101"/>
    <mergeCell ref="B100:B101"/>
    <mergeCell ref="C100:C101"/>
    <mergeCell ref="D100:D101"/>
    <mergeCell ref="E100:E101"/>
    <mergeCell ref="H98:H99"/>
    <mergeCell ref="I98:I99"/>
    <mergeCell ref="J98:J99"/>
    <mergeCell ref="N98:N99"/>
    <mergeCell ref="Q98:Q99"/>
    <mergeCell ref="R98:R99"/>
    <mergeCell ref="S98:S99"/>
    <mergeCell ref="T98:T99"/>
    <mergeCell ref="U98:U99"/>
    <mergeCell ref="V98:V99"/>
    <mergeCell ref="W98:W99"/>
    <mergeCell ref="X98:X99"/>
    <mergeCell ref="Y98:Y99"/>
    <mergeCell ref="Z98:Z99"/>
    <mergeCell ref="AA98:AA99"/>
    <mergeCell ref="AB98:AB99"/>
    <mergeCell ref="AC98:AC99"/>
    <mergeCell ref="AD98:AD99"/>
    <mergeCell ref="AK98:AK99"/>
    <mergeCell ref="AL98:AL99"/>
    <mergeCell ref="AM98:AM99"/>
    <mergeCell ref="AN98:AN99"/>
    <mergeCell ref="AO98:AO99"/>
    <mergeCell ref="AP98:AP99"/>
    <mergeCell ref="AQ98:AQ99"/>
    <mergeCell ref="F100:F101"/>
    <mergeCell ref="G100:G101"/>
    <mergeCell ref="H100:H101"/>
    <mergeCell ref="I100:I101"/>
    <mergeCell ref="J100:J101"/>
    <mergeCell ref="N100:N101"/>
    <mergeCell ref="Q100:Q101"/>
    <mergeCell ref="R100:R101"/>
    <mergeCell ref="S100:S101"/>
    <mergeCell ref="T100:T101"/>
    <mergeCell ref="U100:U101"/>
    <mergeCell ref="V100:V101"/>
    <mergeCell ref="AM100:AM101"/>
    <mergeCell ref="AN100:AN101"/>
    <mergeCell ref="AW102:AW103"/>
    <mergeCell ref="AX102:AX103"/>
    <mergeCell ref="AM102:AM103"/>
    <mergeCell ref="AN102:AN103"/>
    <mergeCell ref="AO102:AO103"/>
    <mergeCell ref="AE102:AE103"/>
    <mergeCell ref="AF102:AF103"/>
    <mergeCell ref="AG102:AG103"/>
    <mergeCell ref="AH102:AH103"/>
    <mergeCell ref="AI102:AI103"/>
    <mergeCell ref="AO100:AO101"/>
    <mergeCell ref="W100:W101"/>
    <mergeCell ref="X100:X101"/>
    <mergeCell ref="Y100:Y101"/>
    <mergeCell ref="Z100:Z101"/>
    <mergeCell ref="AA100:AA101"/>
    <mergeCell ref="AB100:AB101"/>
    <mergeCell ref="AH100:AH101"/>
    <mergeCell ref="AS100:AS101"/>
    <mergeCell ref="AT100:AT101"/>
    <mergeCell ref="AU100:AU101"/>
    <mergeCell ref="AV100:AV101"/>
    <mergeCell ref="AW100:AW101"/>
    <mergeCell ref="AX100:AX101"/>
    <mergeCell ref="AZ102:AZ103"/>
    <mergeCell ref="AE100:AE101"/>
    <mergeCell ref="AF100:AF101"/>
    <mergeCell ref="AG100:AG101"/>
    <mergeCell ref="AE91:AE92"/>
    <mergeCell ref="AF91:AF92"/>
    <mergeCell ref="AG91:AG92"/>
    <mergeCell ref="X89:X90"/>
    <mergeCell ref="Y89:Y90"/>
    <mergeCell ref="Z89:Z90"/>
    <mergeCell ref="AA89:AA90"/>
    <mergeCell ref="AP102:AP103"/>
    <mergeCell ref="AY100:AY101"/>
    <mergeCell ref="AZ100:AZ101"/>
    <mergeCell ref="AE98:AE99"/>
    <mergeCell ref="AF98:AF99"/>
    <mergeCell ref="AG98:AG99"/>
    <mergeCell ref="AH98:AH99"/>
    <mergeCell ref="AI98:AI99"/>
    <mergeCell ref="AJ98:AJ99"/>
    <mergeCell ref="AI100:AI101"/>
    <mergeCell ref="AJ100:AJ101"/>
    <mergeCell ref="AK100:AK101"/>
    <mergeCell ref="AL100:AL101"/>
    <mergeCell ref="AR96:AR97"/>
    <mergeCell ref="AS96:AS97"/>
    <mergeCell ref="BE102:BE103"/>
    <mergeCell ref="BF102:BF103"/>
    <mergeCell ref="BG102:BG103"/>
    <mergeCell ref="A102:A103"/>
    <mergeCell ref="B102:B103"/>
    <mergeCell ref="C102:C103"/>
    <mergeCell ref="D102:D103"/>
    <mergeCell ref="E102:E103"/>
    <mergeCell ref="F102:F103"/>
    <mergeCell ref="G102:G103"/>
    <mergeCell ref="H102:H103"/>
    <mergeCell ref="I102:I103"/>
    <mergeCell ref="J102:J103"/>
    <mergeCell ref="N102:N103"/>
    <mergeCell ref="Q102:Q103"/>
    <mergeCell ref="R102:R103"/>
    <mergeCell ref="S102:S103"/>
    <mergeCell ref="T102:T103"/>
    <mergeCell ref="U102:U103"/>
    <mergeCell ref="V102:V103"/>
    <mergeCell ref="Y102:Y103"/>
    <mergeCell ref="Z102:Z103"/>
    <mergeCell ref="AJ102:AJ103"/>
    <mergeCell ref="AK102:AK103"/>
    <mergeCell ref="AL102:AL103"/>
    <mergeCell ref="BA102:BA103"/>
    <mergeCell ref="BB102:BB103"/>
    <mergeCell ref="BC102:BC103"/>
    <mergeCell ref="BD102:BD103"/>
    <mergeCell ref="A104:I104"/>
    <mergeCell ref="A105:I105"/>
    <mergeCell ref="A15:A16"/>
    <mergeCell ref="B15:B16"/>
    <mergeCell ref="C15:C16"/>
    <mergeCell ref="D15:D16"/>
    <mergeCell ref="E15:E16"/>
    <mergeCell ref="F15:F16"/>
    <mergeCell ref="G15:G16"/>
    <mergeCell ref="H15:H16"/>
    <mergeCell ref="I15:I16"/>
    <mergeCell ref="J15:J16"/>
    <mergeCell ref="N15:N16"/>
    <mergeCell ref="Q15:Q16"/>
    <mergeCell ref="R15:R16"/>
    <mergeCell ref="S15:S16"/>
    <mergeCell ref="T15:T16"/>
    <mergeCell ref="A91:A92"/>
    <mergeCell ref="B91:B92"/>
    <mergeCell ref="C91:C92"/>
    <mergeCell ref="D91:D92"/>
    <mergeCell ref="E91:E92"/>
    <mergeCell ref="F91:F92"/>
    <mergeCell ref="G91:G92"/>
    <mergeCell ref="H91:H92"/>
    <mergeCell ref="I91:I92"/>
    <mergeCell ref="J91:J92"/>
    <mergeCell ref="A89:A90"/>
    <mergeCell ref="B89:B90"/>
    <mergeCell ref="C89:C90"/>
    <mergeCell ref="D89:D90"/>
    <mergeCell ref="E89:E90"/>
    <mergeCell ref="AO15:AO16"/>
    <mergeCell ref="AP15:AP16"/>
    <mergeCell ref="AQ15:AQ16"/>
    <mergeCell ref="AR15:AR16"/>
    <mergeCell ref="AS15:AS16"/>
    <mergeCell ref="AT15:AT16"/>
    <mergeCell ref="AU15:AU16"/>
    <mergeCell ref="AV15:AV16"/>
    <mergeCell ref="U15:U16"/>
    <mergeCell ref="V15:V16"/>
    <mergeCell ref="AA102:AA103"/>
    <mergeCell ref="AB102:AB103"/>
    <mergeCell ref="AC102:AC103"/>
    <mergeCell ref="AD102:AD103"/>
    <mergeCell ref="W15:W16"/>
    <mergeCell ref="X15:X16"/>
    <mergeCell ref="Y15:Y16"/>
    <mergeCell ref="Z15:Z16"/>
    <mergeCell ref="AA15:AA16"/>
    <mergeCell ref="AB15:AB16"/>
    <mergeCell ref="AC15:AC16"/>
    <mergeCell ref="AD15:AD16"/>
    <mergeCell ref="AE15:AE16"/>
    <mergeCell ref="AF15:AF16"/>
    <mergeCell ref="AG15:AG16"/>
    <mergeCell ref="W102:W103"/>
    <mergeCell ref="X102:X103"/>
    <mergeCell ref="AC100:AC101"/>
    <mergeCell ref="AD100:AD101"/>
    <mergeCell ref="AP100:AP101"/>
    <mergeCell ref="AQ100:AQ101"/>
    <mergeCell ref="AR100:AR101"/>
    <mergeCell ref="AW15:AW16"/>
    <mergeCell ref="AX15:AX16"/>
    <mergeCell ref="AY15:AY16"/>
    <mergeCell ref="AZ15:AZ16"/>
    <mergeCell ref="BG15:BG16"/>
    <mergeCell ref="BA15:BA16"/>
    <mergeCell ref="BB15:BB16"/>
    <mergeCell ref="BC15:BC16"/>
    <mergeCell ref="BD15:BD16"/>
    <mergeCell ref="BE15:BE16"/>
    <mergeCell ref="BF15:BF16"/>
    <mergeCell ref="AH15:AH16"/>
    <mergeCell ref="AS102:AS103"/>
    <mergeCell ref="AT102:AT103"/>
    <mergeCell ref="AU102:AU103"/>
    <mergeCell ref="AV102:AV103"/>
    <mergeCell ref="AI15:AI16"/>
    <mergeCell ref="AJ15:AJ16"/>
    <mergeCell ref="AK15:AK16"/>
    <mergeCell ref="AL15:AL16"/>
    <mergeCell ref="AM15:AM16"/>
    <mergeCell ref="AN15:AN16"/>
    <mergeCell ref="AQ102:AQ103"/>
    <mergeCell ref="AR102:AR103"/>
    <mergeCell ref="BA100:BA101"/>
    <mergeCell ref="BB100:BB101"/>
    <mergeCell ref="BC100:BC101"/>
    <mergeCell ref="BD100:BD101"/>
    <mergeCell ref="BE100:BE101"/>
    <mergeCell ref="BF100:BF101"/>
    <mergeCell ref="BG100:BG101"/>
    <mergeCell ref="AY102:AY103"/>
  </mergeCells>
  <phoneticPr fontId="61" type="noConversion"/>
  <pageMargins left="0" right="0" top="0" bottom="0" header="0" footer="0"/>
  <pageSetup paperSize="9" scale="6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5"/>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45267</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6" si="0">L5-M5</f>
        <v>0</v>
      </c>
      <c r="P5" s="27">
        <v>0</v>
      </c>
      <c r="Q5" s="99">
        <f>+L6-P6</f>
        <v>36</v>
      </c>
      <c r="R5" s="85" t="s">
        <v>64</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f>
        <v>2194</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45267</v>
      </c>
      <c r="B7" s="87" t="s">
        <v>37</v>
      </c>
      <c r="C7" s="89">
        <v>1</v>
      </c>
      <c r="D7" s="91" t="s">
        <v>38</v>
      </c>
      <c r="E7" s="89">
        <v>84217</v>
      </c>
      <c r="F7" s="89" t="s">
        <v>49</v>
      </c>
      <c r="G7" s="93" t="s">
        <v>61</v>
      </c>
      <c r="H7" s="90" t="s">
        <v>41</v>
      </c>
      <c r="I7" s="90">
        <v>1883</v>
      </c>
      <c r="J7" s="90">
        <v>1883</v>
      </c>
      <c r="K7" s="20">
        <v>0</v>
      </c>
      <c r="L7" s="20">
        <v>0</v>
      </c>
      <c r="M7" s="20">
        <v>0</v>
      </c>
      <c r="N7" s="97">
        <f>O8/L8</f>
        <v>0.75730217737652683</v>
      </c>
      <c r="O7" s="21">
        <f t="shared" si="0"/>
        <v>0</v>
      </c>
      <c r="P7" s="27">
        <v>26</v>
      </c>
      <c r="Q7" s="99">
        <f>+L8-P8</f>
        <v>47</v>
      </c>
      <c r="R7" s="85"/>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197+105+183+94+214+167+177+130+264+162+127+63</f>
        <v>1883</v>
      </c>
      <c r="L8" s="18">
        <f>197+105+183+30+30+262+272+188+20+20+10+255+311</f>
        <v>1883</v>
      </c>
      <c r="M8" s="18">
        <f>20+34+27+8+72+93+39+5+4+65+90</f>
        <v>457</v>
      </c>
      <c r="N8" s="98"/>
      <c r="O8" s="19">
        <f t="shared" si="0"/>
        <v>1426</v>
      </c>
      <c r="P8" s="22">
        <f>20+138+161+8+180+320+119+34+33+127+181+244+117+128+26</f>
        <v>1836</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5.75" customHeight="1">
      <c r="A9" s="108">
        <v>45267</v>
      </c>
      <c r="B9" s="87" t="s">
        <v>37</v>
      </c>
      <c r="C9" s="89">
        <v>1</v>
      </c>
      <c r="D9" s="91" t="s">
        <v>38</v>
      </c>
      <c r="E9" s="89">
        <v>84217</v>
      </c>
      <c r="F9" s="89" t="s">
        <v>49</v>
      </c>
      <c r="G9" s="93" t="s">
        <v>63</v>
      </c>
      <c r="H9" s="90" t="s">
        <v>47</v>
      </c>
      <c r="I9" s="90">
        <v>2103</v>
      </c>
      <c r="J9" s="90">
        <v>2103</v>
      </c>
      <c r="K9" s="20">
        <v>0</v>
      </c>
      <c r="L9" s="20">
        <v>0</v>
      </c>
      <c r="M9" s="20">
        <v>0</v>
      </c>
      <c r="N9" s="97">
        <f>O10/L10</f>
        <v>0.57584403233475989</v>
      </c>
      <c r="O9" s="21">
        <f t="shared" si="0"/>
        <v>0</v>
      </c>
      <c r="P9" s="27">
        <v>84</v>
      </c>
      <c r="Q9" s="99">
        <f>+L10-P10</f>
        <v>201</v>
      </c>
      <c r="R9" s="85"/>
      <c r="S9" s="96"/>
      <c r="T9" s="96"/>
      <c r="U9" s="96"/>
      <c r="V9" s="96"/>
      <c r="W9" s="96"/>
      <c r="X9" s="96"/>
      <c r="Y9" s="96"/>
      <c r="Z9" s="96"/>
      <c r="AA9" s="96"/>
      <c r="AB9" s="96"/>
      <c r="AC9" s="96"/>
      <c r="AD9" s="96"/>
      <c r="AE9" s="96"/>
      <c r="AF9" s="96"/>
      <c r="AG9" s="96"/>
      <c r="AH9" s="96"/>
      <c r="AI9" s="96"/>
      <c r="AJ9" s="96"/>
      <c r="AK9" s="96"/>
      <c r="AL9" s="96"/>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646+325+235+397+185+288+15+8+4</f>
        <v>2103</v>
      </c>
      <c r="L10" s="18">
        <f>180+224+270+114+100+89+460+662+4</f>
        <v>2103</v>
      </c>
      <c r="M10" s="18">
        <f>49+99+127+52+44+48+223+246+4</f>
        <v>892</v>
      </c>
      <c r="N10" s="98"/>
      <c r="O10" s="19">
        <f t="shared" si="0"/>
        <v>1211</v>
      </c>
      <c r="P10" s="22">
        <f>49+102+165+80+231+48+228+760+4+151+84</f>
        <v>1902</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5.75" customHeight="1">
      <c r="A11" s="108">
        <v>45267</v>
      </c>
      <c r="B11" s="87" t="s">
        <v>37</v>
      </c>
      <c r="C11" s="89">
        <v>1</v>
      </c>
      <c r="D11" s="91" t="s">
        <v>38</v>
      </c>
      <c r="E11" s="89">
        <v>84217</v>
      </c>
      <c r="F11" s="89" t="s">
        <v>49</v>
      </c>
      <c r="G11" s="93" t="s">
        <v>63</v>
      </c>
      <c r="H11" s="90" t="s">
        <v>39</v>
      </c>
      <c r="I11" s="90">
        <v>4965</v>
      </c>
      <c r="J11" s="90">
        <v>965</v>
      </c>
      <c r="K11" s="20">
        <v>72</v>
      </c>
      <c r="L11" s="20">
        <v>120</v>
      </c>
      <c r="M11" s="20">
        <v>60</v>
      </c>
      <c r="N11" s="97">
        <f>O12/L12</f>
        <v>0.69745222929936301</v>
      </c>
      <c r="O11" s="21">
        <f t="shared" si="0"/>
        <v>60</v>
      </c>
      <c r="P11" s="27">
        <v>189</v>
      </c>
      <c r="Q11" s="99">
        <f>+L12-P12</f>
        <v>227</v>
      </c>
      <c r="R11" s="85"/>
      <c r="S11" s="96">
        <v>10</v>
      </c>
      <c r="T11" s="96"/>
      <c r="U11" s="96">
        <v>6</v>
      </c>
      <c r="V11" s="96"/>
      <c r="W11" s="96"/>
      <c r="X11" s="96"/>
      <c r="Y11" s="96"/>
      <c r="Z11" s="96"/>
      <c r="AA11" s="96"/>
      <c r="AB11" s="96"/>
      <c r="AC11" s="96">
        <v>9</v>
      </c>
      <c r="AD11" s="96">
        <v>10</v>
      </c>
      <c r="AE11" s="96"/>
      <c r="AF11" s="96"/>
      <c r="AG11" s="96"/>
      <c r="AH11" s="96">
        <v>17</v>
      </c>
      <c r="AI11" s="96"/>
      <c r="AJ11" s="96"/>
      <c r="AK11" s="96"/>
      <c r="AL11" s="96">
        <v>8</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5+13+70+100+67+52+57+45+75+145+72</f>
        <v>701</v>
      </c>
      <c r="L12" s="18">
        <f>5+13+60+10+10+10+50+150+40+160+120</f>
        <v>628</v>
      </c>
      <c r="M12" s="18">
        <f>10+10+40+30+40+60</f>
        <v>190</v>
      </c>
      <c r="N12" s="98"/>
      <c r="O12" s="19">
        <f t="shared" si="0"/>
        <v>438</v>
      </c>
      <c r="P12" s="22">
        <f>10+30+30+10+38+41+53+189</f>
        <v>401</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45267</v>
      </c>
      <c r="B13" s="87" t="s">
        <v>37</v>
      </c>
      <c r="C13" s="89">
        <v>1</v>
      </c>
      <c r="D13" s="91" t="s">
        <v>38</v>
      </c>
      <c r="E13" s="89">
        <v>84217</v>
      </c>
      <c r="F13" s="89" t="s">
        <v>49</v>
      </c>
      <c r="G13" s="93" t="s">
        <v>63</v>
      </c>
      <c r="H13" s="90" t="s">
        <v>41</v>
      </c>
      <c r="I13" s="90">
        <v>1219</v>
      </c>
      <c r="J13" s="90">
        <v>1219</v>
      </c>
      <c r="K13" s="20">
        <v>134</v>
      </c>
      <c r="L13" s="20">
        <v>330</v>
      </c>
      <c r="M13" s="20">
        <v>120</v>
      </c>
      <c r="N13" s="97">
        <f>O14/L14</f>
        <v>0.57698056801195818</v>
      </c>
      <c r="O13" s="21">
        <f t="shared" si="0"/>
        <v>210</v>
      </c>
      <c r="P13" s="27">
        <v>164</v>
      </c>
      <c r="Q13" s="99">
        <f>+L14-P14</f>
        <v>306</v>
      </c>
      <c r="R13" s="85"/>
      <c r="S13" s="96"/>
      <c r="T13" s="96">
        <v>45</v>
      </c>
      <c r="U13" s="96">
        <v>5</v>
      </c>
      <c r="V13" s="96"/>
      <c r="W13" s="96"/>
      <c r="X13" s="96">
        <v>1</v>
      </c>
      <c r="Y13" s="96"/>
      <c r="Z13" s="96"/>
      <c r="AA13" s="96"/>
      <c r="AB13" s="96"/>
      <c r="AC13" s="96">
        <v>54</v>
      </c>
      <c r="AD13" s="96"/>
      <c r="AE13" s="96"/>
      <c r="AF13" s="96">
        <v>35</v>
      </c>
      <c r="AG13" s="96"/>
      <c r="AH13" s="96">
        <v>35</v>
      </c>
      <c r="AI13" s="96"/>
      <c r="AJ13" s="96"/>
      <c r="AK13" s="96"/>
      <c r="AL13" s="96">
        <v>35</v>
      </c>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103+85+198+61+57+39+86+192+134</f>
        <v>955</v>
      </c>
      <c r="L14" s="18">
        <f>9+46+10+10+10+10+164+10+70+330</f>
        <v>669</v>
      </c>
      <c r="M14" s="18">
        <f>9+17+10+106+21+120</f>
        <v>283</v>
      </c>
      <c r="N14" s="98"/>
      <c r="O14" s="19">
        <f t="shared" si="0"/>
        <v>386</v>
      </c>
      <c r="P14" s="22">
        <f>9+17+10+10+10+96+10+37+164</f>
        <v>363</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45267</v>
      </c>
      <c r="B15" s="87" t="s">
        <v>37</v>
      </c>
      <c r="C15" s="89">
        <v>1</v>
      </c>
      <c r="D15" s="91" t="s">
        <v>38</v>
      </c>
      <c r="E15" s="89">
        <v>84217</v>
      </c>
      <c r="F15" s="89" t="s">
        <v>49</v>
      </c>
      <c r="G15" s="93" t="s">
        <v>63</v>
      </c>
      <c r="H15" s="90" t="s">
        <v>73</v>
      </c>
      <c r="I15" s="90">
        <v>760</v>
      </c>
      <c r="J15" s="90">
        <v>760</v>
      </c>
      <c r="K15" s="20">
        <v>0</v>
      </c>
      <c r="L15" s="20">
        <v>378</v>
      </c>
      <c r="M15" s="20">
        <v>177</v>
      </c>
      <c r="N15" s="97">
        <f>O16/L16</f>
        <v>0.55989232839838488</v>
      </c>
      <c r="O15" s="21">
        <f t="shared" si="0"/>
        <v>201</v>
      </c>
      <c r="P15" s="27">
        <v>326</v>
      </c>
      <c r="Q15" s="99">
        <f>+L16-P16</f>
        <v>267</v>
      </c>
      <c r="R15" s="85"/>
      <c r="S15" s="96">
        <v>88</v>
      </c>
      <c r="T15" s="96">
        <v>19</v>
      </c>
      <c r="U15" s="96"/>
      <c r="V15" s="96"/>
      <c r="W15" s="96"/>
      <c r="X15" s="96"/>
      <c r="Y15" s="96"/>
      <c r="Z15" s="96"/>
      <c r="AA15" s="96"/>
      <c r="AB15" s="96"/>
      <c r="AC15" s="96">
        <v>20</v>
      </c>
      <c r="AD15" s="96"/>
      <c r="AE15" s="96">
        <v>10</v>
      </c>
      <c r="AF15" s="96">
        <v>25</v>
      </c>
      <c r="AG15" s="96">
        <v>7</v>
      </c>
      <c r="AH15" s="96">
        <v>16</v>
      </c>
      <c r="AI15" s="96"/>
      <c r="AJ15" s="96"/>
      <c r="AK15" s="96"/>
      <c r="AL15" s="96">
        <v>16</v>
      </c>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535+95+113</f>
        <v>743</v>
      </c>
      <c r="L16" s="18">
        <f>90+275+378</f>
        <v>743</v>
      </c>
      <c r="M16" s="18">
        <f>45+105+177</f>
        <v>327</v>
      </c>
      <c r="N16" s="98"/>
      <c r="O16" s="19">
        <f t="shared" si="0"/>
        <v>416</v>
      </c>
      <c r="P16" s="22">
        <f>45+105+326</f>
        <v>476</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6.5" customHeight="1">
      <c r="A17" s="108">
        <v>45267</v>
      </c>
      <c r="B17" s="87" t="s">
        <v>37</v>
      </c>
      <c r="C17" s="89">
        <v>1</v>
      </c>
      <c r="D17" s="91" t="s">
        <v>38</v>
      </c>
      <c r="E17" s="89">
        <v>84217</v>
      </c>
      <c r="F17" s="89" t="s">
        <v>49</v>
      </c>
      <c r="G17" s="93" t="s">
        <v>63</v>
      </c>
      <c r="H17" s="90" t="s">
        <v>59</v>
      </c>
      <c r="I17" s="90">
        <v>568</v>
      </c>
      <c r="J17" s="90">
        <v>568</v>
      </c>
      <c r="K17" s="20">
        <v>261</v>
      </c>
      <c r="L17" s="20">
        <v>0</v>
      </c>
      <c r="M17" s="20">
        <v>0</v>
      </c>
      <c r="N17" s="97">
        <f>O18/L18</f>
        <v>0.76923076923076927</v>
      </c>
      <c r="O17" s="21">
        <f t="shared" si="0"/>
        <v>0</v>
      </c>
      <c r="P17" s="27">
        <v>0</v>
      </c>
      <c r="Q17" s="99">
        <f>+L18-P18</f>
        <v>50</v>
      </c>
      <c r="R17" s="85"/>
      <c r="S17" s="96"/>
      <c r="T17" s="96"/>
      <c r="U17" s="96"/>
      <c r="V17" s="96"/>
      <c r="W17" s="96"/>
      <c r="X17" s="96"/>
      <c r="Y17" s="96"/>
      <c r="Z17" s="96"/>
      <c r="AA17" s="96"/>
      <c r="AB17" s="96"/>
      <c r="AC17" s="96"/>
      <c r="AD17" s="96"/>
      <c r="AE17" s="96"/>
      <c r="AF17" s="96"/>
      <c r="AG17" s="96"/>
      <c r="AH17" s="96"/>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201+261</f>
        <v>462</v>
      </c>
      <c r="L18" s="18">
        <f>65</f>
        <v>65</v>
      </c>
      <c r="M18" s="18">
        <f>15</f>
        <v>15</v>
      </c>
      <c r="N18" s="98"/>
      <c r="O18" s="19">
        <f t="shared" si="0"/>
        <v>50</v>
      </c>
      <c r="P18" s="22">
        <f>15</f>
        <v>15</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45267</v>
      </c>
      <c r="B19" s="87" t="s">
        <v>37</v>
      </c>
      <c r="C19" s="89">
        <v>1</v>
      </c>
      <c r="D19" s="91" t="s">
        <v>38</v>
      </c>
      <c r="E19" s="89">
        <v>84212</v>
      </c>
      <c r="F19" s="89" t="s">
        <v>49</v>
      </c>
      <c r="G19" s="93" t="s">
        <v>55</v>
      </c>
      <c r="H19" s="90" t="s">
        <v>62</v>
      </c>
      <c r="I19" s="90">
        <v>2248</v>
      </c>
      <c r="J19" s="90">
        <v>608</v>
      </c>
      <c r="K19" s="20">
        <v>0</v>
      </c>
      <c r="L19" s="20">
        <v>0</v>
      </c>
      <c r="M19" s="20">
        <v>0</v>
      </c>
      <c r="N19" s="97">
        <f>O20/L20</f>
        <v>0.76973684210526316</v>
      </c>
      <c r="O19" s="21">
        <f t="shared" si="0"/>
        <v>0</v>
      </c>
      <c r="P19" s="27">
        <v>43</v>
      </c>
      <c r="Q19" s="99">
        <f>+L20-P20</f>
        <v>0</v>
      </c>
      <c r="R19" s="85"/>
      <c r="S19" s="96"/>
      <c r="T19" s="96"/>
      <c r="U19" s="96"/>
      <c r="V19" s="96"/>
      <c r="W19" s="96"/>
      <c r="X19" s="96"/>
      <c r="Y19" s="96"/>
      <c r="Z19" s="96"/>
      <c r="AA19" s="96"/>
      <c r="AB19" s="96"/>
      <c r="AC19" s="96"/>
      <c r="AD19" s="96"/>
      <c r="AE19" s="96"/>
      <c r="AF19" s="96"/>
      <c r="AG19" s="96"/>
      <c r="AH19" s="96"/>
      <c r="AI19" s="96"/>
      <c r="AJ19" s="96"/>
      <c r="AK19" s="96"/>
      <c r="AL19" s="96"/>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63+36+60+117+70+60+110+60+19+13</f>
        <v>608</v>
      </c>
      <c r="L20" s="18">
        <f>63+36+20+10+141+94+102+10+10+10+99+13</f>
        <v>608</v>
      </c>
      <c r="M20" s="18">
        <f>13+7+34+21+22+4+39</f>
        <v>140</v>
      </c>
      <c r="N20" s="98"/>
      <c r="O20" s="19">
        <f t="shared" si="0"/>
        <v>468</v>
      </c>
      <c r="P20" s="22">
        <f>13+52+71+138+116+10+4+46+115+43</f>
        <v>608</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45267</v>
      </c>
      <c r="B21" s="87" t="s">
        <v>37</v>
      </c>
      <c r="C21" s="89">
        <v>1</v>
      </c>
      <c r="D21" s="91" t="s">
        <v>38</v>
      </c>
      <c r="E21" s="89">
        <v>84212</v>
      </c>
      <c r="F21" s="89" t="s">
        <v>49</v>
      </c>
      <c r="G21" s="93" t="s">
        <v>55</v>
      </c>
      <c r="H21" s="90" t="s">
        <v>59</v>
      </c>
      <c r="I21" s="90">
        <v>708</v>
      </c>
      <c r="J21" s="90">
        <v>708</v>
      </c>
      <c r="K21" s="20">
        <v>3</v>
      </c>
      <c r="L21" s="20">
        <v>50</v>
      </c>
      <c r="M21" s="20">
        <v>20</v>
      </c>
      <c r="N21" s="97">
        <f>O22/L22</f>
        <v>0.76956521739130435</v>
      </c>
      <c r="O21" s="21">
        <f t="shared" si="0"/>
        <v>30</v>
      </c>
      <c r="P21" s="27">
        <v>53</v>
      </c>
      <c r="Q21" s="99">
        <f>+L22-P22</f>
        <v>306</v>
      </c>
      <c r="R21" s="85"/>
      <c r="S21" s="96"/>
      <c r="T21" s="96">
        <v>19</v>
      </c>
      <c r="U21" s="96"/>
      <c r="V21" s="96"/>
      <c r="W21" s="96"/>
      <c r="X21" s="96"/>
      <c r="Y21" s="96"/>
      <c r="Z21" s="96"/>
      <c r="AA21" s="96"/>
      <c r="AB21" s="96"/>
      <c r="AC21" s="96">
        <v>2</v>
      </c>
      <c r="AD21" s="96"/>
      <c r="AE21" s="96"/>
      <c r="AF21" s="96"/>
      <c r="AG21" s="96">
        <v>8</v>
      </c>
      <c r="AH21" s="96">
        <v>1</v>
      </c>
      <c r="AI21" s="96"/>
      <c r="AJ21" s="96"/>
      <c r="AK21" s="96"/>
      <c r="AL21" s="96"/>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105+109+70+77+65+110+122+34+3</f>
        <v>695</v>
      </c>
      <c r="L22" s="18">
        <f>25+50+65+80+80+30+80+50</f>
        <v>460</v>
      </c>
      <c r="M22" s="18">
        <f>15+20+20+15+5+11+20</f>
        <v>106</v>
      </c>
      <c r="N22" s="98"/>
      <c r="O22" s="19">
        <f t="shared" si="0"/>
        <v>354</v>
      </c>
      <c r="P22" s="22">
        <f>15+20+35+15+5+11+53</f>
        <v>154</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45267</v>
      </c>
      <c r="B23" s="87" t="s">
        <v>37</v>
      </c>
      <c r="C23" s="89">
        <v>1</v>
      </c>
      <c r="D23" s="91" t="s">
        <v>38</v>
      </c>
      <c r="E23" s="89">
        <v>84212</v>
      </c>
      <c r="F23" s="89" t="s">
        <v>49</v>
      </c>
      <c r="G23" s="93" t="s">
        <v>55</v>
      </c>
      <c r="H23" s="90" t="s">
        <v>67</v>
      </c>
      <c r="I23" s="90">
        <v>1813</v>
      </c>
      <c r="J23" s="90">
        <v>1813</v>
      </c>
      <c r="K23" s="20">
        <v>345</v>
      </c>
      <c r="L23" s="20">
        <v>150</v>
      </c>
      <c r="M23" s="20">
        <v>40</v>
      </c>
      <c r="N23" s="97">
        <f>O24/L24</f>
        <v>0.8</v>
      </c>
      <c r="O23" s="21">
        <f t="shared" si="0"/>
        <v>110</v>
      </c>
      <c r="P23" s="27">
        <v>80</v>
      </c>
      <c r="Q23" s="99">
        <f>+L24-P24</f>
        <v>365</v>
      </c>
      <c r="R23" s="85"/>
      <c r="S23" s="96">
        <v>7</v>
      </c>
      <c r="T23" s="96">
        <v>13</v>
      </c>
      <c r="U23" s="96">
        <v>3</v>
      </c>
      <c r="V23" s="96"/>
      <c r="W23" s="96"/>
      <c r="X23" s="96">
        <v>4</v>
      </c>
      <c r="Y23" s="96"/>
      <c r="Z23" s="96"/>
      <c r="AA23" s="96"/>
      <c r="AB23" s="96"/>
      <c r="AC23" s="96">
        <v>23</v>
      </c>
      <c r="AD23" s="96"/>
      <c r="AE23" s="96">
        <v>3</v>
      </c>
      <c r="AF23" s="96">
        <v>16</v>
      </c>
      <c r="AG23" s="96">
        <v>11</v>
      </c>
      <c r="AH23" s="96">
        <v>18</v>
      </c>
      <c r="AI23" s="96"/>
      <c r="AJ23" s="96"/>
      <c r="AK23" s="96"/>
      <c r="AL23" s="96">
        <v>12</v>
      </c>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272+145+148+175+345</f>
        <v>1085</v>
      </c>
      <c r="L24" s="18">
        <f>30+110+235+150</f>
        <v>525</v>
      </c>
      <c r="M24" s="18">
        <f>5+10+50+40</f>
        <v>105</v>
      </c>
      <c r="N24" s="98"/>
      <c r="O24" s="19">
        <f t="shared" si="0"/>
        <v>420</v>
      </c>
      <c r="P24" s="22">
        <f>5+10+65+80</f>
        <v>160</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45267</v>
      </c>
      <c r="B25" s="87" t="s">
        <v>37</v>
      </c>
      <c r="C25" s="89">
        <v>1</v>
      </c>
      <c r="D25" s="91" t="s">
        <v>38</v>
      </c>
      <c r="E25" s="89">
        <v>84212</v>
      </c>
      <c r="F25" s="89" t="s">
        <v>49</v>
      </c>
      <c r="G25" s="93" t="s">
        <v>55</v>
      </c>
      <c r="H25" s="90" t="s">
        <v>62</v>
      </c>
      <c r="I25" s="90">
        <v>2218</v>
      </c>
      <c r="J25" s="90">
        <v>1640</v>
      </c>
      <c r="K25" s="20">
        <v>0</v>
      </c>
      <c r="L25" s="20">
        <v>43</v>
      </c>
      <c r="M25" s="20">
        <v>20</v>
      </c>
      <c r="N25" s="97">
        <f>O26/L26</f>
        <v>0.6819787985865724</v>
      </c>
      <c r="O25" s="21">
        <f t="shared" si="0"/>
        <v>23</v>
      </c>
      <c r="P25" s="27">
        <v>28</v>
      </c>
      <c r="Q25" s="99">
        <f>+L26-P26</f>
        <v>185</v>
      </c>
      <c r="R25" s="85"/>
      <c r="S25" s="96"/>
      <c r="T25" s="96">
        <v>6</v>
      </c>
      <c r="U25" s="96"/>
      <c r="V25" s="96"/>
      <c r="W25" s="96"/>
      <c r="X25" s="96">
        <v>3</v>
      </c>
      <c r="Y25" s="96"/>
      <c r="Z25" s="96"/>
      <c r="AA25" s="96"/>
      <c r="AB25" s="96"/>
      <c r="AC25" s="96">
        <v>4</v>
      </c>
      <c r="AD25" s="96"/>
      <c r="AE25" s="96"/>
      <c r="AF25" s="96">
        <v>4</v>
      </c>
      <c r="AG25" s="96"/>
      <c r="AH25" s="96">
        <v>6</v>
      </c>
      <c r="AI25" s="96"/>
      <c r="AJ25" s="96"/>
      <c r="AK25" s="96"/>
      <c r="AL25" s="96"/>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5"/>
      <c r="B26" s="88"/>
      <c r="C26" s="90"/>
      <c r="D26" s="92"/>
      <c r="E26" s="90"/>
      <c r="F26" s="90"/>
      <c r="G26" s="94"/>
      <c r="H26" s="95"/>
      <c r="I26" s="95"/>
      <c r="J26" s="95"/>
      <c r="K26" s="22">
        <f>166+95+22</f>
        <v>283</v>
      </c>
      <c r="L26" s="18">
        <f>40+40+160+43</f>
        <v>283</v>
      </c>
      <c r="M26" s="18">
        <f>6+14+50+20</f>
        <v>90</v>
      </c>
      <c r="N26" s="98"/>
      <c r="O26" s="19">
        <f t="shared" si="0"/>
        <v>193</v>
      </c>
      <c r="P26" s="22">
        <f>6+14+50+28</f>
        <v>98</v>
      </c>
      <c r="Q26" s="100"/>
      <c r="R26" s="86"/>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108">
        <v>45267</v>
      </c>
      <c r="B27" s="87" t="s">
        <v>37</v>
      </c>
      <c r="C27" s="89">
        <v>1</v>
      </c>
      <c r="D27" s="91" t="s">
        <v>38</v>
      </c>
      <c r="E27" s="89">
        <v>84212</v>
      </c>
      <c r="F27" s="89" t="s">
        <v>49</v>
      </c>
      <c r="G27" s="93" t="s">
        <v>55</v>
      </c>
      <c r="H27" s="90" t="s">
        <v>78</v>
      </c>
      <c r="I27" s="90">
        <v>747</v>
      </c>
      <c r="J27" s="90">
        <v>747</v>
      </c>
      <c r="K27" s="20">
        <v>130</v>
      </c>
      <c r="L27" s="20">
        <v>50</v>
      </c>
      <c r="M27" s="20">
        <v>5</v>
      </c>
      <c r="N27" s="97">
        <f>O28/L28</f>
        <v>0.88461538461538458</v>
      </c>
      <c r="O27" s="21">
        <f t="shared" si="0"/>
        <v>45</v>
      </c>
      <c r="P27" s="27">
        <v>5</v>
      </c>
      <c r="Q27" s="99">
        <f>+L28-P28</f>
        <v>115</v>
      </c>
      <c r="R27" s="85"/>
      <c r="S27" s="96"/>
      <c r="T27" s="96">
        <v>25</v>
      </c>
      <c r="U27" s="96">
        <v>2</v>
      </c>
      <c r="V27" s="96"/>
      <c r="W27" s="96"/>
      <c r="X27" s="96">
        <v>1</v>
      </c>
      <c r="Y27" s="96"/>
      <c r="Z27" s="96"/>
      <c r="AA27" s="96"/>
      <c r="AB27" s="96"/>
      <c r="AC27" s="96">
        <v>2</v>
      </c>
      <c r="AD27" s="96"/>
      <c r="AE27" s="96"/>
      <c r="AF27" s="96"/>
      <c r="AG27" s="96">
        <v>10</v>
      </c>
      <c r="AH27" s="96">
        <v>5</v>
      </c>
      <c r="AI27" s="96"/>
      <c r="AJ27" s="96"/>
      <c r="AK27" s="96"/>
      <c r="AL27" s="96"/>
      <c r="AM27" s="103"/>
      <c r="AN27" s="103"/>
      <c r="AO27" s="103"/>
      <c r="AP27" s="103"/>
      <c r="AQ27" s="103"/>
      <c r="AR27" s="103"/>
      <c r="AS27" s="103"/>
      <c r="AT27" s="103"/>
      <c r="AU27" s="103"/>
      <c r="AV27" s="103"/>
      <c r="AW27" s="103"/>
      <c r="AX27" s="103"/>
      <c r="AY27" s="106"/>
      <c r="AZ27" s="106"/>
      <c r="BA27" s="106"/>
      <c r="BB27" s="106"/>
      <c r="BC27" s="106"/>
      <c r="BD27" s="106"/>
      <c r="BE27" s="103"/>
      <c r="BF27" s="104"/>
      <c r="BG27" s="104"/>
    </row>
    <row r="28" spans="1:59" s="17" customFormat="1" ht="15.75" customHeight="1">
      <c r="A28" s="85"/>
      <c r="B28" s="88"/>
      <c r="C28" s="90"/>
      <c r="D28" s="92"/>
      <c r="E28" s="90"/>
      <c r="F28" s="90"/>
      <c r="G28" s="94"/>
      <c r="H28" s="95"/>
      <c r="I28" s="95"/>
      <c r="J28" s="95"/>
      <c r="K28" s="22">
        <f>117+41+130</f>
        <v>288</v>
      </c>
      <c r="L28" s="18">
        <f>80+50</f>
        <v>130</v>
      </c>
      <c r="M28" s="18">
        <f>10+5</f>
        <v>15</v>
      </c>
      <c r="N28" s="98"/>
      <c r="O28" s="19">
        <f t="shared" si="0"/>
        <v>115</v>
      </c>
      <c r="P28" s="22">
        <f>10+5</f>
        <v>15</v>
      </c>
      <c r="Q28" s="100"/>
      <c r="R28" s="86"/>
      <c r="S28" s="96"/>
      <c r="T28" s="96"/>
      <c r="U28" s="96"/>
      <c r="V28" s="96"/>
      <c r="W28" s="96"/>
      <c r="X28" s="96"/>
      <c r="Y28" s="96"/>
      <c r="Z28" s="96"/>
      <c r="AA28" s="96"/>
      <c r="AB28" s="96"/>
      <c r="AC28" s="96"/>
      <c r="AD28" s="96"/>
      <c r="AE28" s="96"/>
      <c r="AF28" s="96"/>
      <c r="AG28" s="96"/>
      <c r="AH28" s="96"/>
      <c r="AI28" s="96"/>
      <c r="AJ28" s="96"/>
      <c r="AK28" s="96"/>
      <c r="AL28" s="96"/>
      <c r="AM28" s="103"/>
      <c r="AN28" s="103"/>
      <c r="AO28" s="103"/>
      <c r="AP28" s="103"/>
      <c r="AQ28" s="103"/>
      <c r="AR28" s="103"/>
      <c r="AS28" s="103"/>
      <c r="AT28" s="103"/>
      <c r="AU28" s="103"/>
      <c r="AV28" s="103"/>
      <c r="AW28" s="103"/>
      <c r="AX28" s="103"/>
      <c r="AY28" s="107"/>
      <c r="AZ28" s="107"/>
      <c r="BA28" s="107"/>
      <c r="BB28" s="107"/>
      <c r="BC28" s="107"/>
      <c r="BD28" s="107"/>
      <c r="BE28" s="103"/>
      <c r="BF28" s="105"/>
      <c r="BG28" s="105"/>
    </row>
    <row r="29" spans="1:59" s="17" customFormat="1" ht="15.75" customHeight="1">
      <c r="A29" s="108">
        <v>45267</v>
      </c>
      <c r="B29" s="87" t="s">
        <v>37</v>
      </c>
      <c r="C29" s="89">
        <v>1</v>
      </c>
      <c r="D29" s="91" t="s">
        <v>38</v>
      </c>
      <c r="E29" s="89">
        <v>84212</v>
      </c>
      <c r="F29" s="89" t="s">
        <v>49</v>
      </c>
      <c r="G29" s="93" t="s">
        <v>61</v>
      </c>
      <c r="H29" s="89" t="s">
        <v>65</v>
      </c>
      <c r="I29" s="89">
        <v>533</v>
      </c>
      <c r="J29" s="89">
        <v>533</v>
      </c>
      <c r="K29" s="20">
        <v>111</v>
      </c>
      <c r="L29" s="20">
        <v>65</v>
      </c>
      <c r="M29" s="20">
        <v>22</v>
      </c>
      <c r="N29" s="146">
        <f>O30/L30</f>
        <v>0.75087719298245614</v>
      </c>
      <c r="O29" s="21">
        <f t="shared" si="0"/>
        <v>43</v>
      </c>
      <c r="P29" s="27">
        <v>28</v>
      </c>
      <c r="Q29" s="99">
        <f>+L30-P30</f>
        <v>128</v>
      </c>
      <c r="R29" s="108"/>
      <c r="S29" s="149"/>
      <c r="T29" s="149">
        <v>10</v>
      </c>
      <c r="U29" s="149">
        <v>5</v>
      </c>
      <c r="V29" s="149"/>
      <c r="W29" s="149"/>
      <c r="X29" s="149"/>
      <c r="Y29" s="149"/>
      <c r="Z29" s="149"/>
      <c r="AA29" s="149"/>
      <c r="AB29" s="149"/>
      <c r="AC29" s="149">
        <v>7</v>
      </c>
      <c r="AD29" s="149"/>
      <c r="AE29" s="149">
        <v>4</v>
      </c>
      <c r="AF29" s="149">
        <v>5</v>
      </c>
      <c r="AG29" s="149"/>
      <c r="AH29" s="149">
        <v>7</v>
      </c>
      <c r="AI29" s="149"/>
      <c r="AJ29" s="149"/>
      <c r="AK29" s="149"/>
      <c r="AL29" s="149">
        <v>5</v>
      </c>
      <c r="AM29" s="163"/>
      <c r="AN29" s="163"/>
      <c r="AO29" s="163"/>
      <c r="AP29" s="163"/>
      <c r="AQ29" s="163"/>
      <c r="AR29" s="163"/>
      <c r="AS29" s="163"/>
      <c r="AT29" s="163"/>
      <c r="AU29" s="163"/>
      <c r="AV29" s="163"/>
      <c r="AW29" s="163"/>
      <c r="AX29" s="163"/>
      <c r="AY29" s="167"/>
      <c r="AZ29" s="167"/>
      <c r="BA29" s="167"/>
      <c r="BB29" s="167"/>
      <c r="BC29" s="167"/>
      <c r="BD29" s="167"/>
      <c r="BE29" s="163"/>
      <c r="BF29" s="165"/>
      <c r="BG29" s="165"/>
    </row>
    <row r="30" spans="1:59" s="17" customFormat="1" ht="15.75" customHeight="1">
      <c r="A30" s="85"/>
      <c r="B30" s="88"/>
      <c r="C30" s="90"/>
      <c r="D30" s="92"/>
      <c r="E30" s="90"/>
      <c r="F30" s="90"/>
      <c r="G30" s="94"/>
      <c r="H30" s="90"/>
      <c r="I30" s="90"/>
      <c r="J30" s="90"/>
      <c r="K30" s="22">
        <f>81+92+53+50+111</f>
        <v>387</v>
      </c>
      <c r="L30" s="18">
        <f>10+10+110+10+80+65</f>
        <v>285</v>
      </c>
      <c r="M30" s="18">
        <f>30+19+22</f>
        <v>71</v>
      </c>
      <c r="N30" s="147"/>
      <c r="O30" s="19">
        <f t="shared" si="0"/>
        <v>214</v>
      </c>
      <c r="P30" s="22">
        <f>50+40+39+28</f>
        <v>157</v>
      </c>
      <c r="Q30" s="100"/>
      <c r="R30" s="85"/>
      <c r="S30" s="150"/>
      <c r="T30" s="150"/>
      <c r="U30" s="150"/>
      <c r="V30" s="150"/>
      <c r="W30" s="150"/>
      <c r="X30" s="150"/>
      <c r="Y30" s="150"/>
      <c r="Z30" s="150"/>
      <c r="AA30" s="150"/>
      <c r="AB30" s="150"/>
      <c r="AC30" s="150"/>
      <c r="AD30" s="150"/>
      <c r="AE30" s="150"/>
      <c r="AF30" s="150"/>
      <c r="AG30" s="150"/>
      <c r="AH30" s="150"/>
      <c r="AI30" s="150"/>
      <c r="AJ30" s="150"/>
      <c r="AK30" s="150"/>
      <c r="AL30" s="150"/>
      <c r="AM30" s="164"/>
      <c r="AN30" s="164"/>
      <c r="AO30" s="164"/>
      <c r="AP30" s="164"/>
      <c r="AQ30" s="164"/>
      <c r="AR30" s="164"/>
      <c r="AS30" s="164"/>
      <c r="AT30" s="164"/>
      <c r="AU30" s="164"/>
      <c r="AV30" s="164"/>
      <c r="AW30" s="164"/>
      <c r="AX30" s="164"/>
      <c r="AY30" s="168"/>
      <c r="AZ30" s="168"/>
      <c r="BA30" s="168"/>
      <c r="BB30" s="168"/>
      <c r="BC30" s="168"/>
      <c r="BD30" s="168"/>
      <c r="BE30" s="164"/>
      <c r="BF30" s="166"/>
      <c r="BG30" s="166"/>
    </row>
    <row r="31" spans="1:59" s="17" customFormat="1" ht="15.75" customHeight="1">
      <c r="A31" s="108">
        <v>45267</v>
      </c>
      <c r="B31" s="87" t="s">
        <v>37</v>
      </c>
      <c r="C31" s="89">
        <v>1</v>
      </c>
      <c r="D31" s="91" t="s">
        <v>38</v>
      </c>
      <c r="E31" s="89">
        <v>84426</v>
      </c>
      <c r="F31" s="89" t="s">
        <v>49</v>
      </c>
      <c r="G31" s="93" t="s">
        <v>55</v>
      </c>
      <c r="H31" s="90" t="s">
        <v>58</v>
      </c>
      <c r="I31" s="90">
        <v>549</v>
      </c>
      <c r="J31" s="90">
        <v>549</v>
      </c>
      <c r="K31" s="20">
        <v>0</v>
      </c>
      <c r="L31" s="20">
        <v>0</v>
      </c>
      <c r="M31" s="20">
        <v>0</v>
      </c>
      <c r="N31" s="97">
        <f>O32/L32</f>
        <v>0.81238615664845171</v>
      </c>
      <c r="O31" s="21">
        <f t="shared" si="0"/>
        <v>0</v>
      </c>
      <c r="P31" s="27">
        <v>0</v>
      </c>
      <c r="Q31" s="99">
        <f>+L32-P32</f>
        <v>3</v>
      </c>
      <c r="R31" s="108"/>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49">
        <f>483+66</f>
        <v>549</v>
      </c>
      <c r="L32" s="18">
        <f>483+66</f>
        <v>549</v>
      </c>
      <c r="M32" s="18">
        <f>86+17</f>
        <v>103</v>
      </c>
      <c r="N32" s="98"/>
      <c r="O32" s="19">
        <f t="shared" si="0"/>
        <v>446</v>
      </c>
      <c r="P32" s="22">
        <f>453+80+11+2</f>
        <v>546</v>
      </c>
      <c r="Q32" s="100"/>
      <c r="R32" s="85"/>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45267</v>
      </c>
      <c r="B33" s="87" t="s">
        <v>37</v>
      </c>
      <c r="C33" s="89">
        <v>1</v>
      </c>
      <c r="D33" s="91" t="s">
        <v>38</v>
      </c>
      <c r="E33" s="89">
        <v>84352</v>
      </c>
      <c r="F33" s="89" t="s">
        <v>49</v>
      </c>
      <c r="G33" s="93" t="s">
        <v>55</v>
      </c>
      <c r="H33" s="109" t="s">
        <v>39</v>
      </c>
      <c r="I33" s="90">
        <v>1050</v>
      </c>
      <c r="J33" s="170">
        <v>1053</v>
      </c>
      <c r="K33" s="43">
        <f>35</f>
        <v>35</v>
      </c>
      <c r="L33" s="48">
        <f>185+102</f>
        <v>287</v>
      </c>
      <c r="M33" s="20">
        <f>80+30</f>
        <v>110</v>
      </c>
      <c r="N33" s="97">
        <f>O34/L34</f>
        <v>0.64760793465577593</v>
      </c>
      <c r="O33" s="21">
        <f t="shared" si="0"/>
        <v>177</v>
      </c>
      <c r="P33" s="27">
        <f>96+70</f>
        <v>166</v>
      </c>
      <c r="Q33" s="99">
        <f>+L34-P34</f>
        <v>344</v>
      </c>
      <c r="R33" s="85"/>
      <c r="S33" s="96">
        <v>8</v>
      </c>
      <c r="T33" s="96"/>
      <c r="U33" s="96">
        <v>12</v>
      </c>
      <c r="V33" s="96"/>
      <c r="W33" s="96"/>
      <c r="X33" s="96">
        <v>2</v>
      </c>
      <c r="Y33" s="96">
        <v>8</v>
      </c>
      <c r="Z33" s="96"/>
      <c r="AA33" s="96"/>
      <c r="AB33" s="96"/>
      <c r="AC33" s="96">
        <v>20</v>
      </c>
      <c r="AD33" s="96"/>
      <c r="AE33" s="96">
        <v>19</v>
      </c>
      <c r="AF33" s="96">
        <v>20</v>
      </c>
      <c r="AG33" s="96"/>
      <c r="AH33" s="96">
        <v>17</v>
      </c>
      <c r="AI33" s="96"/>
      <c r="AJ33" s="96"/>
      <c r="AK33" s="96"/>
      <c r="AL33" s="96">
        <f>48+23</f>
        <v>71</v>
      </c>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171"/>
      <c r="K34" s="47">
        <f>320+108+237+109+43+100+35</f>
        <v>952</v>
      </c>
      <c r="L34" s="46">
        <f>10+10+10+235+60+10+150+85+185+102</f>
        <v>857</v>
      </c>
      <c r="M34" s="18">
        <f>75+30+45+42+80+30</f>
        <v>302</v>
      </c>
      <c r="N34" s="98"/>
      <c r="O34" s="19">
        <f t="shared" si="0"/>
        <v>555</v>
      </c>
      <c r="P34" s="22">
        <f>105+70+80+92+96+70</f>
        <v>513</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45267</v>
      </c>
      <c r="B35" s="87" t="s">
        <v>37</v>
      </c>
      <c r="C35" s="89">
        <v>1</v>
      </c>
      <c r="D35" s="91" t="s">
        <v>38</v>
      </c>
      <c r="E35" s="89">
        <v>84352</v>
      </c>
      <c r="F35" s="89" t="s">
        <v>49</v>
      </c>
      <c r="G35" s="93" t="s">
        <v>55</v>
      </c>
      <c r="H35" s="109" t="s">
        <v>57</v>
      </c>
      <c r="I35" s="90">
        <v>525</v>
      </c>
      <c r="J35" s="90">
        <v>525</v>
      </c>
      <c r="K35" s="20">
        <v>70</v>
      </c>
      <c r="L35" s="20">
        <v>0</v>
      </c>
      <c r="M35" s="20">
        <v>0</v>
      </c>
      <c r="N35" s="97" t="e">
        <f>O36/L36</f>
        <v>#DIV/0!</v>
      </c>
      <c r="O35" s="21">
        <f t="shared" si="0"/>
        <v>0</v>
      </c>
      <c r="P35" s="27">
        <v>0</v>
      </c>
      <c r="Q35" s="99">
        <f>+L36-P36</f>
        <v>0</v>
      </c>
      <c r="R35" s="85"/>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41">
        <f>70</f>
        <v>70</v>
      </c>
      <c r="L36" s="18">
        <v>0</v>
      </c>
      <c r="M36" s="18">
        <v>0</v>
      </c>
      <c r="N36" s="98"/>
      <c r="O36" s="19">
        <f t="shared" si="0"/>
        <v>0</v>
      </c>
      <c r="P36" s="22">
        <v>0</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45267</v>
      </c>
      <c r="B37" s="87" t="s">
        <v>37</v>
      </c>
      <c r="C37" s="89">
        <v>1</v>
      </c>
      <c r="D37" s="91" t="s">
        <v>38</v>
      </c>
      <c r="E37" s="89">
        <v>84031</v>
      </c>
      <c r="F37" s="89" t="s">
        <v>49</v>
      </c>
      <c r="G37" s="93" t="s">
        <v>53</v>
      </c>
      <c r="H37" s="90" t="s">
        <v>57</v>
      </c>
      <c r="I37" s="90">
        <v>563</v>
      </c>
      <c r="J37" s="90">
        <v>563</v>
      </c>
      <c r="K37" s="43">
        <v>0</v>
      </c>
      <c r="L37" s="20">
        <v>0</v>
      </c>
      <c r="M37" s="20">
        <v>0</v>
      </c>
      <c r="N37" s="97">
        <f>O38/L38</f>
        <v>0.85343228200371057</v>
      </c>
      <c r="O37" s="21">
        <f t="shared" si="0"/>
        <v>0</v>
      </c>
      <c r="P37" s="27">
        <v>0</v>
      </c>
      <c r="Q37" s="99">
        <f>+L38-P38</f>
        <v>0</v>
      </c>
      <c r="R37" s="85" t="s">
        <v>68</v>
      </c>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516+20+3</f>
        <v>539</v>
      </c>
      <c r="L38" s="18">
        <f>516+20+3</f>
        <v>539</v>
      </c>
      <c r="M38" s="18">
        <f>74+2+3</f>
        <v>79</v>
      </c>
      <c r="N38" s="98"/>
      <c r="O38" s="19">
        <f t="shared" si="0"/>
        <v>460</v>
      </c>
      <c r="P38" s="22">
        <f>516+20+3</f>
        <v>539</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45267</v>
      </c>
      <c r="B39" s="87" t="s">
        <v>37</v>
      </c>
      <c r="C39" s="89">
        <v>1</v>
      </c>
      <c r="D39" s="91" t="s">
        <v>38</v>
      </c>
      <c r="E39" s="89">
        <v>84031</v>
      </c>
      <c r="F39" s="89" t="s">
        <v>49</v>
      </c>
      <c r="G39" s="93" t="s">
        <v>53</v>
      </c>
      <c r="H39" s="90" t="s">
        <v>39</v>
      </c>
      <c r="I39" s="90">
        <v>623</v>
      </c>
      <c r="J39" s="90">
        <v>623</v>
      </c>
      <c r="K39" s="20">
        <v>0</v>
      </c>
      <c r="L39" s="20">
        <v>0</v>
      </c>
      <c r="M39" s="20">
        <v>0</v>
      </c>
      <c r="N39" s="97">
        <f>O40/L40</f>
        <v>0.79710144927536231</v>
      </c>
      <c r="O39" s="21">
        <f t="shared" si="0"/>
        <v>0</v>
      </c>
      <c r="P39" s="27">
        <v>0</v>
      </c>
      <c r="Q39" s="99">
        <f>+L40-P40</f>
        <v>0</v>
      </c>
      <c r="R39" s="85" t="s">
        <v>68</v>
      </c>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574+9+30+5+3</f>
        <v>621</v>
      </c>
      <c r="L40" s="18">
        <f>574+9+30+5+3</f>
        <v>621</v>
      </c>
      <c r="M40" s="18">
        <f>109+9+5+3</f>
        <v>126</v>
      </c>
      <c r="N40" s="98"/>
      <c r="O40" s="19">
        <f t="shared" si="0"/>
        <v>495</v>
      </c>
      <c r="P40" s="22">
        <f>574+9+30+5+3</f>
        <v>621</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45267</v>
      </c>
      <c r="B41" s="87" t="s">
        <v>37</v>
      </c>
      <c r="C41" s="89">
        <v>1</v>
      </c>
      <c r="D41" s="91" t="s">
        <v>77</v>
      </c>
      <c r="E41" s="89">
        <v>20785</v>
      </c>
      <c r="F41" s="89" t="s">
        <v>76</v>
      </c>
      <c r="G41" s="93" t="s">
        <v>71</v>
      </c>
      <c r="H41" s="90" t="s">
        <v>70</v>
      </c>
      <c r="I41" s="90">
        <v>1475</v>
      </c>
      <c r="J41" s="90">
        <v>1475</v>
      </c>
      <c r="K41" s="20">
        <v>15</v>
      </c>
      <c r="L41" s="20">
        <v>30</v>
      </c>
      <c r="M41" s="20">
        <v>0</v>
      </c>
      <c r="N41" s="97">
        <f>O42/L42</f>
        <v>1</v>
      </c>
      <c r="O41" s="21">
        <f t="shared" si="0"/>
        <v>30</v>
      </c>
      <c r="P41" s="27">
        <v>6</v>
      </c>
      <c r="Q41" s="99">
        <f>+L42-P42</f>
        <v>40</v>
      </c>
      <c r="R41" s="85"/>
      <c r="S41" s="96"/>
      <c r="T41" s="96"/>
      <c r="U41" s="96">
        <v>2</v>
      </c>
      <c r="V41" s="96"/>
      <c r="W41" s="96"/>
      <c r="X41" s="96">
        <v>2</v>
      </c>
      <c r="Y41" s="96"/>
      <c r="Z41" s="96"/>
      <c r="AA41" s="96"/>
      <c r="AB41" s="96"/>
      <c r="AC41" s="96">
        <v>6</v>
      </c>
      <c r="AD41" s="96"/>
      <c r="AE41" s="96"/>
      <c r="AF41" s="96">
        <v>3</v>
      </c>
      <c r="AG41" s="96">
        <v>5</v>
      </c>
      <c r="AH41" s="96">
        <v>2</v>
      </c>
      <c r="AI41" s="96"/>
      <c r="AJ41" s="96"/>
      <c r="AK41" s="96"/>
      <c r="AL41" s="96">
        <v>10</v>
      </c>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26+20+20+15</f>
        <v>81</v>
      </c>
      <c r="L42" s="18">
        <f>26+10+30</f>
        <v>66</v>
      </c>
      <c r="M42" s="18">
        <v>0</v>
      </c>
      <c r="N42" s="98"/>
      <c r="O42" s="19">
        <f t="shared" si="0"/>
        <v>66</v>
      </c>
      <c r="P42" s="22">
        <f>10+10+6</f>
        <v>26</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s="17" customFormat="1" ht="15.75" customHeight="1">
      <c r="A43" s="108">
        <v>45267</v>
      </c>
      <c r="B43" s="87" t="s">
        <v>37</v>
      </c>
      <c r="C43" s="89">
        <v>1</v>
      </c>
      <c r="D43" s="91" t="s">
        <v>77</v>
      </c>
      <c r="E43" s="89">
        <v>20785</v>
      </c>
      <c r="F43" s="89" t="s">
        <v>76</v>
      </c>
      <c r="G43" s="93" t="s">
        <v>71</v>
      </c>
      <c r="H43" s="90" t="s">
        <v>75</v>
      </c>
      <c r="I43" s="90">
        <v>501</v>
      </c>
      <c r="J43" s="90">
        <v>501</v>
      </c>
      <c r="K43" s="20">
        <v>23</v>
      </c>
      <c r="L43" s="20">
        <v>5</v>
      </c>
      <c r="M43" s="20">
        <v>0</v>
      </c>
      <c r="N43" s="97">
        <f>O44/L44</f>
        <v>0.91666666666666663</v>
      </c>
      <c r="O43" s="21">
        <f t="shared" si="0"/>
        <v>5</v>
      </c>
      <c r="P43" s="27">
        <v>0</v>
      </c>
      <c r="Q43" s="99">
        <f>+L44-P44</f>
        <v>55</v>
      </c>
      <c r="R43" s="85"/>
      <c r="S43" s="96"/>
      <c r="T43" s="96">
        <v>2</v>
      </c>
      <c r="U43" s="96"/>
      <c r="V43" s="96"/>
      <c r="W43" s="96"/>
      <c r="X43" s="96"/>
      <c r="Y43" s="96"/>
      <c r="Z43" s="96"/>
      <c r="AA43" s="96"/>
      <c r="AB43" s="96"/>
      <c r="AC43" s="96">
        <v>3</v>
      </c>
      <c r="AD43" s="96"/>
      <c r="AE43" s="96"/>
      <c r="AF43" s="96"/>
      <c r="AG43" s="96"/>
      <c r="AH43" s="96"/>
      <c r="AI43" s="96"/>
      <c r="AJ43" s="96"/>
      <c r="AK43" s="96"/>
      <c r="AL43" s="96"/>
      <c r="AM43" s="103"/>
      <c r="AN43" s="103"/>
      <c r="AO43" s="103"/>
      <c r="AP43" s="103"/>
      <c r="AQ43" s="103"/>
      <c r="AR43" s="103"/>
      <c r="AS43" s="103"/>
      <c r="AT43" s="103"/>
      <c r="AU43" s="103"/>
      <c r="AV43" s="103"/>
      <c r="AW43" s="103"/>
      <c r="AX43" s="103"/>
      <c r="AY43" s="106"/>
      <c r="AZ43" s="106"/>
      <c r="BA43" s="106"/>
      <c r="BB43" s="106"/>
      <c r="BC43" s="106"/>
      <c r="BD43" s="106"/>
      <c r="BE43" s="103"/>
      <c r="BF43" s="104"/>
      <c r="BG43" s="104"/>
    </row>
    <row r="44" spans="1:59" s="17" customFormat="1" ht="15.75" customHeight="1">
      <c r="A44" s="85"/>
      <c r="B44" s="88"/>
      <c r="C44" s="90"/>
      <c r="D44" s="92"/>
      <c r="E44" s="90"/>
      <c r="F44" s="90"/>
      <c r="G44" s="94"/>
      <c r="H44" s="95"/>
      <c r="I44" s="95"/>
      <c r="J44" s="95"/>
      <c r="K44" s="22">
        <f>24+31+23</f>
        <v>78</v>
      </c>
      <c r="L44" s="18">
        <f>10+45+5</f>
        <v>60</v>
      </c>
      <c r="M44" s="18">
        <f>5</f>
        <v>5</v>
      </c>
      <c r="N44" s="98"/>
      <c r="O44" s="19">
        <f t="shared" si="0"/>
        <v>55</v>
      </c>
      <c r="P44" s="22">
        <f>5</f>
        <v>5</v>
      </c>
      <c r="Q44" s="100"/>
      <c r="R44" s="86"/>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7"/>
      <c r="AZ44" s="107"/>
      <c r="BA44" s="107"/>
      <c r="BB44" s="107"/>
      <c r="BC44" s="107"/>
      <c r="BD44" s="107"/>
      <c r="BE44" s="103"/>
      <c r="BF44" s="105"/>
      <c r="BG44" s="105"/>
    </row>
    <row r="45" spans="1:59" s="17" customFormat="1" ht="15.75" customHeight="1">
      <c r="A45" s="108">
        <v>45267</v>
      </c>
      <c r="B45" s="87" t="s">
        <v>37</v>
      </c>
      <c r="C45" s="89">
        <v>1</v>
      </c>
      <c r="D45" s="91" t="s">
        <v>77</v>
      </c>
      <c r="E45" s="89">
        <v>20785</v>
      </c>
      <c r="F45" s="89" t="s">
        <v>76</v>
      </c>
      <c r="G45" s="93" t="s">
        <v>71</v>
      </c>
      <c r="H45" s="90" t="s">
        <v>79</v>
      </c>
      <c r="I45" s="90">
        <v>826</v>
      </c>
      <c r="J45" s="90">
        <v>826</v>
      </c>
      <c r="K45" s="20">
        <v>8</v>
      </c>
      <c r="L45" s="20">
        <v>0</v>
      </c>
      <c r="M45" s="20">
        <v>0</v>
      </c>
      <c r="N45" s="97" t="e">
        <f>O46/L46</f>
        <v>#DIV/0!</v>
      </c>
      <c r="O45" s="21">
        <f t="shared" si="0"/>
        <v>0</v>
      </c>
      <c r="P45" s="27">
        <v>0</v>
      </c>
      <c r="Q45" s="99">
        <f>+L46-P46</f>
        <v>0</v>
      </c>
      <c r="R45" s="85"/>
      <c r="S45" s="96"/>
      <c r="T45" s="96"/>
      <c r="U45" s="96"/>
      <c r="V45" s="96"/>
      <c r="W45" s="96"/>
      <c r="X45" s="96"/>
      <c r="Y45" s="96"/>
      <c r="Z45" s="96"/>
      <c r="AA45" s="96"/>
      <c r="AB45" s="96"/>
      <c r="AC45" s="96"/>
      <c r="AD45" s="96"/>
      <c r="AE45" s="96"/>
      <c r="AF45" s="96"/>
      <c r="AG45" s="96"/>
      <c r="AH45" s="96"/>
      <c r="AI45" s="96"/>
      <c r="AJ45" s="96"/>
      <c r="AK45" s="96"/>
      <c r="AL45" s="96"/>
      <c r="AM45" s="103"/>
      <c r="AN45" s="103"/>
      <c r="AO45" s="103"/>
      <c r="AP45" s="103"/>
      <c r="AQ45" s="103"/>
      <c r="AR45" s="103"/>
      <c r="AS45" s="103"/>
      <c r="AT45" s="103"/>
      <c r="AU45" s="103"/>
      <c r="AV45" s="103"/>
      <c r="AW45" s="103"/>
      <c r="AX45" s="103"/>
      <c r="AY45" s="106"/>
      <c r="AZ45" s="106"/>
      <c r="BA45" s="106"/>
      <c r="BB45" s="106"/>
      <c r="BC45" s="106"/>
      <c r="BD45" s="106"/>
      <c r="BE45" s="103"/>
      <c r="BF45" s="104"/>
      <c r="BG45" s="104"/>
    </row>
    <row r="46" spans="1:59" s="17" customFormat="1" ht="15.75" customHeight="1">
      <c r="A46" s="85"/>
      <c r="B46" s="88"/>
      <c r="C46" s="90"/>
      <c r="D46" s="92"/>
      <c r="E46" s="90"/>
      <c r="F46" s="90"/>
      <c r="G46" s="94"/>
      <c r="H46" s="95"/>
      <c r="I46" s="95"/>
      <c r="J46" s="95"/>
      <c r="K46" s="22">
        <f>8</f>
        <v>8</v>
      </c>
      <c r="L46" s="18">
        <v>0</v>
      </c>
      <c r="M46" s="18">
        <v>0</v>
      </c>
      <c r="N46" s="98"/>
      <c r="O46" s="19">
        <f t="shared" si="0"/>
        <v>0</v>
      </c>
      <c r="P46" s="22">
        <v>0</v>
      </c>
      <c r="Q46" s="100"/>
      <c r="R46" s="86"/>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7"/>
      <c r="AZ46" s="107"/>
      <c r="BA46" s="107"/>
      <c r="BB46" s="107"/>
      <c r="BC46" s="107"/>
      <c r="BD46" s="107"/>
      <c r="BE46" s="103"/>
      <c r="BF46" s="105"/>
      <c r="BG46" s="105"/>
    </row>
    <row r="47" spans="1:59" ht="24.75" customHeight="1">
      <c r="A47" s="111" t="s">
        <v>15</v>
      </c>
      <c r="B47" s="112"/>
      <c r="C47" s="112"/>
      <c r="D47" s="112"/>
      <c r="E47" s="112"/>
      <c r="F47" s="112"/>
      <c r="G47" s="112"/>
      <c r="H47" s="112"/>
      <c r="I47" s="113"/>
      <c r="J47" s="5">
        <f>SUM(J5:J46)</f>
        <v>21920</v>
      </c>
      <c r="K47" s="5">
        <f>+SUMPRODUCT(((MOD(ROW(K5:K46),2)=1)*(K5:K46)))</f>
        <v>1207</v>
      </c>
      <c r="L47" s="5">
        <f>+SUMPRODUCT(((MOD(ROW(L5:L46),2)=1)*(L5:L46)))</f>
        <v>1508</v>
      </c>
      <c r="M47" s="5">
        <f>+SUMPRODUCT(((MOD(ROW(M5:M46),2)=1)*(M5:M46)))</f>
        <v>574</v>
      </c>
      <c r="N47" s="23">
        <f>O47/L47</f>
        <v>0.61936339522546424</v>
      </c>
      <c r="O47" s="5">
        <f>+SUMPRODUCT(((MOD(ROW(O5:O46),2)=1)*(O5:O46)))</f>
        <v>934</v>
      </c>
      <c r="P47" s="5">
        <f>+SUMPRODUCT(((MOD(ROW(P5:P46),2)=1)*(P5:P46)))</f>
        <v>1198</v>
      </c>
      <c r="Q47" s="5">
        <f>+SUMPRODUCT(((MOD(ROW(Q5:Q46),2)=1)*(Q5:Q46)))</f>
        <v>2675</v>
      </c>
      <c r="R47" s="29"/>
      <c r="S47" s="5">
        <f t="shared" ref="S47:BG47" si="1">SUM(S5:S46)</f>
        <v>113</v>
      </c>
      <c r="T47" s="5">
        <f t="shared" si="1"/>
        <v>139</v>
      </c>
      <c r="U47" s="5">
        <f t="shared" si="1"/>
        <v>35</v>
      </c>
      <c r="V47" s="5">
        <f t="shared" si="1"/>
        <v>0</v>
      </c>
      <c r="W47" s="5">
        <f t="shared" si="1"/>
        <v>0</v>
      </c>
      <c r="X47" s="5">
        <f t="shared" si="1"/>
        <v>13</v>
      </c>
      <c r="Y47" s="5">
        <f t="shared" si="1"/>
        <v>8</v>
      </c>
      <c r="Z47" s="5">
        <f t="shared" si="1"/>
        <v>0</v>
      </c>
      <c r="AA47" s="5">
        <f t="shared" si="1"/>
        <v>0</v>
      </c>
      <c r="AB47" s="5">
        <f t="shared" si="1"/>
        <v>0</v>
      </c>
      <c r="AC47" s="5">
        <f t="shared" si="1"/>
        <v>150</v>
      </c>
      <c r="AD47" s="5">
        <f t="shared" si="1"/>
        <v>10</v>
      </c>
      <c r="AE47" s="5">
        <f t="shared" si="1"/>
        <v>36</v>
      </c>
      <c r="AF47" s="5">
        <f t="shared" si="1"/>
        <v>108</v>
      </c>
      <c r="AG47" s="5">
        <f t="shared" si="1"/>
        <v>41</v>
      </c>
      <c r="AH47" s="5">
        <f t="shared" si="1"/>
        <v>124</v>
      </c>
      <c r="AI47" s="5">
        <f t="shared" si="1"/>
        <v>0</v>
      </c>
      <c r="AJ47" s="5">
        <f t="shared" si="1"/>
        <v>0</v>
      </c>
      <c r="AK47" s="5">
        <f t="shared" si="1"/>
        <v>0</v>
      </c>
      <c r="AL47" s="5">
        <f t="shared" si="1"/>
        <v>157</v>
      </c>
      <c r="AM47" s="5">
        <f t="shared" si="1"/>
        <v>0</v>
      </c>
      <c r="AN47" s="5">
        <f t="shared" si="1"/>
        <v>0</v>
      </c>
      <c r="AO47" s="5">
        <f t="shared" si="1"/>
        <v>0</v>
      </c>
      <c r="AP47" s="5">
        <f t="shared" si="1"/>
        <v>0</v>
      </c>
      <c r="AQ47" s="5">
        <f t="shared" si="1"/>
        <v>0</v>
      </c>
      <c r="AR47" s="5">
        <f t="shared" si="1"/>
        <v>0</v>
      </c>
      <c r="AS47" s="5">
        <f t="shared" si="1"/>
        <v>0</v>
      </c>
      <c r="AT47" s="5">
        <f t="shared" si="1"/>
        <v>0</v>
      </c>
      <c r="AU47" s="5">
        <f t="shared" si="1"/>
        <v>0</v>
      </c>
      <c r="AV47" s="5">
        <f t="shared" si="1"/>
        <v>0</v>
      </c>
      <c r="AW47" s="5">
        <f t="shared" si="1"/>
        <v>0</v>
      </c>
      <c r="AX47" s="5">
        <f t="shared" si="1"/>
        <v>0</v>
      </c>
      <c r="AY47" s="5">
        <f t="shared" si="1"/>
        <v>0</v>
      </c>
      <c r="AZ47" s="5">
        <f t="shared" si="1"/>
        <v>0</v>
      </c>
      <c r="BA47" s="5">
        <f t="shared" si="1"/>
        <v>0</v>
      </c>
      <c r="BB47" s="5">
        <f t="shared" si="1"/>
        <v>0</v>
      </c>
      <c r="BC47" s="5">
        <f t="shared" si="1"/>
        <v>0</v>
      </c>
      <c r="BD47" s="5">
        <f t="shared" si="1"/>
        <v>0</v>
      </c>
      <c r="BE47" s="5">
        <f t="shared" si="1"/>
        <v>0</v>
      </c>
      <c r="BF47" s="5">
        <f t="shared" si="1"/>
        <v>0</v>
      </c>
      <c r="BG47" s="5">
        <f t="shared" si="1"/>
        <v>0</v>
      </c>
    </row>
    <row r="48" spans="1:59" s="17" customFormat="1" ht="15.75" hidden="1" customHeight="1">
      <c r="A48" s="85"/>
      <c r="B48" s="87"/>
      <c r="C48" s="89"/>
      <c r="D48" s="91"/>
      <c r="E48" s="89"/>
      <c r="F48" s="89"/>
      <c r="G48" s="93"/>
      <c r="H48" s="90"/>
      <c r="I48" s="90"/>
      <c r="J48" s="90"/>
      <c r="K48" s="20"/>
      <c r="L48" s="20"/>
      <c r="M48" s="20"/>
      <c r="N48" s="97" t="e">
        <f>O49/L49</f>
        <v>#DIV/0!</v>
      </c>
      <c r="O48" s="21">
        <f>+L48-M48</f>
        <v>0</v>
      </c>
      <c r="P48" s="27">
        <v>0</v>
      </c>
      <c r="Q48" s="99">
        <f>+L49-P49</f>
        <v>0</v>
      </c>
      <c r="R48" s="169"/>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6"/>
      <c r="AZ48" s="106"/>
      <c r="BA48" s="106"/>
      <c r="BB48" s="106"/>
      <c r="BC48" s="106"/>
      <c r="BD48" s="106"/>
      <c r="BE48" s="103"/>
      <c r="BF48" s="104"/>
      <c r="BG48" s="104"/>
    </row>
    <row r="49" spans="1:59" s="17" customFormat="1" ht="15.75" hidden="1" customHeight="1">
      <c r="A49" s="86"/>
      <c r="B49" s="88"/>
      <c r="C49" s="90"/>
      <c r="D49" s="92"/>
      <c r="E49" s="90"/>
      <c r="F49" s="90"/>
      <c r="G49" s="94"/>
      <c r="H49" s="95"/>
      <c r="I49" s="95"/>
      <c r="J49" s="95"/>
      <c r="K49" s="22"/>
      <c r="L49" s="18"/>
      <c r="M49" s="18"/>
      <c r="N49" s="98"/>
      <c r="O49" s="19">
        <f>+L49-M49</f>
        <v>0</v>
      </c>
      <c r="P49" s="22">
        <v>0</v>
      </c>
      <c r="Q49" s="100"/>
      <c r="R49" s="86"/>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7"/>
      <c r="AZ49" s="107"/>
      <c r="BA49" s="107"/>
      <c r="BB49" s="107"/>
      <c r="BC49" s="107"/>
      <c r="BD49" s="107"/>
      <c r="BE49" s="103"/>
      <c r="BF49" s="105"/>
      <c r="BG49" s="105"/>
    </row>
    <row r="50" spans="1:59" s="17" customFormat="1" ht="15.75" hidden="1" customHeight="1">
      <c r="A50" s="101"/>
      <c r="B50" s="114"/>
      <c r="C50" s="116"/>
      <c r="D50" s="118"/>
      <c r="E50" s="116"/>
      <c r="F50" s="116"/>
      <c r="G50" s="120"/>
      <c r="H50" s="90"/>
      <c r="I50" s="90"/>
      <c r="J50" s="90"/>
      <c r="K50" s="20"/>
      <c r="L50" s="20"/>
      <c r="M50" s="20"/>
      <c r="N50" s="97"/>
      <c r="O50" s="21"/>
      <c r="P50" s="27"/>
      <c r="Q50" s="99"/>
      <c r="R50" s="110"/>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6"/>
      <c r="AZ50" s="106"/>
      <c r="BA50" s="106"/>
      <c r="BB50" s="106"/>
      <c r="BC50" s="106"/>
      <c r="BD50" s="106"/>
      <c r="BE50" s="103"/>
      <c r="BF50" s="104"/>
      <c r="BG50" s="104"/>
    </row>
    <row r="51" spans="1:59" s="17" customFormat="1" ht="15.75" hidden="1" customHeight="1">
      <c r="A51" s="102"/>
      <c r="B51" s="115"/>
      <c r="C51" s="117"/>
      <c r="D51" s="119"/>
      <c r="E51" s="117"/>
      <c r="F51" s="117"/>
      <c r="G51" s="121"/>
      <c r="H51" s="95"/>
      <c r="I51" s="95"/>
      <c r="J51" s="95"/>
      <c r="K51" s="22"/>
      <c r="L51" s="18"/>
      <c r="M51" s="18"/>
      <c r="N51" s="98"/>
      <c r="O51" s="19"/>
      <c r="P51" s="22"/>
      <c r="Q51" s="100"/>
      <c r="R51" s="102"/>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7"/>
      <c r="AZ51" s="107"/>
      <c r="BA51" s="107"/>
      <c r="BB51" s="107"/>
      <c r="BC51" s="107"/>
      <c r="BD51" s="107"/>
      <c r="BE51" s="103"/>
      <c r="BF51" s="105"/>
      <c r="BG51" s="105"/>
    </row>
    <row r="52" spans="1:59" s="17" customFormat="1" ht="15.75" hidden="1" customHeight="1">
      <c r="A52" s="101"/>
      <c r="B52" s="114"/>
      <c r="C52" s="116"/>
      <c r="D52" s="118"/>
      <c r="E52" s="116"/>
      <c r="F52" s="116"/>
      <c r="G52" s="120"/>
      <c r="H52" s="90"/>
      <c r="I52" s="90"/>
      <c r="J52" s="90"/>
      <c r="K52" s="20"/>
      <c r="L52" s="20"/>
      <c r="M52" s="20"/>
      <c r="N52" s="97"/>
      <c r="O52" s="21"/>
      <c r="P52" s="27"/>
      <c r="Q52" s="99"/>
      <c r="R52" s="110"/>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6"/>
      <c r="AZ52" s="106"/>
      <c r="BA52" s="106"/>
      <c r="BB52" s="106"/>
      <c r="BC52" s="106"/>
      <c r="BD52" s="106"/>
      <c r="BE52" s="103"/>
      <c r="BF52" s="104"/>
      <c r="BG52" s="104"/>
    </row>
    <row r="53" spans="1:59" s="17" customFormat="1" ht="15.75" hidden="1" customHeight="1">
      <c r="A53" s="102"/>
      <c r="B53" s="115"/>
      <c r="C53" s="117"/>
      <c r="D53" s="119"/>
      <c r="E53" s="117"/>
      <c r="F53" s="117"/>
      <c r="G53" s="121"/>
      <c r="H53" s="95"/>
      <c r="I53" s="95"/>
      <c r="J53" s="95"/>
      <c r="K53" s="22"/>
      <c r="L53" s="18"/>
      <c r="M53" s="18"/>
      <c r="N53" s="98"/>
      <c r="O53" s="19"/>
      <c r="P53" s="22"/>
      <c r="Q53" s="100"/>
      <c r="R53" s="102"/>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7"/>
      <c r="AZ53" s="107"/>
      <c r="BA53" s="107"/>
      <c r="BB53" s="107"/>
      <c r="BC53" s="107"/>
      <c r="BD53" s="107"/>
      <c r="BE53" s="103"/>
      <c r="BF53" s="105"/>
      <c r="BG53" s="105"/>
    </row>
    <row r="54" spans="1:59" ht="24.75" hidden="1" customHeight="1">
      <c r="A54" s="111" t="s">
        <v>48</v>
      </c>
      <c r="B54" s="112"/>
      <c r="C54" s="112"/>
      <c r="D54" s="112"/>
      <c r="E54" s="112"/>
      <c r="F54" s="112"/>
      <c r="G54" s="112"/>
      <c r="H54" s="112"/>
      <c r="I54" s="113"/>
      <c r="J54" s="5">
        <f>SUM(J48:J53)</f>
        <v>0</v>
      </c>
      <c r="K54" s="5">
        <f>+SUMPRODUCT(((MOD(ROW(K48:K53),2)=0)*(K48:K53)))</f>
        <v>0</v>
      </c>
      <c r="L54" s="5">
        <f>+SUMPRODUCT(((MOD(ROW(L48:L53),2)=0)*(L48:L53)))</f>
        <v>0</v>
      </c>
      <c r="M54" s="5">
        <f>+SUMPRODUCT(((MOD(ROW(M48:M53),2)=0)*(M48:M53)))</f>
        <v>0</v>
      </c>
      <c r="N54" s="23" t="e">
        <f>O54/L54</f>
        <v>#DIV/0!</v>
      </c>
      <c r="O54" s="5">
        <f>+SUMPRODUCT(((MOD(ROW(O48:O53),2)=0)*(O48:O53)))</f>
        <v>0</v>
      </c>
      <c r="P54" s="5">
        <f>+SUMPRODUCT(((MOD(ROW(P48:P53),2)=0)*(P48:P53)))</f>
        <v>0</v>
      </c>
      <c r="Q54" s="29">
        <f>SUM(Q48:Q53)</f>
        <v>0</v>
      </c>
      <c r="R54" s="29"/>
      <c r="S54" s="5">
        <f t="shared" ref="S54:BG54" si="2">SUM(S48:S53)</f>
        <v>0</v>
      </c>
      <c r="T54" s="5">
        <f t="shared" si="2"/>
        <v>0</v>
      </c>
      <c r="U54" s="5">
        <f t="shared" si="2"/>
        <v>0</v>
      </c>
      <c r="V54" s="5">
        <f t="shared" si="2"/>
        <v>0</v>
      </c>
      <c r="W54" s="5">
        <f t="shared" si="2"/>
        <v>0</v>
      </c>
      <c r="X54" s="5">
        <f t="shared" si="2"/>
        <v>0</v>
      </c>
      <c r="Y54" s="5">
        <f t="shared" si="2"/>
        <v>0</v>
      </c>
      <c r="Z54" s="5">
        <f t="shared" si="2"/>
        <v>0</v>
      </c>
      <c r="AA54" s="5">
        <f t="shared" si="2"/>
        <v>0</v>
      </c>
      <c r="AB54" s="5">
        <f t="shared" si="2"/>
        <v>0</v>
      </c>
      <c r="AC54" s="5">
        <f t="shared" si="2"/>
        <v>0</v>
      </c>
      <c r="AD54" s="5">
        <f t="shared" si="2"/>
        <v>0</v>
      </c>
      <c r="AE54" s="5">
        <f t="shared" si="2"/>
        <v>0</v>
      </c>
      <c r="AF54" s="5">
        <f t="shared" si="2"/>
        <v>0</v>
      </c>
      <c r="AG54" s="5">
        <f t="shared" si="2"/>
        <v>0</v>
      </c>
      <c r="AH54" s="5">
        <f t="shared" si="2"/>
        <v>0</v>
      </c>
      <c r="AI54" s="5">
        <f t="shared" si="2"/>
        <v>0</v>
      </c>
      <c r="AJ54" s="5">
        <f t="shared" si="2"/>
        <v>0</v>
      </c>
      <c r="AK54" s="5">
        <f t="shared" si="2"/>
        <v>0</v>
      </c>
      <c r="AL54" s="5">
        <f t="shared" si="2"/>
        <v>0</v>
      </c>
      <c r="AM54" s="5">
        <f t="shared" si="2"/>
        <v>0</v>
      </c>
      <c r="AN54" s="5">
        <f t="shared" si="2"/>
        <v>0</v>
      </c>
      <c r="AO54" s="5">
        <f t="shared" si="2"/>
        <v>0</v>
      </c>
      <c r="AP54" s="5">
        <f t="shared" si="2"/>
        <v>0</v>
      </c>
      <c r="AQ54" s="5">
        <f t="shared" si="2"/>
        <v>0</v>
      </c>
      <c r="AR54" s="5">
        <f t="shared" si="2"/>
        <v>0</v>
      </c>
      <c r="AS54" s="5">
        <f t="shared" si="2"/>
        <v>0</v>
      </c>
      <c r="AT54" s="5">
        <f t="shared" si="2"/>
        <v>0</v>
      </c>
      <c r="AU54" s="5">
        <f t="shared" si="2"/>
        <v>0</v>
      </c>
      <c r="AV54" s="5">
        <f t="shared" si="2"/>
        <v>0</v>
      </c>
      <c r="AW54" s="5">
        <f t="shared" si="2"/>
        <v>0</v>
      </c>
      <c r="AX54" s="5">
        <f t="shared" si="2"/>
        <v>0</v>
      </c>
      <c r="AY54" s="5">
        <f t="shared" si="2"/>
        <v>0</v>
      </c>
      <c r="AZ54" s="5">
        <f t="shared" si="2"/>
        <v>0</v>
      </c>
      <c r="BA54" s="5">
        <f t="shared" si="2"/>
        <v>0</v>
      </c>
      <c r="BB54" s="5">
        <f t="shared" si="2"/>
        <v>0</v>
      </c>
      <c r="BC54" s="5">
        <f t="shared" si="2"/>
        <v>0</v>
      </c>
      <c r="BD54" s="5">
        <f t="shared" si="2"/>
        <v>0</v>
      </c>
      <c r="BE54" s="5">
        <f t="shared" si="2"/>
        <v>0</v>
      </c>
      <c r="BF54" s="5">
        <f t="shared" si="2"/>
        <v>0</v>
      </c>
      <c r="BG54" s="5">
        <f t="shared" si="2"/>
        <v>0</v>
      </c>
    </row>
    <row r="55" spans="1:59" s="17" customFormat="1" ht="15.75" hidden="1" customHeight="1">
      <c r="A55" s="85"/>
      <c r="B55" s="87"/>
      <c r="C55" s="89"/>
      <c r="D55" s="91"/>
      <c r="E55" s="89"/>
      <c r="F55" s="89"/>
      <c r="G55" s="93"/>
      <c r="H55" s="90"/>
      <c r="I55" s="90"/>
      <c r="J55" s="90"/>
      <c r="K55" s="20"/>
      <c r="L55" s="20"/>
      <c r="M55" s="20"/>
      <c r="N55" s="97"/>
      <c r="O55" s="21"/>
      <c r="P55" s="27"/>
      <c r="Q55" s="99"/>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86"/>
      <c r="B56" s="88"/>
      <c r="C56" s="90"/>
      <c r="D56" s="92"/>
      <c r="E56" s="90"/>
      <c r="F56" s="90"/>
      <c r="G56" s="94"/>
      <c r="H56" s="95"/>
      <c r="I56" s="95"/>
      <c r="J56" s="95"/>
      <c r="K56" s="22"/>
      <c r="L56" s="18"/>
      <c r="M56" s="18"/>
      <c r="N56" s="98"/>
      <c r="O56" s="19"/>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ref="O57:O64" si="3">L57-M57</f>
        <v>0</v>
      </c>
      <c r="P57" s="27"/>
      <c r="Q57" s="99">
        <f>+L58-P58</f>
        <v>0</v>
      </c>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90"/>
      <c r="I59" s="90"/>
      <c r="J59" s="90"/>
      <c r="K59" s="20"/>
      <c r="L59" s="20"/>
      <c r="M59" s="20"/>
      <c r="N59" s="97" t="e">
        <f>O60/L60</f>
        <v>#DIV/0!</v>
      </c>
      <c r="O59" s="21">
        <f t="shared" si="3"/>
        <v>0</v>
      </c>
      <c r="P59" s="27"/>
      <c r="Q59" s="99">
        <f>+L60-P60</f>
        <v>0</v>
      </c>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8"/>
      <c r="F61" s="116"/>
      <c r="G61" s="120"/>
      <c r="H61" s="90"/>
      <c r="I61" s="90"/>
      <c r="J61" s="90"/>
      <c r="K61" s="20"/>
      <c r="L61" s="20"/>
      <c r="M61" s="20"/>
      <c r="N61" s="97" t="e">
        <f>O62/L62</f>
        <v>#DIV/0!</v>
      </c>
      <c r="O61" s="21">
        <f t="shared" si="3"/>
        <v>0</v>
      </c>
      <c r="P61" s="27"/>
      <c r="Q61" s="99">
        <f>+L62-P62</f>
        <v>0</v>
      </c>
      <c r="R61" s="110"/>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9"/>
      <c r="F62" s="117"/>
      <c r="G62" s="121"/>
      <c r="H62" s="95"/>
      <c r="I62" s="95"/>
      <c r="J62" s="95"/>
      <c r="K62" s="22"/>
      <c r="L62" s="18"/>
      <c r="M62" s="18"/>
      <c r="N62" s="98"/>
      <c r="O62" s="19">
        <f t="shared" si="3"/>
        <v>0</v>
      </c>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s="17" customFormat="1" ht="15.75" hidden="1" customHeight="1">
      <c r="A63" s="101"/>
      <c r="B63" s="114"/>
      <c r="C63" s="116"/>
      <c r="D63" s="118"/>
      <c r="E63" s="118"/>
      <c r="F63" s="116"/>
      <c r="G63" s="120"/>
      <c r="H63" s="109"/>
      <c r="I63" s="90"/>
      <c r="J63" s="90"/>
      <c r="K63" s="20"/>
      <c r="L63" s="20"/>
      <c r="M63" s="20"/>
      <c r="N63" s="97" t="e">
        <f>O64/L64</f>
        <v>#DIV/0!</v>
      </c>
      <c r="O63" s="21">
        <f t="shared" si="3"/>
        <v>0</v>
      </c>
      <c r="P63" s="27"/>
      <c r="Q63" s="99">
        <f>+L64-P64</f>
        <v>0</v>
      </c>
      <c r="R63" s="110"/>
      <c r="S63" s="96"/>
      <c r="T63" s="96"/>
      <c r="U63" s="96"/>
      <c r="V63" s="96"/>
      <c r="W63" s="96"/>
      <c r="X63" s="96"/>
      <c r="Y63" s="96"/>
      <c r="Z63" s="96"/>
      <c r="AA63" s="96"/>
      <c r="AB63" s="96"/>
      <c r="AC63" s="96"/>
      <c r="AD63" s="96"/>
      <c r="AE63" s="96"/>
      <c r="AF63" s="96"/>
      <c r="AG63" s="96"/>
      <c r="AH63" s="96"/>
      <c r="AI63" s="96"/>
      <c r="AJ63" s="96"/>
      <c r="AK63" s="96"/>
      <c r="AL63" s="96"/>
      <c r="AM63" s="103"/>
      <c r="AN63" s="103"/>
      <c r="AO63" s="103"/>
      <c r="AP63" s="103"/>
      <c r="AQ63" s="103"/>
      <c r="AR63" s="103"/>
      <c r="AS63" s="103"/>
      <c r="AT63" s="103"/>
      <c r="AU63" s="103"/>
      <c r="AV63" s="103"/>
      <c r="AW63" s="103"/>
      <c r="AX63" s="103"/>
      <c r="AY63" s="106"/>
      <c r="AZ63" s="106"/>
      <c r="BA63" s="106"/>
      <c r="BB63" s="106"/>
      <c r="BC63" s="106"/>
      <c r="BD63" s="106"/>
      <c r="BE63" s="103"/>
      <c r="BF63" s="104"/>
      <c r="BG63" s="104"/>
    </row>
    <row r="64" spans="1:59" s="17" customFormat="1" ht="15.75" hidden="1" customHeight="1">
      <c r="A64" s="102"/>
      <c r="B64" s="115"/>
      <c r="C64" s="117"/>
      <c r="D64" s="119"/>
      <c r="E64" s="119"/>
      <c r="F64" s="117"/>
      <c r="G64" s="121"/>
      <c r="H64" s="95"/>
      <c r="I64" s="95"/>
      <c r="J64" s="95"/>
      <c r="K64" s="22"/>
      <c r="L64" s="18"/>
      <c r="M64" s="18"/>
      <c r="N64" s="98"/>
      <c r="O64" s="19">
        <f t="shared" si="3"/>
        <v>0</v>
      </c>
      <c r="P64" s="22"/>
      <c r="Q64" s="100"/>
      <c r="R64" s="102"/>
      <c r="S64" s="96"/>
      <c r="T64" s="96"/>
      <c r="U64" s="96"/>
      <c r="V64" s="96"/>
      <c r="W64" s="96"/>
      <c r="X64" s="96"/>
      <c r="Y64" s="96"/>
      <c r="Z64" s="96"/>
      <c r="AA64" s="96"/>
      <c r="AB64" s="96"/>
      <c r="AC64" s="96"/>
      <c r="AD64" s="96"/>
      <c r="AE64" s="96"/>
      <c r="AF64" s="96"/>
      <c r="AG64" s="96"/>
      <c r="AH64" s="96"/>
      <c r="AI64" s="96"/>
      <c r="AJ64" s="96"/>
      <c r="AK64" s="96"/>
      <c r="AL64" s="96"/>
      <c r="AM64" s="103"/>
      <c r="AN64" s="103"/>
      <c r="AO64" s="103"/>
      <c r="AP64" s="103"/>
      <c r="AQ64" s="103"/>
      <c r="AR64" s="103"/>
      <c r="AS64" s="103"/>
      <c r="AT64" s="103"/>
      <c r="AU64" s="103"/>
      <c r="AV64" s="103"/>
      <c r="AW64" s="103"/>
      <c r="AX64" s="103"/>
      <c r="AY64" s="107"/>
      <c r="AZ64" s="107"/>
      <c r="BA64" s="107"/>
      <c r="BB64" s="107"/>
      <c r="BC64" s="107"/>
      <c r="BD64" s="107"/>
      <c r="BE64" s="103"/>
      <c r="BF64" s="105"/>
      <c r="BG64" s="105"/>
    </row>
    <row r="65" spans="1:59" s="17" customFormat="1" ht="15.75" hidden="1" customHeight="1">
      <c r="A65" s="101"/>
      <c r="B65" s="114"/>
      <c r="C65" s="116"/>
      <c r="D65" s="118"/>
      <c r="E65" s="116"/>
      <c r="F65" s="116"/>
      <c r="G65" s="120"/>
      <c r="H65" s="90"/>
      <c r="I65" s="90"/>
      <c r="J65" s="90"/>
      <c r="K65" s="20"/>
      <c r="L65" s="20"/>
      <c r="M65" s="20"/>
      <c r="N65" s="97" t="e">
        <f>O66/L66</f>
        <v>#DIV/0!</v>
      </c>
      <c r="O65" s="21"/>
      <c r="P65" s="27"/>
      <c r="Q65" s="99"/>
      <c r="R65" s="110"/>
      <c r="S65" s="96"/>
      <c r="T65" s="96"/>
      <c r="U65" s="96"/>
      <c r="V65" s="96"/>
      <c r="W65" s="96"/>
      <c r="X65" s="96"/>
      <c r="Y65" s="96"/>
      <c r="Z65" s="96"/>
      <c r="AA65" s="96"/>
      <c r="AB65" s="96"/>
      <c r="AC65" s="96"/>
      <c r="AD65" s="96"/>
      <c r="AE65" s="96"/>
      <c r="AF65" s="96"/>
      <c r="AG65" s="96"/>
      <c r="AH65" s="96"/>
      <c r="AI65" s="96"/>
      <c r="AJ65" s="96"/>
      <c r="AK65" s="96"/>
      <c r="AL65" s="96"/>
      <c r="AM65" s="103"/>
      <c r="AN65" s="103"/>
      <c r="AO65" s="103"/>
      <c r="AP65" s="103"/>
      <c r="AQ65" s="103"/>
      <c r="AR65" s="103"/>
      <c r="AS65" s="103"/>
      <c r="AT65" s="103"/>
      <c r="AU65" s="103"/>
      <c r="AV65" s="103"/>
      <c r="AW65" s="103"/>
      <c r="AX65" s="103"/>
      <c r="AY65" s="106"/>
      <c r="AZ65" s="106"/>
      <c r="BA65" s="106"/>
      <c r="BB65" s="106"/>
      <c r="BC65" s="106"/>
      <c r="BD65" s="106"/>
      <c r="BE65" s="103"/>
      <c r="BF65" s="104"/>
      <c r="BG65" s="104"/>
    </row>
    <row r="66" spans="1:59" s="17" customFormat="1" ht="15.75" hidden="1" customHeight="1">
      <c r="A66" s="102"/>
      <c r="B66" s="115"/>
      <c r="C66" s="117"/>
      <c r="D66" s="119"/>
      <c r="E66" s="117"/>
      <c r="F66" s="117"/>
      <c r="G66" s="121"/>
      <c r="H66" s="95"/>
      <c r="I66" s="95"/>
      <c r="J66" s="95"/>
      <c r="K66" s="22"/>
      <c r="L66" s="18"/>
      <c r="M66" s="18"/>
      <c r="N66" s="98"/>
      <c r="O66" s="19"/>
      <c r="P66" s="22"/>
      <c r="Q66" s="100"/>
      <c r="R66" s="102"/>
      <c r="S66" s="96"/>
      <c r="T66" s="96"/>
      <c r="U66" s="96"/>
      <c r="V66" s="96"/>
      <c r="W66" s="96"/>
      <c r="X66" s="96"/>
      <c r="Y66" s="96"/>
      <c r="Z66" s="96"/>
      <c r="AA66" s="96"/>
      <c r="AB66" s="96"/>
      <c r="AC66" s="96"/>
      <c r="AD66" s="96"/>
      <c r="AE66" s="96"/>
      <c r="AF66" s="96"/>
      <c r="AG66" s="96"/>
      <c r="AH66" s="96"/>
      <c r="AI66" s="96"/>
      <c r="AJ66" s="96"/>
      <c r="AK66" s="96"/>
      <c r="AL66" s="96"/>
      <c r="AM66" s="103"/>
      <c r="AN66" s="103"/>
      <c r="AO66" s="103"/>
      <c r="AP66" s="103"/>
      <c r="AQ66" s="103"/>
      <c r="AR66" s="103"/>
      <c r="AS66" s="103"/>
      <c r="AT66" s="103"/>
      <c r="AU66" s="103"/>
      <c r="AV66" s="103"/>
      <c r="AW66" s="103"/>
      <c r="AX66" s="103"/>
      <c r="AY66" s="107"/>
      <c r="AZ66" s="107"/>
      <c r="BA66" s="107"/>
      <c r="BB66" s="107"/>
      <c r="BC66" s="107"/>
      <c r="BD66" s="107"/>
      <c r="BE66" s="103"/>
      <c r="BF66" s="105"/>
      <c r="BG66" s="105"/>
    </row>
    <row r="67" spans="1:59" ht="24.75" hidden="1" customHeight="1">
      <c r="A67" s="111" t="s">
        <v>74</v>
      </c>
      <c r="B67" s="112"/>
      <c r="C67" s="112"/>
      <c r="D67" s="112"/>
      <c r="E67" s="112"/>
      <c r="F67" s="112"/>
      <c r="G67" s="112"/>
      <c r="H67" s="112"/>
      <c r="I67" s="113"/>
      <c r="J67" s="5">
        <f>+SUMPRODUCT(((MOD(ROW(J55:J66),2)=1)*(J55:J66)))</f>
        <v>0</v>
      </c>
      <c r="K67" s="5">
        <f>+SUMPRODUCT(((MOD(ROW(K55:K66),2)=1)*(K55:K66)))</f>
        <v>0</v>
      </c>
      <c r="L67" s="5">
        <f>+SUMPRODUCT(((MOD(ROW(L55:L66),2)=1)*(L55:L66)))</f>
        <v>0</v>
      </c>
      <c r="M67" s="5">
        <f>+SUMPRODUCT(((MOD(ROW(M55:M66),2)=1)*(M55:M66)))</f>
        <v>0</v>
      </c>
      <c r="N67" s="23" t="e">
        <f>O67/L67</f>
        <v>#DIV/0!</v>
      </c>
      <c r="O67" s="5">
        <f>+SUMPRODUCT(((MOD(ROW(O55:O66),2)=1)*(O55:O66)))</f>
        <v>0</v>
      </c>
      <c r="P67" s="5">
        <f>+SUMPRODUCT(((MOD(ROW(P55:P66),2)=1)*(P55:P66)))</f>
        <v>0</v>
      </c>
      <c r="Q67" s="29">
        <f>SUM(Q55:Q66)</f>
        <v>0</v>
      </c>
      <c r="R67" s="29"/>
      <c r="S67" s="5">
        <f t="shared" ref="S67:BG67" si="4">SUM(S55:S66)</f>
        <v>0</v>
      </c>
      <c r="T67" s="5">
        <f t="shared" si="4"/>
        <v>0</v>
      </c>
      <c r="U67" s="5">
        <f t="shared" si="4"/>
        <v>0</v>
      </c>
      <c r="V67" s="5">
        <f t="shared" si="4"/>
        <v>0</v>
      </c>
      <c r="W67" s="5">
        <f t="shared" si="4"/>
        <v>0</v>
      </c>
      <c r="X67" s="5">
        <f t="shared" si="4"/>
        <v>0</v>
      </c>
      <c r="Y67" s="5">
        <f t="shared" si="4"/>
        <v>0</v>
      </c>
      <c r="Z67" s="5">
        <f t="shared" si="4"/>
        <v>0</v>
      </c>
      <c r="AA67" s="5">
        <f t="shared" si="4"/>
        <v>0</v>
      </c>
      <c r="AB67" s="5">
        <f t="shared" si="4"/>
        <v>0</v>
      </c>
      <c r="AC67" s="5">
        <f t="shared" si="4"/>
        <v>0</v>
      </c>
      <c r="AD67" s="5">
        <f t="shared" si="4"/>
        <v>0</v>
      </c>
      <c r="AE67" s="5">
        <f t="shared" si="4"/>
        <v>0</v>
      </c>
      <c r="AF67" s="5">
        <f t="shared" si="4"/>
        <v>0</v>
      </c>
      <c r="AG67" s="5">
        <f t="shared" si="4"/>
        <v>0</v>
      </c>
      <c r="AH67" s="5">
        <f t="shared" si="4"/>
        <v>0</v>
      </c>
      <c r="AI67" s="5">
        <f t="shared" si="4"/>
        <v>0</v>
      </c>
      <c r="AJ67" s="5">
        <f t="shared" si="4"/>
        <v>0</v>
      </c>
      <c r="AK67" s="5">
        <f t="shared" si="4"/>
        <v>0</v>
      </c>
      <c r="AL67" s="5">
        <f t="shared" si="4"/>
        <v>0</v>
      </c>
      <c r="AM67" s="5">
        <f t="shared" si="4"/>
        <v>0</v>
      </c>
      <c r="AN67" s="5">
        <f t="shared" si="4"/>
        <v>0</v>
      </c>
      <c r="AO67" s="5">
        <f t="shared" si="4"/>
        <v>0</v>
      </c>
      <c r="AP67" s="5">
        <f t="shared" si="4"/>
        <v>0</v>
      </c>
      <c r="AQ67" s="5">
        <f t="shared" si="4"/>
        <v>0</v>
      </c>
      <c r="AR67" s="5">
        <f t="shared" si="4"/>
        <v>0</v>
      </c>
      <c r="AS67" s="5">
        <f t="shared" si="4"/>
        <v>0</v>
      </c>
      <c r="AT67" s="5">
        <f t="shared" si="4"/>
        <v>0</v>
      </c>
      <c r="AU67" s="5">
        <f t="shared" si="4"/>
        <v>0</v>
      </c>
      <c r="AV67" s="5">
        <f t="shared" si="4"/>
        <v>0</v>
      </c>
      <c r="AW67" s="5">
        <f t="shared" si="4"/>
        <v>0</v>
      </c>
      <c r="AX67" s="5">
        <f t="shared" si="4"/>
        <v>0</v>
      </c>
      <c r="AY67" s="5">
        <f t="shared" si="4"/>
        <v>0</v>
      </c>
      <c r="AZ67" s="5">
        <f t="shared" si="4"/>
        <v>0</v>
      </c>
      <c r="BA67" s="5">
        <f t="shared" si="4"/>
        <v>0</v>
      </c>
      <c r="BB67" s="5">
        <f t="shared" si="4"/>
        <v>0</v>
      </c>
      <c r="BC67" s="5">
        <f t="shared" si="4"/>
        <v>0</v>
      </c>
      <c r="BD67" s="5">
        <f t="shared" si="4"/>
        <v>0</v>
      </c>
      <c r="BE67" s="5">
        <f t="shared" si="4"/>
        <v>0</v>
      </c>
      <c r="BF67" s="5">
        <f t="shared" si="4"/>
        <v>0</v>
      </c>
      <c r="BG67" s="5">
        <f t="shared" si="4"/>
        <v>0</v>
      </c>
    </row>
    <row r="68" spans="1:59" ht="24.75" customHeight="1">
      <c r="A68" s="122" t="s">
        <v>5</v>
      </c>
      <c r="B68" s="122"/>
      <c r="C68" s="122"/>
      <c r="D68" s="122"/>
      <c r="E68" s="122"/>
      <c r="F68" s="122"/>
      <c r="G68" s="122"/>
      <c r="H68" s="122"/>
      <c r="I68" s="122"/>
      <c r="J68" s="30">
        <f>J47+J67+J54</f>
        <v>21920</v>
      </c>
      <c r="K68" s="44">
        <f>K47+K54+K67</f>
        <v>1207</v>
      </c>
      <c r="L68" s="44">
        <f>L47+L54+L67</f>
        <v>1508</v>
      </c>
      <c r="M68" s="44">
        <f>M47+M54+M67</f>
        <v>574</v>
      </c>
      <c r="N68" s="32">
        <f>N47</f>
        <v>0.61936339522546424</v>
      </c>
      <c r="O68" s="44">
        <f>O47+O54+O67</f>
        <v>934</v>
      </c>
      <c r="P68" s="44">
        <f>P47+P54+P67</f>
        <v>1198</v>
      </c>
      <c r="Q68" s="44">
        <f>Q47+Q54+Q67</f>
        <v>2675</v>
      </c>
      <c r="R68" s="44"/>
      <c r="S68" s="44">
        <f t="shared" ref="S68:BG68" si="5">S47+S54+S67</f>
        <v>113</v>
      </c>
      <c r="T68" s="44">
        <f t="shared" si="5"/>
        <v>139</v>
      </c>
      <c r="U68" s="44">
        <f t="shared" si="5"/>
        <v>35</v>
      </c>
      <c r="V68" s="44">
        <f t="shared" si="5"/>
        <v>0</v>
      </c>
      <c r="W68" s="44">
        <f t="shared" si="5"/>
        <v>0</v>
      </c>
      <c r="X68" s="44">
        <f t="shared" si="5"/>
        <v>13</v>
      </c>
      <c r="Y68" s="44">
        <f t="shared" si="5"/>
        <v>8</v>
      </c>
      <c r="Z68" s="44">
        <f t="shared" si="5"/>
        <v>0</v>
      </c>
      <c r="AA68" s="44">
        <f t="shared" si="5"/>
        <v>0</v>
      </c>
      <c r="AB68" s="44">
        <f t="shared" si="5"/>
        <v>0</v>
      </c>
      <c r="AC68" s="44">
        <f t="shared" si="5"/>
        <v>150</v>
      </c>
      <c r="AD68" s="44">
        <f t="shared" si="5"/>
        <v>10</v>
      </c>
      <c r="AE68" s="44">
        <f t="shared" si="5"/>
        <v>36</v>
      </c>
      <c r="AF68" s="44">
        <f t="shared" si="5"/>
        <v>108</v>
      </c>
      <c r="AG68" s="44">
        <f t="shared" si="5"/>
        <v>41</v>
      </c>
      <c r="AH68" s="44">
        <f t="shared" si="5"/>
        <v>124</v>
      </c>
      <c r="AI68" s="44">
        <f t="shared" si="5"/>
        <v>0</v>
      </c>
      <c r="AJ68" s="44">
        <f t="shared" si="5"/>
        <v>0</v>
      </c>
      <c r="AK68" s="44">
        <f t="shared" si="5"/>
        <v>0</v>
      </c>
      <c r="AL68" s="44">
        <f t="shared" si="5"/>
        <v>157</v>
      </c>
      <c r="AM68" s="44">
        <f t="shared" si="5"/>
        <v>0</v>
      </c>
      <c r="AN68" s="44">
        <f t="shared" si="5"/>
        <v>0</v>
      </c>
      <c r="AO68" s="44">
        <f t="shared" si="5"/>
        <v>0</v>
      </c>
      <c r="AP68" s="44">
        <f t="shared" si="5"/>
        <v>0</v>
      </c>
      <c r="AQ68" s="44">
        <f t="shared" si="5"/>
        <v>0</v>
      </c>
      <c r="AR68" s="44">
        <f t="shared" si="5"/>
        <v>0</v>
      </c>
      <c r="AS68" s="44">
        <f t="shared" si="5"/>
        <v>0</v>
      </c>
      <c r="AT68" s="44">
        <f t="shared" si="5"/>
        <v>0</v>
      </c>
      <c r="AU68" s="44">
        <f t="shared" si="5"/>
        <v>0</v>
      </c>
      <c r="AV68" s="44">
        <f t="shared" si="5"/>
        <v>0</v>
      </c>
      <c r="AW68" s="44">
        <f t="shared" si="5"/>
        <v>0</v>
      </c>
      <c r="AX68" s="44">
        <f t="shared" si="5"/>
        <v>0</v>
      </c>
      <c r="AY68" s="44">
        <f t="shared" si="5"/>
        <v>0</v>
      </c>
      <c r="AZ68" s="44">
        <f t="shared" si="5"/>
        <v>0</v>
      </c>
      <c r="BA68" s="44">
        <f t="shared" si="5"/>
        <v>0</v>
      </c>
      <c r="BB68" s="44">
        <f t="shared" si="5"/>
        <v>0</v>
      </c>
      <c r="BC68" s="44">
        <f t="shared" si="5"/>
        <v>0</v>
      </c>
      <c r="BD68" s="44">
        <f t="shared" si="5"/>
        <v>0</v>
      </c>
      <c r="BE68" s="44">
        <f t="shared" si="5"/>
        <v>0</v>
      </c>
      <c r="BF68" s="44">
        <f t="shared" si="5"/>
        <v>0</v>
      </c>
      <c r="BG68" s="44">
        <f t="shared" si="5"/>
        <v>0</v>
      </c>
    </row>
    <row r="69" spans="1:59" ht="31.8">
      <c r="A69" s="81" t="s">
        <v>36</v>
      </c>
      <c r="B69" s="81"/>
      <c r="C69" s="81"/>
      <c r="D69" s="81"/>
      <c r="E69" s="81"/>
      <c r="F69" s="81"/>
      <c r="G69" s="81"/>
      <c r="H69" s="81"/>
      <c r="I69" s="81"/>
      <c r="J69" s="81"/>
      <c r="K69" s="81"/>
      <c r="L69" s="81"/>
      <c r="M69" s="81"/>
      <c r="N69" s="81"/>
      <c r="O69" s="81"/>
      <c r="P69" s="24"/>
      <c r="Q69" s="24"/>
      <c r="R69" s="24"/>
      <c r="AM69" s="34"/>
      <c r="AN69" s="34"/>
      <c r="AO69" s="34"/>
      <c r="AP69" s="34"/>
      <c r="AQ69" s="34"/>
      <c r="AR69" s="34"/>
      <c r="AS69" s="34"/>
      <c r="AT69" s="34"/>
      <c r="AU69" s="34"/>
      <c r="AV69" s="34"/>
      <c r="AW69" s="34"/>
      <c r="AX69" s="34"/>
      <c r="AY69" s="34"/>
      <c r="AZ69" s="34"/>
      <c r="BA69" s="34"/>
      <c r="BB69" s="34"/>
      <c r="BC69" s="34"/>
      <c r="BD69" s="34"/>
      <c r="BE69" s="34"/>
      <c r="BF69" s="34"/>
      <c r="BG69" s="34"/>
    </row>
    <row r="70" spans="1:59" ht="33.75" customHeight="1">
      <c r="A70" s="82" t="s">
        <v>13</v>
      </c>
      <c r="B70" s="82"/>
      <c r="C70" s="82"/>
      <c r="D70" s="82"/>
      <c r="E70" s="82"/>
      <c r="F70" s="82"/>
      <c r="G70" s="82"/>
      <c r="H70" s="82"/>
      <c r="I70" s="82"/>
      <c r="J70" s="82"/>
      <c r="K70" s="82"/>
      <c r="L70" s="82"/>
      <c r="M70" s="82"/>
      <c r="N70" s="82"/>
      <c r="O70" s="82"/>
      <c r="AM70" s="34"/>
      <c r="AN70" s="34"/>
      <c r="AO70" s="34"/>
      <c r="AP70" s="34"/>
      <c r="AQ70" s="34"/>
      <c r="AR70" s="34"/>
      <c r="AS70" s="34"/>
      <c r="AT70" s="34"/>
      <c r="AU70" s="34"/>
      <c r="AV70" s="34"/>
      <c r="AW70" s="34"/>
      <c r="AX70" s="34"/>
      <c r="AY70" s="34"/>
      <c r="AZ70" s="34"/>
      <c r="BA70" s="34"/>
      <c r="BB70" s="34"/>
      <c r="BC70" s="34"/>
      <c r="BD70" s="34"/>
      <c r="BE70" s="34"/>
      <c r="BF70" s="34"/>
      <c r="BG70" s="34"/>
    </row>
    <row r="71" spans="1:59" ht="62.4">
      <c r="A71" s="9" t="s">
        <v>0</v>
      </c>
      <c r="B71" s="10" t="s">
        <v>34</v>
      </c>
      <c r="C71" s="11" t="s">
        <v>7</v>
      </c>
      <c r="D71" s="12" t="s">
        <v>1</v>
      </c>
      <c r="E71" s="13" t="s">
        <v>4</v>
      </c>
      <c r="F71" s="13" t="s">
        <v>2</v>
      </c>
      <c r="G71" s="13" t="s">
        <v>3</v>
      </c>
      <c r="H71" s="11" t="s">
        <v>6</v>
      </c>
      <c r="I71" s="14" t="s">
        <v>8</v>
      </c>
      <c r="J71" s="14" t="s">
        <v>17</v>
      </c>
      <c r="K71" s="12" t="s">
        <v>9</v>
      </c>
      <c r="L71" s="15" t="s">
        <v>10</v>
      </c>
      <c r="M71" s="15" t="s">
        <v>11</v>
      </c>
      <c r="N71" s="15" t="s">
        <v>12</v>
      </c>
      <c r="O71" s="15" t="s">
        <v>14</v>
      </c>
      <c r="P71" s="26" t="s">
        <v>16</v>
      </c>
      <c r="Q71" s="15" t="s">
        <v>42</v>
      </c>
      <c r="R71" s="15" t="s">
        <v>44</v>
      </c>
      <c r="S71" s="83">
        <v>101</v>
      </c>
      <c r="T71" s="83">
        <v>102</v>
      </c>
      <c r="U71" s="80">
        <v>106</v>
      </c>
      <c r="V71" s="80">
        <v>108</v>
      </c>
      <c r="W71" s="80">
        <v>109</v>
      </c>
      <c r="X71" s="80">
        <v>113</v>
      </c>
      <c r="Y71" s="80">
        <v>114</v>
      </c>
      <c r="Z71" s="80">
        <v>115</v>
      </c>
      <c r="AA71" s="80">
        <v>116</v>
      </c>
      <c r="AB71" s="80">
        <v>199</v>
      </c>
      <c r="AC71" s="80">
        <v>201</v>
      </c>
      <c r="AD71" s="80">
        <v>202</v>
      </c>
      <c r="AE71" s="80">
        <v>203</v>
      </c>
      <c r="AF71" s="80">
        <v>205</v>
      </c>
      <c r="AG71" s="80">
        <v>206</v>
      </c>
      <c r="AH71" s="79">
        <v>209</v>
      </c>
      <c r="AI71" s="79">
        <v>212</v>
      </c>
      <c r="AJ71" s="79">
        <v>216</v>
      </c>
      <c r="AK71" s="79">
        <v>217</v>
      </c>
      <c r="AL71" s="79">
        <v>299</v>
      </c>
      <c r="AM71" s="79">
        <v>301</v>
      </c>
      <c r="AN71" s="79">
        <v>302</v>
      </c>
      <c r="AO71" s="79">
        <v>399</v>
      </c>
      <c r="AP71" s="79">
        <v>401</v>
      </c>
      <c r="AQ71" s="79">
        <v>402</v>
      </c>
      <c r="AR71" s="79">
        <v>411</v>
      </c>
      <c r="AS71" s="79">
        <v>412</v>
      </c>
      <c r="AT71" s="79">
        <v>413</v>
      </c>
      <c r="AU71" s="79">
        <v>499</v>
      </c>
      <c r="AV71" s="79">
        <v>501</v>
      </c>
      <c r="AW71" s="79">
        <v>502</v>
      </c>
      <c r="AX71" s="79">
        <v>599</v>
      </c>
      <c r="AY71" s="79">
        <v>604</v>
      </c>
      <c r="AZ71" s="79">
        <v>605</v>
      </c>
      <c r="BA71" s="79">
        <v>699</v>
      </c>
      <c r="BB71" s="79">
        <v>701</v>
      </c>
      <c r="BC71" s="79">
        <v>702</v>
      </c>
      <c r="BD71" s="79">
        <v>703</v>
      </c>
      <c r="BE71" s="79">
        <v>704</v>
      </c>
      <c r="BF71" s="79">
        <v>799</v>
      </c>
      <c r="BG71" s="84">
        <v>999</v>
      </c>
    </row>
    <row r="72" spans="1:59" ht="62.25" customHeight="1">
      <c r="A72" s="10" t="s">
        <v>18</v>
      </c>
      <c r="B72" s="10" t="s">
        <v>19</v>
      </c>
      <c r="C72" s="13" t="s">
        <v>20</v>
      </c>
      <c r="D72" s="12" t="s">
        <v>21</v>
      </c>
      <c r="E72" s="13" t="s">
        <v>22</v>
      </c>
      <c r="F72" s="13" t="s">
        <v>23</v>
      </c>
      <c r="G72" s="13" t="s">
        <v>25</v>
      </c>
      <c r="H72" s="13" t="s">
        <v>24</v>
      </c>
      <c r="I72" s="14" t="s">
        <v>26</v>
      </c>
      <c r="J72" s="14" t="s">
        <v>27</v>
      </c>
      <c r="K72" s="15" t="s">
        <v>28</v>
      </c>
      <c r="L72" s="15" t="s">
        <v>29</v>
      </c>
      <c r="M72" s="15" t="s">
        <v>30</v>
      </c>
      <c r="N72" s="15" t="s">
        <v>32</v>
      </c>
      <c r="O72" s="15" t="s">
        <v>31</v>
      </c>
      <c r="P72" s="26" t="s">
        <v>33</v>
      </c>
      <c r="Q72" s="15" t="s">
        <v>43</v>
      </c>
      <c r="R72" s="15" t="s">
        <v>45</v>
      </c>
      <c r="S72" s="83"/>
      <c r="T72" s="83"/>
      <c r="U72" s="80"/>
      <c r="V72" s="80"/>
      <c r="W72" s="80"/>
      <c r="X72" s="80"/>
      <c r="Y72" s="80"/>
      <c r="Z72" s="80"/>
      <c r="AA72" s="80"/>
      <c r="AB72" s="80"/>
      <c r="AC72" s="80"/>
      <c r="AD72" s="80"/>
      <c r="AE72" s="80"/>
      <c r="AF72" s="80"/>
      <c r="AG72" s="80"/>
      <c r="AH72" s="79"/>
      <c r="AI72" s="79"/>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84"/>
    </row>
    <row r="73" spans="1:59" s="17" customFormat="1" ht="15.75" hidden="1" customHeight="1">
      <c r="A73" s="108"/>
      <c r="B73" s="87"/>
      <c r="C73" s="89"/>
      <c r="D73" s="91"/>
      <c r="E73" s="89"/>
      <c r="F73" s="89"/>
      <c r="G73" s="93"/>
      <c r="H73" s="89"/>
      <c r="I73" s="89"/>
      <c r="J73" s="89"/>
      <c r="K73" s="20"/>
      <c r="L73" s="20"/>
      <c r="M73" s="20"/>
      <c r="N73" s="146" t="e">
        <f>O74/L74</f>
        <v>#DIV/0!</v>
      </c>
      <c r="O73" s="21">
        <f t="shared" ref="O73:O78" si="6">L73-M73</f>
        <v>0</v>
      </c>
      <c r="P73" s="27"/>
      <c r="Q73" s="99">
        <f>+L74-P74</f>
        <v>0</v>
      </c>
      <c r="R73" s="108"/>
      <c r="S73" s="149"/>
      <c r="T73" s="149"/>
      <c r="U73" s="149"/>
      <c r="V73" s="149"/>
      <c r="W73" s="149"/>
      <c r="X73" s="149"/>
      <c r="Y73" s="149"/>
      <c r="Z73" s="149"/>
      <c r="AA73" s="149"/>
      <c r="AB73" s="149"/>
      <c r="AC73" s="149"/>
      <c r="AD73" s="149"/>
      <c r="AE73" s="149"/>
      <c r="AF73" s="149"/>
      <c r="AG73" s="149"/>
      <c r="AH73" s="149"/>
      <c r="AI73" s="149"/>
      <c r="AJ73" s="149"/>
      <c r="AK73" s="149"/>
      <c r="AL73" s="149"/>
      <c r="AM73" s="163"/>
      <c r="AN73" s="163"/>
      <c r="AO73" s="163"/>
      <c r="AP73" s="163"/>
      <c r="AQ73" s="163"/>
      <c r="AR73" s="163"/>
      <c r="AS73" s="163"/>
      <c r="AT73" s="163"/>
      <c r="AU73" s="163"/>
      <c r="AV73" s="163"/>
      <c r="AW73" s="163"/>
      <c r="AX73" s="163"/>
      <c r="AY73" s="167"/>
      <c r="AZ73" s="167"/>
      <c r="BA73" s="167"/>
      <c r="BB73" s="167"/>
      <c r="BC73" s="167"/>
      <c r="BD73" s="161"/>
      <c r="BE73" s="163"/>
      <c r="BF73" s="165"/>
      <c r="BG73" s="165"/>
    </row>
    <row r="74" spans="1:59" s="17" customFormat="1" ht="15.75" hidden="1" customHeight="1">
      <c r="A74" s="85"/>
      <c r="B74" s="88"/>
      <c r="C74" s="90"/>
      <c r="D74" s="92"/>
      <c r="E74" s="90"/>
      <c r="F74" s="90"/>
      <c r="G74" s="94"/>
      <c r="H74" s="90"/>
      <c r="I74" s="90"/>
      <c r="J74" s="90"/>
      <c r="K74" s="22"/>
      <c r="L74" s="18"/>
      <c r="M74" s="18"/>
      <c r="N74" s="147"/>
      <c r="O74" s="19">
        <f t="shared" si="6"/>
        <v>0</v>
      </c>
      <c r="P74" s="22"/>
      <c r="Q74" s="100"/>
      <c r="R74" s="85"/>
      <c r="S74" s="150"/>
      <c r="T74" s="150"/>
      <c r="U74" s="150"/>
      <c r="V74" s="150"/>
      <c r="W74" s="150"/>
      <c r="X74" s="150"/>
      <c r="Y74" s="150"/>
      <c r="Z74" s="150"/>
      <c r="AA74" s="150"/>
      <c r="AB74" s="150"/>
      <c r="AC74" s="150"/>
      <c r="AD74" s="150"/>
      <c r="AE74" s="150"/>
      <c r="AF74" s="150"/>
      <c r="AG74" s="150"/>
      <c r="AH74" s="150"/>
      <c r="AI74" s="150"/>
      <c r="AJ74" s="150"/>
      <c r="AK74" s="150"/>
      <c r="AL74" s="150"/>
      <c r="AM74" s="164"/>
      <c r="AN74" s="164"/>
      <c r="AO74" s="164"/>
      <c r="AP74" s="164"/>
      <c r="AQ74" s="164"/>
      <c r="AR74" s="164"/>
      <c r="AS74" s="164"/>
      <c r="AT74" s="164"/>
      <c r="AU74" s="164"/>
      <c r="AV74" s="164"/>
      <c r="AW74" s="164"/>
      <c r="AX74" s="164"/>
      <c r="AY74" s="168"/>
      <c r="AZ74" s="168"/>
      <c r="BA74" s="168"/>
      <c r="BB74" s="168"/>
      <c r="BC74" s="168"/>
      <c r="BD74" s="162"/>
      <c r="BE74" s="164"/>
      <c r="BF74" s="166"/>
      <c r="BG74" s="166"/>
    </row>
    <row r="75" spans="1:59" s="17" customFormat="1" ht="18" customHeight="1">
      <c r="A75" s="108">
        <v>45267</v>
      </c>
      <c r="B75" s="138" t="s">
        <v>37</v>
      </c>
      <c r="C75" s="90" t="s">
        <v>56</v>
      </c>
      <c r="D75" s="91" t="s">
        <v>38</v>
      </c>
      <c r="E75" s="89">
        <v>84217</v>
      </c>
      <c r="F75" s="89" t="s">
        <v>49</v>
      </c>
      <c r="G75" s="137" t="s">
        <v>61</v>
      </c>
      <c r="H75" s="95" t="s">
        <v>39</v>
      </c>
      <c r="I75" s="90">
        <v>4497</v>
      </c>
      <c r="J75" s="90">
        <v>4097</v>
      </c>
      <c r="K75" s="20">
        <f>125+115</f>
        <v>240</v>
      </c>
      <c r="L75" s="20">
        <f>150+75</f>
        <v>225</v>
      </c>
      <c r="M75" s="20">
        <v>140</v>
      </c>
      <c r="N75" s="97">
        <f>O76/L76</f>
        <v>0.6073107049608355</v>
      </c>
      <c r="O75" s="21">
        <f t="shared" si="6"/>
        <v>85</v>
      </c>
      <c r="P75" s="27">
        <v>230</v>
      </c>
      <c r="Q75" s="99">
        <f>+L76-P76</f>
        <v>225</v>
      </c>
      <c r="R75" s="85"/>
      <c r="S75" s="96">
        <v>10</v>
      </c>
      <c r="T75" s="96"/>
      <c r="U75" s="96">
        <v>8</v>
      </c>
      <c r="V75" s="96"/>
      <c r="W75" s="96"/>
      <c r="X75" s="96"/>
      <c r="Y75" s="96"/>
      <c r="Z75" s="96"/>
      <c r="AA75" s="96"/>
      <c r="AB75" s="96"/>
      <c r="AC75" s="96">
        <f>15+8</f>
        <v>23</v>
      </c>
      <c r="AD75" s="96">
        <v>2</v>
      </c>
      <c r="AE75" s="96">
        <v>1</v>
      </c>
      <c r="AF75" s="96"/>
      <c r="AG75" s="96"/>
      <c r="AH75" s="96">
        <v>18</v>
      </c>
      <c r="AI75" s="96"/>
      <c r="AJ75" s="96"/>
      <c r="AK75" s="96"/>
      <c r="AL75" s="96">
        <v>13</v>
      </c>
      <c r="AM75" s="103"/>
      <c r="AN75" s="103"/>
      <c r="AO75" s="103"/>
      <c r="AP75" s="103"/>
      <c r="AQ75" s="103"/>
      <c r="AR75" s="103"/>
      <c r="AS75" s="103"/>
      <c r="AT75" s="103"/>
      <c r="AU75" s="103"/>
      <c r="AV75" s="103"/>
      <c r="AW75" s="103"/>
      <c r="AX75" s="103"/>
      <c r="AY75" s="106"/>
      <c r="AZ75" s="106"/>
      <c r="BA75" s="106"/>
      <c r="BB75" s="106"/>
      <c r="BC75" s="106"/>
      <c r="BD75" s="106"/>
      <c r="BE75" s="103"/>
      <c r="BF75" s="104">
        <v>10</v>
      </c>
      <c r="BG75" s="104"/>
    </row>
    <row r="76" spans="1:59" s="17" customFormat="1" ht="17.25" customHeight="1">
      <c r="A76" s="85"/>
      <c r="B76" s="139"/>
      <c r="C76" s="95"/>
      <c r="D76" s="92"/>
      <c r="E76" s="90"/>
      <c r="F76" s="90"/>
      <c r="G76" s="95"/>
      <c r="H76" s="95"/>
      <c r="I76" s="95"/>
      <c r="J76" s="95"/>
      <c r="K76" s="18">
        <f>260+160+50+100+100+240+349+166+150+60+120+30+30+230+80+125+115</f>
        <v>2365</v>
      </c>
      <c r="L76" s="18">
        <f>260+160+50+100+140+100+240+150+60+370+60+150+75</f>
        <v>1915</v>
      </c>
      <c r="M76" s="18">
        <f>120+55+27+40+30+60+87+45+34+74+40+100+40</f>
        <v>752</v>
      </c>
      <c r="N76" s="98"/>
      <c r="O76" s="19">
        <f t="shared" si="6"/>
        <v>1163</v>
      </c>
      <c r="P76" s="22">
        <f>170+70+15+112+30+30+83+50+100+127+218+53+42+60+34+200+66+100+130</f>
        <v>1690</v>
      </c>
      <c r="Q76" s="100"/>
      <c r="R76" s="86"/>
      <c r="S76" s="96"/>
      <c r="T76" s="96"/>
      <c r="U76" s="96"/>
      <c r="V76" s="96"/>
      <c r="W76" s="96"/>
      <c r="X76" s="96"/>
      <c r="Y76" s="96"/>
      <c r="Z76" s="96"/>
      <c r="AA76" s="96"/>
      <c r="AB76" s="96"/>
      <c r="AC76" s="96"/>
      <c r="AD76" s="96"/>
      <c r="AE76" s="96"/>
      <c r="AF76" s="96"/>
      <c r="AG76" s="96"/>
      <c r="AH76" s="96"/>
      <c r="AI76" s="96"/>
      <c r="AJ76" s="96"/>
      <c r="AK76" s="96"/>
      <c r="AL76" s="96"/>
      <c r="AM76" s="103"/>
      <c r="AN76" s="103"/>
      <c r="AO76" s="103"/>
      <c r="AP76" s="103"/>
      <c r="AQ76" s="103"/>
      <c r="AR76" s="103"/>
      <c r="AS76" s="103"/>
      <c r="AT76" s="103"/>
      <c r="AU76" s="103"/>
      <c r="AV76" s="103"/>
      <c r="AW76" s="103"/>
      <c r="AX76" s="103"/>
      <c r="AY76" s="107"/>
      <c r="AZ76" s="107"/>
      <c r="BA76" s="107"/>
      <c r="BB76" s="107"/>
      <c r="BC76" s="107"/>
      <c r="BD76" s="107"/>
      <c r="BE76" s="103"/>
      <c r="BF76" s="105"/>
      <c r="BG76" s="105"/>
    </row>
    <row r="77" spans="1:59" s="17" customFormat="1" ht="18" hidden="1" customHeight="1">
      <c r="A77" s="101">
        <v>45217</v>
      </c>
      <c r="B77" s="132" t="s">
        <v>37</v>
      </c>
      <c r="C77" s="117"/>
      <c r="D77" s="118" t="s">
        <v>38</v>
      </c>
      <c r="E77" s="116">
        <v>84217</v>
      </c>
      <c r="F77" s="116" t="s">
        <v>49</v>
      </c>
      <c r="G77" s="141"/>
      <c r="H77" s="95"/>
      <c r="I77" s="90"/>
      <c r="J77" s="90"/>
      <c r="K77" s="20"/>
      <c r="L77" s="20"/>
      <c r="M77" s="20"/>
      <c r="N77" s="143" t="e">
        <f>O78/L78</f>
        <v>#DIV/0!</v>
      </c>
      <c r="O77" s="21">
        <f t="shared" si="6"/>
        <v>0</v>
      </c>
      <c r="P77" s="27"/>
      <c r="Q77" s="99">
        <f>+L78-P78</f>
        <v>0</v>
      </c>
      <c r="R77" s="101">
        <v>45023</v>
      </c>
      <c r="S77" s="96"/>
      <c r="T77" s="96"/>
      <c r="U77" s="96"/>
      <c r="V77" s="96"/>
      <c r="W77" s="96"/>
      <c r="X77" s="96"/>
      <c r="Y77" s="96"/>
      <c r="Z77" s="96"/>
      <c r="AA77" s="96"/>
      <c r="AB77" s="96"/>
      <c r="AC77" s="140"/>
      <c r="AD77" s="96"/>
      <c r="AE77" s="96"/>
      <c r="AF77" s="96"/>
      <c r="AG77" s="96"/>
      <c r="AH77" s="96"/>
      <c r="AI77" s="96"/>
      <c r="AJ77" s="96"/>
      <c r="AK77" s="96"/>
      <c r="AL77" s="96"/>
      <c r="AM77" s="96"/>
      <c r="AN77" s="96"/>
      <c r="AO77" s="96"/>
      <c r="AP77" s="96"/>
      <c r="AQ77" s="96"/>
      <c r="AR77" s="96"/>
      <c r="AS77" s="96"/>
      <c r="AT77" s="96"/>
      <c r="AU77" s="96"/>
      <c r="AV77" s="96"/>
      <c r="AW77" s="96"/>
      <c r="AX77" s="96"/>
      <c r="AY77" s="124"/>
      <c r="AZ77" s="123"/>
      <c r="BA77" s="123"/>
      <c r="BB77" s="123"/>
      <c r="BC77" s="123"/>
      <c r="BD77" s="123"/>
      <c r="BE77" s="123"/>
      <c r="BF77" s="123"/>
      <c r="BG77" s="123"/>
    </row>
    <row r="78" spans="1:59" s="17" customFormat="1" ht="17.25" hidden="1" customHeight="1">
      <c r="A78" s="102"/>
      <c r="B78" s="145"/>
      <c r="C78" s="142"/>
      <c r="D78" s="119"/>
      <c r="E78" s="117"/>
      <c r="F78" s="117"/>
      <c r="G78" s="142"/>
      <c r="H78" s="95"/>
      <c r="I78" s="95"/>
      <c r="J78" s="95"/>
      <c r="K78" s="3"/>
      <c r="L78" s="3"/>
      <c r="M78" s="3"/>
      <c r="N78" s="144"/>
      <c r="O78" s="7">
        <f t="shared" si="6"/>
        <v>0</v>
      </c>
      <c r="P78" s="28"/>
      <c r="Q78" s="100"/>
      <c r="R78" s="102"/>
      <c r="S78" s="96"/>
      <c r="T78" s="96"/>
      <c r="U78" s="96"/>
      <c r="V78" s="96"/>
      <c r="W78" s="96"/>
      <c r="X78" s="96"/>
      <c r="Y78" s="96"/>
      <c r="Z78" s="96"/>
      <c r="AA78" s="96"/>
      <c r="AB78" s="96"/>
      <c r="AC78" s="140"/>
      <c r="AD78" s="96"/>
      <c r="AE78" s="96"/>
      <c r="AF78" s="96"/>
      <c r="AG78" s="96"/>
      <c r="AH78" s="96"/>
      <c r="AI78" s="96"/>
      <c r="AJ78" s="96"/>
      <c r="AK78" s="96"/>
      <c r="AL78" s="96"/>
      <c r="AM78" s="96"/>
      <c r="AN78" s="96"/>
      <c r="AO78" s="96"/>
      <c r="AP78" s="96"/>
      <c r="AQ78" s="96"/>
      <c r="AR78" s="96"/>
      <c r="AS78" s="96"/>
      <c r="AT78" s="96"/>
      <c r="AU78" s="96"/>
      <c r="AV78" s="96"/>
      <c r="AW78" s="96"/>
      <c r="AX78" s="96"/>
      <c r="AY78" s="124"/>
      <c r="AZ78" s="124"/>
      <c r="BA78" s="124"/>
      <c r="BB78" s="124"/>
      <c r="BC78" s="124"/>
      <c r="BD78" s="124"/>
      <c r="BE78" s="124"/>
      <c r="BF78" s="124"/>
      <c r="BG78" s="124"/>
    </row>
    <row r="79" spans="1:59" ht="24.75" customHeight="1">
      <c r="A79" s="111" t="s">
        <v>15</v>
      </c>
      <c r="B79" s="112"/>
      <c r="C79" s="112"/>
      <c r="D79" s="112"/>
      <c r="E79" s="112"/>
      <c r="F79" s="112"/>
      <c r="G79" s="112"/>
      <c r="H79" s="112"/>
      <c r="I79" s="113"/>
      <c r="J79" s="5">
        <f>SUM(J73:J78)</f>
        <v>4097</v>
      </c>
      <c r="K79" s="5">
        <f>+K73++K75</f>
        <v>240</v>
      </c>
      <c r="L79" s="5">
        <f>+SUMPRODUCT(((MOD(ROW(L73:L78),2)=1)*(L73:L78)))</f>
        <v>225</v>
      </c>
      <c r="M79" s="5">
        <f>+SUMPRODUCT(((MOD(ROW(M73:M78),2)=1)*(M73:M78)))</f>
        <v>140</v>
      </c>
      <c r="N79" s="23">
        <f>O79/L79</f>
        <v>0.37777777777777777</v>
      </c>
      <c r="O79" s="5">
        <f>+SUMPRODUCT(((MOD(ROW(O73:O78),2)=1)*(O73:O78)))</f>
        <v>85</v>
      </c>
      <c r="P79" s="5">
        <f>+SUMPRODUCT(((MOD(ROW(P73:P78),2)=1)*(P73:P78)))</f>
        <v>230</v>
      </c>
      <c r="Q79" s="5">
        <f>+SUMPRODUCT(((MOD(ROW(Q73:Q78),2)=1)*(Q73:Q78)))</f>
        <v>225</v>
      </c>
      <c r="R79" s="5"/>
      <c r="S79" s="5">
        <f t="shared" ref="S79:BG79" si="7">SUM(S73:S78)</f>
        <v>10</v>
      </c>
      <c r="T79" s="5">
        <f t="shared" si="7"/>
        <v>0</v>
      </c>
      <c r="U79" s="5">
        <f t="shared" si="7"/>
        <v>8</v>
      </c>
      <c r="V79" s="5">
        <f t="shared" si="7"/>
        <v>0</v>
      </c>
      <c r="W79" s="5">
        <f t="shared" si="7"/>
        <v>0</v>
      </c>
      <c r="X79" s="5">
        <f t="shared" si="7"/>
        <v>0</v>
      </c>
      <c r="Y79" s="5">
        <f t="shared" si="7"/>
        <v>0</v>
      </c>
      <c r="Z79" s="5">
        <f t="shared" si="7"/>
        <v>0</v>
      </c>
      <c r="AA79" s="5">
        <f t="shared" si="7"/>
        <v>0</v>
      </c>
      <c r="AB79" s="5">
        <f t="shared" si="7"/>
        <v>0</v>
      </c>
      <c r="AC79" s="5">
        <f t="shared" si="7"/>
        <v>23</v>
      </c>
      <c r="AD79" s="5">
        <f t="shared" si="7"/>
        <v>2</v>
      </c>
      <c r="AE79" s="5">
        <f t="shared" si="7"/>
        <v>1</v>
      </c>
      <c r="AF79" s="5">
        <f t="shared" si="7"/>
        <v>0</v>
      </c>
      <c r="AG79" s="5">
        <f t="shared" si="7"/>
        <v>0</v>
      </c>
      <c r="AH79" s="5">
        <f t="shared" si="7"/>
        <v>18</v>
      </c>
      <c r="AI79" s="5">
        <f t="shared" si="7"/>
        <v>0</v>
      </c>
      <c r="AJ79" s="5">
        <f t="shared" si="7"/>
        <v>0</v>
      </c>
      <c r="AK79" s="5">
        <f t="shared" si="7"/>
        <v>0</v>
      </c>
      <c r="AL79" s="5">
        <f t="shared" si="7"/>
        <v>13</v>
      </c>
      <c r="AM79" s="5">
        <f t="shared" si="7"/>
        <v>0</v>
      </c>
      <c r="AN79" s="5">
        <f t="shared" si="7"/>
        <v>0</v>
      </c>
      <c r="AO79" s="5">
        <f t="shared" si="7"/>
        <v>0</v>
      </c>
      <c r="AP79" s="5">
        <f t="shared" si="7"/>
        <v>0</v>
      </c>
      <c r="AQ79" s="5">
        <f t="shared" si="7"/>
        <v>0</v>
      </c>
      <c r="AR79" s="5">
        <f t="shared" si="7"/>
        <v>0</v>
      </c>
      <c r="AS79" s="5">
        <f t="shared" si="7"/>
        <v>0</v>
      </c>
      <c r="AT79" s="5">
        <f t="shared" si="7"/>
        <v>0</v>
      </c>
      <c r="AU79" s="5">
        <f t="shared" si="7"/>
        <v>0</v>
      </c>
      <c r="AV79" s="5">
        <f t="shared" si="7"/>
        <v>0</v>
      </c>
      <c r="AW79" s="5">
        <f t="shared" si="7"/>
        <v>0</v>
      </c>
      <c r="AX79" s="5">
        <f t="shared" si="7"/>
        <v>0</v>
      </c>
      <c r="AY79" s="5">
        <f t="shared" si="7"/>
        <v>0</v>
      </c>
      <c r="AZ79" s="5">
        <f t="shared" si="7"/>
        <v>0</v>
      </c>
      <c r="BA79" s="5">
        <f t="shared" si="7"/>
        <v>0</v>
      </c>
      <c r="BB79" s="5">
        <f t="shared" si="7"/>
        <v>0</v>
      </c>
      <c r="BC79" s="5">
        <f t="shared" si="7"/>
        <v>0</v>
      </c>
      <c r="BD79" s="5">
        <f t="shared" si="7"/>
        <v>0</v>
      </c>
      <c r="BE79" s="5">
        <f t="shared" si="7"/>
        <v>0</v>
      </c>
      <c r="BF79" s="5">
        <f t="shared" si="7"/>
        <v>10</v>
      </c>
      <c r="BG79" s="5">
        <f t="shared" si="7"/>
        <v>0</v>
      </c>
    </row>
    <row r="80" spans="1:59" s="17" customFormat="1" ht="15.75" hidden="1" customHeight="1">
      <c r="A80" s="101"/>
      <c r="B80" s="114"/>
      <c r="C80" s="116"/>
      <c r="D80" s="118"/>
      <c r="E80" s="116"/>
      <c r="F80" s="116"/>
      <c r="G80" s="120"/>
      <c r="H80" s="151"/>
      <c r="I80" s="89"/>
      <c r="J80" s="89"/>
      <c r="K80" s="20"/>
      <c r="L80" s="20"/>
      <c r="M80" s="20"/>
      <c r="N80" s="146"/>
      <c r="O80" s="21"/>
      <c r="P80" s="27"/>
      <c r="Q80" s="99"/>
      <c r="R80" s="148"/>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52"/>
      <c r="AZ80" s="152"/>
      <c r="BA80" s="152"/>
      <c r="BB80" s="152"/>
      <c r="BC80" s="152"/>
      <c r="BD80" s="152"/>
      <c r="BE80" s="149"/>
      <c r="BF80" s="152"/>
      <c r="BG80" s="152"/>
    </row>
    <row r="81" spans="1:61" s="17" customFormat="1" ht="15.75" hidden="1" customHeight="1">
      <c r="A81" s="102"/>
      <c r="B81" s="115"/>
      <c r="C81" s="117"/>
      <c r="D81" s="119"/>
      <c r="E81" s="117"/>
      <c r="F81" s="117"/>
      <c r="G81" s="121"/>
      <c r="H81" s="90"/>
      <c r="I81" s="90"/>
      <c r="J81" s="90"/>
      <c r="K81" s="22"/>
      <c r="L81" s="18"/>
      <c r="M81" s="18"/>
      <c r="N81" s="147"/>
      <c r="O81" s="19"/>
      <c r="P81" s="22"/>
      <c r="Q81" s="100"/>
      <c r="R81" s="101"/>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3"/>
      <c r="AZ81" s="153"/>
      <c r="BA81" s="153"/>
      <c r="BB81" s="153"/>
      <c r="BC81" s="153"/>
      <c r="BD81" s="153"/>
      <c r="BE81" s="150"/>
      <c r="BF81" s="153"/>
      <c r="BG81" s="153"/>
    </row>
    <row r="82" spans="1:61" s="17" customFormat="1" ht="15.75" hidden="1" customHeight="1">
      <c r="A82" s="101"/>
      <c r="B82" s="114"/>
      <c r="C82" s="116"/>
      <c r="D82" s="118"/>
      <c r="E82" s="116"/>
      <c r="F82" s="116"/>
      <c r="G82" s="120"/>
      <c r="H82" s="151"/>
      <c r="I82" s="89"/>
      <c r="J82" s="89"/>
      <c r="K82" s="20"/>
      <c r="L82" s="20"/>
      <c r="M82" s="20"/>
      <c r="N82" s="146"/>
      <c r="O82" s="21"/>
      <c r="P82" s="27"/>
      <c r="Q82" s="99"/>
      <c r="R82" s="148"/>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52"/>
      <c r="AZ82" s="152"/>
      <c r="BA82" s="152"/>
      <c r="BB82" s="152"/>
      <c r="BC82" s="152"/>
      <c r="BD82" s="152"/>
      <c r="BE82" s="149"/>
      <c r="BF82" s="152"/>
      <c r="BG82" s="152"/>
    </row>
    <row r="83" spans="1:61" s="17" customFormat="1" ht="15.75" hidden="1" customHeight="1">
      <c r="A83" s="102"/>
      <c r="B83" s="115"/>
      <c r="C83" s="117"/>
      <c r="D83" s="119"/>
      <c r="E83" s="117"/>
      <c r="F83" s="117"/>
      <c r="G83" s="121"/>
      <c r="H83" s="90"/>
      <c r="I83" s="90"/>
      <c r="J83" s="90"/>
      <c r="K83" s="22"/>
      <c r="L83" s="18"/>
      <c r="M83" s="18"/>
      <c r="N83" s="147"/>
      <c r="O83" s="19"/>
      <c r="P83" s="22"/>
      <c r="Q83" s="100"/>
      <c r="R83" s="101"/>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3"/>
      <c r="AZ83" s="153"/>
      <c r="BA83" s="153"/>
      <c r="BB83" s="153"/>
      <c r="BC83" s="153"/>
      <c r="BD83" s="153"/>
      <c r="BE83" s="150"/>
      <c r="BF83" s="153"/>
      <c r="BG83" s="153"/>
    </row>
    <row r="84" spans="1:61" s="17" customFormat="1" ht="15.75" hidden="1" customHeight="1">
      <c r="A84" s="101"/>
      <c r="B84" s="114"/>
      <c r="C84" s="116"/>
      <c r="D84" s="118"/>
      <c r="E84" s="116"/>
      <c r="F84" s="116"/>
      <c r="G84" s="120"/>
      <c r="H84" s="109"/>
      <c r="I84" s="90"/>
      <c r="J84" s="90"/>
      <c r="K84" s="20"/>
      <c r="L84" s="20"/>
      <c r="M84" s="20"/>
      <c r="N84" s="97"/>
      <c r="O84" s="21"/>
      <c r="P84" s="27"/>
      <c r="Q84" s="99"/>
      <c r="R84" s="154"/>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1"/>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s="17" customFormat="1" ht="15.75" hidden="1" customHeight="1">
      <c r="A86" s="101"/>
      <c r="B86" s="114"/>
      <c r="C86" s="116"/>
      <c r="D86" s="118"/>
      <c r="E86" s="116"/>
      <c r="F86" s="116"/>
      <c r="G86" s="120"/>
      <c r="H86" s="109"/>
      <c r="I86" s="90"/>
      <c r="J86" s="90"/>
      <c r="K86" s="20"/>
      <c r="L86" s="20"/>
      <c r="M86" s="20"/>
      <c r="N86" s="97"/>
      <c r="O86" s="21"/>
      <c r="P86" s="27"/>
      <c r="Q86" s="99"/>
      <c r="R86" s="148"/>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1"/>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s="17" customFormat="1" ht="15.75" hidden="1" customHeight="1">
      <c r="A88" s="101">
        <v>45084</v>
      </c>
      <c r="B88" s="114" t="s">
        <v>37</v>
      </c>
      <c r="C88" s="116"/>
      <c r="D88" s="118"/>
      <c r="E88" s="116"/>
      <c r="F88" s="116"/>
      <c r="G88" s="120"/>
      <c r="H88" s="109"/>
      <c r="I88" s="90"/>
      <c r="J88" s="90"/>
      <c r="K88" s="20"/>
      <c r="L88" s="20"/>
      <c r="M88" s="20"/>
      <c r="N88" s="97" t="e">
        <f>O89/L89</f>
        <v>#DIV/0!</v>
      </c>
      <c r="O88" s="21"/>
      <c r="P88" s="27"/>
      <c r="Q88" s="99">
        <f>+L89-P89</f>
        <v>0</v>
      </c>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5"/>
      <c r="AZ88" s="155"/>
      <c r="BA88" s="155"/>
      <c r="BB88" s="155"/>
      <c r="BC88" s="155"/>
      <c r="BD88" s="155"/>
      <c r="BE88" s="96"/>
      <c r="BF88" s="155"/>
      <c r="BG88" s="155"/>
    </row>
    <row r="89" spans="1:61" s="17" customFormat="1" ht="15.75" hidden="1" customHeight="1">
      <c r="A89" s="102"/>
      <c r="B89" s="115"/>
      <c r="C89" s="117"/>
      <c r="D89" s="119"/>
      <c r="E89" s="117"/>
      <c r="F89" s="117"/>
      <c r="G89" s="121"/>
      <c r="H89" s="95"/>
      <c r="I89" s="95"/>
      <c r="J89" s="95"/>
      <c r="K89" s="22"/>
      <c r="L89" s="18"/>
      <c r="M89" s="18"/>
      <c r="N89" s="98"/>
      <c r="O89" s="19"/>
      <c r="P89" s="22"/>
      <c r="Q89" s="100"/>
      <c r="R89" s="102"/>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6"/>
      <c r="AZ89" s="156"/>
      <c r="BA89" s="156"/>
      <c r="BB89" s="156"/>
      <c r="BC89" s="156"/>
      <c r="BD89" s="156"/>
      <c r="BE89" s="96"/>
      <c r="BF89" s="156"/>
      <c r="BG89" s="156"/>
    </row>
    <row r="90" spans="1:61" ht="24.75" hidden="1" customHeight="1">
      <c r="A90" s="111" t="s">
        <v>40</v>
      </c>
      <c r="B90" s="112"/>
      <c r="C90" s="112"/>
      <c r="D90" s="112"/>
      <c r="E90" s="112"/>
      <c r="F90" s="112"/>
      <c r="G90" s="112"/>
      <c r="H90" s="112"/>
      <c r="I90" s="113"/>
      <c r="J90" s="5">
        <f>SUM(J80:J89)</f>
        <v>0</v>
      </c>
      <c r="K90" s="5">
        <f>+SUMPRODUCT(((MOD(ROW(K80:K87),2)=0)*(K80:K87)))</f>
        <v>0</v>
      </c>
      <c r="L90" s="5">
        <f>+SUMPRODUCT(((MOD(ROW(L80:L87),2)=0)*(L80:L87)))</f>
        <v>0</v>
      </c>
      <c r="M90" s="5">
        <f>+SUMPRODUCT(((MOD(ROW(M80:M87),2)=0)*(M80:M87)))</f>
        <v>0</v>
      </c>
      <c r="N90" s="6" t="e">
        <f>O90/L90</f>
        <v>#DIV/0!</v>
      </c>
      <c r="O90" s="5">
        <f>+SUMPRODUCT(((MOD(ROW(O80:O87),2)=0)*(O80:O87)))</f>
        <v>0</v>
      </c>
      <c r="P90" s="5">
        <f>+SUMPRODUCT(((MOD(ROW(P80:P87),2)=0)*(P80:P87)))</f>
        <v>0</v>
      </c>
      <c r="Q90" s="29">
        <f>SUM(Q80:Q89)</f>
        <v>0</v>
      </c>
      <c r="R90" s="29"/>
      <c r="S90" s="29">
        <f t="shared" ref="S90:BG90" si="8">SUM(S80:S89)</f>
        <v>0</v>
      </c>
      <c r="T90" s="29">
        <f t="shared" si="8"/>
        <v>0</v>
      </c>
      <c r="U90" s="29">
        <f t="shared" si="8"/>
        <v>0</v>
      </c>
      <c r="V90" s="29">
        <f t="shared" si="8"/>
        <v>0</v>
      </c>
      <c r="W90" s="29">
        <f t="shared" si="8"/>
        <v>0</v>
      </c>
      <c r="X90" s="29">
        <f t="shared" si="8"/>
        <v>0</v>
      </c>
      <c r="Y90" s="29">
        <f t="shared" si="8"/>
        <v>0</v>
      </c>
      <c r="Z90" s="29">
        <f t="shared" si="8"/>
        <v>0</v>
      </c>
      <c r="AA90" s="29">
        <f t="shared" si="8"/>
        <v>0</v>
      </c>
      <c r="AB90" s="29">
        <f t="shared" si="8"/>
        <v>0</v>
      </c>
      <c r="AC90" s="29">
        <f t="shared" si="8"/>
        <v>0</v>
      </c>
      <c r="AD90" s="29">
        <f t="shared" si="8"/>
        <v>0</v>
      </c>
      <c r="AE90" s="29">
        <f t="shared" si="8"/>
        <v>0</v>
      </c>
      <c r="AF90" s="29">
        <f t="shared" si="8"/>
        <v>0</v>
      </c>
      <c r="AG90" s="29">
        <f t="shared" si="8"/>
        <v>0</v>
      </c>
      <c r="AH90" s="29">
        <f t="shared" si="8"/>
        <v>0</v>
      </c>
      <c r="AI90" s="29">
        <f t="shared" si="8"/>
        <v>0</v>
      </c>
      <c r="AJ90" s="29">
        <f t="shared" si="8"/>
        <v>0</v>
      </c>
      <c r="AK90" s="29">
        <f t="shared" si="8"/>
        <v>0</v>
      </c>
      <c r="AL90" s="29">
        <f t="shared" si="8"/>
        <v>0</v>
      </c>
      <c r="AM90" s="29">
        <f t="shared" si="8"/>
        <v>0</v>
      </c>
      <c r="AN90" s="29">
        <f t="shared" si="8"/>
        <v>0</v>
      </c>
      <c r="AO90" s="29">
        <f t="shared" si="8"/>
        <v>0</v>
      </c>
      <c r="AP90" s="29">
        <f t="shared" si="8"/>
        <v>0</v>
      </c>
      <c r="AQ90" s="29">
        <f t="shared" si="8"/>
        <v>0</v>
      </c>
      <c r="AR90" s="29">
        <f t="shared" si="8"/>
        <v>0</v>
      </c>
      <c r="AS90" s="29">
        <f t="shared" si="8"/>
        <v>0</v>
      </c>
      <c r="AT90" s="29">
        <f t="shared" si="8"/>
        <v>0</v>
      </c>
      <c r="AU90" s="29">
        <f t="shared" si="8"/>
        <v>0</v>
      </c>
      <c r="AV90" s="29">
        <f t="shared" si="8"/>
        <v>0</v>
      </c>
      <c r="AW90" s="29">
        <f t="shared" si="8"/>
        <v>0</v>
      </c>
      <c r="AX90" s="29">
        <f t="shared" si="8"/>
        <v>0</v>
      </c>
      <c r="AY90" s="29">
        <f t="shared" si="8"/>
        <v>0</v>
      </c>
      <c r="AZ90" s="29">
        <f t="shared" si="8"/>
        <v>0</v>
      </c>
      <c r="BA90" s="29">
        <f t="shared" si="8"/>
        <v>0</v>
      </c>
      <c r="BB90" s="29">
        <f t="shared" si="8"/>
        <v>0</v>
      </c>
      <c r="BC90" s="29">
        <f t="shared" si="8"/>
        <v>0</v>
      </c>
      <c r="BD90" s="29">
        <f t="shared" si="8"/>
        <v>0</v>
      </c>
      <c r="BE90" s="29">
        <f t="shared" si="8"/>
        <v>0</v>
      </c>
      <c r="BF90" s="29">
        <f t="shared" si="8"/>
        <v>0</v>
      </c>
      <c r="BG90" s="29">
        <f t="shared" si="8"/>
        <v>0</v>
      </c>
      <c r="BH90" s="17"/>
      <c r="BI90" s="17"/>
    </row>
    <row r="91" spans="1:61" s="17" customFormat="1" ht="15.75" hidden="1" customHeight="1">
      <c r="A91" s="101"/>
      <c r="B91" s="114"/>
      <c r="C91" s="116"/>
      <c r="D91" s="118"/>
      <c r="E91" s="116"/>
      <c r="F91" s="116"/>
      <c r="G91" s="120"/>
      <c r="H91" s="109"/>
      <c r="I91" s="90"/>
      <c r="J91" s="90"/>
      <c r="K91" s="20"/>
      <c r="L91" s="20"/>
      <c r="M91" s="20"/>
      <c r="N91" s="97"/>
      <c r="O91" s="21"/>
      <c r="P91" s="27"/>
      <c r="Q91" s="99"/>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c r="B93" s="114"/>
      <c r="C93" s="116"/>
      <c r="D93" s="118"/>
      <c r="E93" s="116"/>
      <c r="F93" s="116"/>
      <c r="G93" s="120"/>
      <c r="H93" s="90"/>
      <c r="I93" s="90"/>
      <c r="J93" s="90"/>
      <c r="K93" s="20"/>
      <c r="L93" s="20"/>
      <c r="M93" s="20"/>
      <c r="N93" s="97"/>
      <c r="O93" s="21"/>
      <c r="P93" s="27"/>
      <c r="Q93" s="99"/>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v>45163</v>
      </c>
      <c r="B95" s="114" t="s">
        <v>37</v>
      </c>
      <c r="C95" s="116"/>
      <c r="D95" s="118"/>
      <c r="E95" s="116"/>
      <c r="F95" s="116"/>
      <c r="G95" s="120"/>
      <c r="H95" s="90"/>
      <c r="I95" s="90"/>
      <c r="J95" s="90"/>
      <c r="K95" s="20"/>
      <c r="L95" s="20"/>
      <c r="M95" s="20"/>
      <c r="N95" s="97" t="e">
        <f>O96/L96</f>
        <v>#DIV/0!</v>
      </c>
      <c r="O95" s="21">
        <f>L95-M95</f>
        <v>0</v>
      </c>
      <c r="P95" s="27"/>
      <c r="Q95" s="99">
        <f>+L96-P96</f>
        <v>0</v>
      </c>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f>L96-M96</f>
        <v>0</v>
      </c>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row>
    <row r="97" spans="1:61" s="17" customFormat="1" ht="15.75" hidden="1" customHeight="1">
      <c r="A97" s="101">
        <v>45163</v>
      </c>
      <c r="B97" s="114" t="s">
        <v>37</v>
      </c>
      <c r="C97" s="116"/>
      <c r="D97" s="118"/>
      <c r="E97" s="116"/>
      <c r="F97" s="116"/>
      <c r="G97" s="120"/>
      <c r="H97" s="90"/>
      <c r="I97" s="90"/>
      <c r="J97" s="90"/>
      <c r="K97" s="20"/>
      <c r="L97" s="20"/>
      <c r="M97" s="20"/>
      <c r="N97" s="97" t="e">
        <f>O98/L98</f>
        <v>#DIV/0!</v>
      </c>
      <c r="O97" s="21">
        <f>L97-M97</f>
        <v>0</v>
      </c>
      <c r="P97" s="27"/>
      <c r="Q97" s="99">
        <f>+L98-P98</f>
        <v>0</v>
      </c>
      <c r="R97" s="154"/>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5"/>
      <c r="AZ97" s="155"/>
      <c r="BA97" s="155"/>
      <c r="BB97" s="155"/>
      <c r="BC97" s="155"/>
      <c r="BD97" s="155"/>
      <c r="BE97" s="96"/>
      <c r="BF97" s="155"/>
      <c r="BG97" s="155"/>
    </row>
    <row r="98" spans="1:61" s="17" customFormat="1" ht="15.75" hidden="1" customHeight="1">
      <c r="A98" s="102"/>
      <c r="B98" s="115"/>
      <c r="C98" s="117"/>
      <c r="D98" s="119"/>
      <c r="E98" s="117"/>
      <c r="F98" s="117"/>
      <c r="G98" s="121"/>
      <c r="H98" s="95"/>
      <c r="I98" s="95"/>
      <c r="J98" s="95"/>
      <c r="K98" s="22"/>
      <c r="L98" s="18"/>
      <c r="M98" s="18"/>
      <c r="N98" s="98"/>
      <c r="O98" s="19">
        <f>L98-M98</f>
        <v>0</v>
      </c>
      <c r="P98" s="22"/>
      <c r="Q98" s="100"/>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6"/>
      <c r="AZ98" s="156"/>
      <c r="BA98" s="156"/>
      <c r="BB98" s="156"/>
      <c r="BC98" s="156"/>
      <c r="BD98" s="156"/>
      <c r="BE98" s="96"/>
      <c r="BF98" s="156"/>
      <c r="BG98" s="156"/>
      <c r="BH98" s="1"/>
      <c r="BI98" s="1"/>
    </row>
    <row r="99" spans="1:61" ht="24.75" hidden="1" customHeight="1">
      <c r="A99" s="111" t="s">
        <v>48</v>
      </c>
      <c r="B99" s="112"/>
      <c r="C99" s="112"/>
      <c r="D99" s="112"/>
      <c r="E99" s="112"/>
      <c r="F99" s="112"/>
      <c r="G99" s="112"/>
      <c r="H99" s="112"/>
      <c r="I99" s="113"/>
      <c r="J99" s="5">
        <f>SUM(J91:J98)</f>
        <v>0</v>
      </c>
      <c r="K99" s="5">
        <f>+SUMPRODUCT(((MOD(ROW(K91:K98),2)=0)*(K91:K98)))</f>
        <v>0</v>
      </c>
      <c r="L99" s="5">
        <f>+SUMPRODUCT(((MOD(ROW(L91:L98),2)=0)*(L91:L98)))</f>
        <v>0</v>
      </c>
      <c r="M99" s="5">
        <f>+SUMPRODUCT(((MOD(ROW(M91:M98),2)=0)*(M91:M98)))</f>
        <v>0</v>
      </c>
      <c r="N99" s="6" t="e">
        <f>O99/L99</f>
        <v>#DIV/0!</v>
      </c>
      <c r="O99" s="5">
        <f>+SUMPRODUCT(((MOD(ROW(O91:O98),2)=0)*(O91:O98)))</f>
        <v>0</v>
      </c>
      <c r="P99" s="5">
        <f>+SUMPRODUCT(((MOD(ROW(P91:P98),2)=0)*(P91:P98)))</f>
        <v>0</v>
      </c>
      <c r="Q99" s="29">
        <f>SUM(Q91:Q98)</f>
        <v>0</v>
      </c>
      <c r="R99" s="29"/>
      <c r="S99" s="29">
        <f t="shared" ref="S99:BG99" si="9">SUM(S91:S98)</f>
        <v>0</v>
      </c>
      <c r="T99" s="29">
        <f t="shared" si="9"/>
        <v>0</v>
      </c>
      <c r="U99" s="29">
        <f t="shared" si="9"/>
        <v>0</v>
      </c>
      <c r="V99" s="29">
        <f t="shared" si="9"/>
        <v>0</v>
      </c>
      <c r="W99" s="29">
        <f t="shared" si="9"/>
        <v>0</v>
      </c>
      <c r="X99" s="29">
        <f t="shared" si="9"/>
        <v>0</v>
      </c>
      <c r="Y99" s="29">
        <f t="shared" si="9"/>
        <v>0</v>
      </c>
      <c r="Z99" s="29">
        <f t="shared" si="9"/>
        <v>0</v>
      </c>
      <c r="AA99" s="29">
        <f t="shared" si="9"/>
        <v>0</v>
      </c>
      <c r="AB99" s="29">
        <f t="shared" si="9"/>
        <v>0</v>
      </c>
      <c r="AC99" s="29">
        <f t="shared" si="9"/>
        <v>0</v>
      </c>
      <c r="AD99" s="29">
        <f t="shared" si="9"/>
        <v>0</v>
      </c>
      <c r="AE99" s="29">
        <f t="shared" si="9"/>
        <v>0</v>
      </c>
      <c r="AF99" s="29">
        <f t="shared" si="9"/>
        <v>0</v>
      </c>
      <c r="AG99" s="29">
        <f t="shared" si="9"/>
        <v>0</v>
      </c>
      <c r="AH99" s="29">
        <f t="shared" si="9"/>
        <v>0</v>
      </c>
      <c r="AI99" s="29">
        <f t="shared" si="9"/>
        <v>0</v>
      </c>
      <c r="AJ99" s="29">
        <f t="shared" si="9"/>
        <v>0</v>
      </c>
      <c r="AK99" s="29">
        <f t="shared" si="9"/>
        <v>0</v>
      </c>
      <c r="AL99" s="29">
        <f t="shared" si="9"/>
        <v>0</v>
      </c>
      <c r="AM99" s="29">
        <f t="shared" si="9"/>
        <v>0</v>
      </c>
      <c r="AN99" s="29">
        <f t="shared" si="9"/>
        <v>0</v>
      </c>
      <c r="AO99" s="29">
        <f t="shared" si="9"/>
        <v>0</v>
      </c>
      <c r="AP99" s="29">
        <f t="shared" si="9"/>
        <v>0</v>
      </c>
      <c r="AQ99" s="29">
        <f t="shared" si="9"/>
        <v>0</v>
      </c>
      <c r="AR99" s="29">
        <f t="shared" si="9"/>
        <v>0</v>
      </c>
      <c r="AS99" s="29">
        <f t="shared" si="9"/>
        <v>0</v>
      </c>
      <c r="AT99" s="29">
        <f t="shared" si="9"/>
        <v>0</v>
      </c>
      <c r="AU99" s="29">
        <f t="shared" si="9"/>
        <v>0</v>
      </c>
      <c r="AV99" s="29">
        <f t="shared" si="9"/>
        <v>0</v>
      </c>
      <c r="AW99" s="29">
        <f t="shared" si="9"/>
        <v>0</v>
      </c>
      <c r="AX99" s="29">
        <f t="shared" si="9"/>
        <v>0</v>
      </c>
      <c r="AY99" s="29">
        <f t="shared" si="9"/>
        <v>0</v>
      </c>
      <c r="AZ99" s="29">
        <f t="shared" si="9"/>
        <v>0</v>
      </c>
      <c r="BA99" s="29">
        <f t="shared" si="9"/>
        <v>0</v>
      </c>
      <c r="BB99" s="29">
        <f t="shared" si="9"/>
        <v>0</v>
      </c>
      <c r="BC99" s="29">
        <f t="shared" si="9"/>
        <v>0</v>
      </c>
      <c r="BD99" s="29">
        <f t="shared" si="9"/>
        <v>0</v>
      </c>
      <c r="BE99" s="29">
        <f t="shared" si="9"/>
        <v>0</v>
      </c>
      <c r="BF99" s="29">
        <f t="shared" si="9"/>
        <v>0</v>
      </c>
      <c r="BG99" s="29">
        <f t="shared" si="9"/>
        <v>0</v>
      </c>
      <c r="BH99" s="17"/>
      <c r="BI99" s="17"/>
    </row>
    <row r="100" spans="1:61" s="17" customFormat="1" ht="15.75" hidden="1" customHeight="1">
      <c r="A100" s="101"/>
      <c r="B100" s="114"/>
      <c r="C100" s="116"/>
      <c r="D100" s="118"/>
      <c r="E100" s="157"/>
      <c r="F100" s="116"/>
      <c r="G100" s="120"/>
      <c r="H100" s="109"/>
      <c r="I100" s="90"/>
      <c r="J100" s="90"/>
      <c r="K100" s="20"/>
      <c r="L100" s="20"/>
      <c r="M100" s="20"/>
      <c r="N100" s="97"/>
      <c r="O100" s="21"/>
      <c r="P100" s="27"/>
      <c r="Q100" s="99"/>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45061</v>
      </c>
      <c r="B102" s="114" t="s">
        <v>37</v>
      </c>
      <c r="C102" s="116"/>
      <c r="D102" s="118"/>
      <c r="E102" s="157"/>
      <c r="F102" s="116"/>
      <c r="G102" s="120"/>
      <c r="H102" s="90"/>
      <c r="I102" s="90"/>
      <c r="J102" s="90"/>
      <c r="K102" s="20"/>
      <c r="L102" s="20"/>
      <c r="M102" s="20"/>
      <c r="N102" s="97" t="e">
        <f>O103/L103</f>
        <v>#DIV/0!</v>
      </c>
      <c r="O102" s="21">
        <f t="shared" ref="O102:O107" si="10">L102-M102</f>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44990</v>
      </c>
      <c r="B104" s="114" t="s">
        <v>37</v>
      </c>
      <c r="C104" s="116"/>
      <c r="D104" s="118"/>
      <c r="E104" s="116"/>
      <c r="F104" s="116"/>
      <c r="G104" s="120"/>
      <c r="H104" s="90"/>
      <c r="I104" s="90"/>
      <c r="J104" s="90"/>
      <c r="K104" s="20"/>
      <c r="L104" s="20"/>
      <c r="M104" s="20"/>
      <c r="N104" s="97" t="e">
        <f>O105/L105</f>
        <v>#DIV/0!</v>
      </c>
      <c r="O104" s="21">
        <f t="shared" si="10"/>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10"/>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row>
    <row r="106" spans="1:61" s="17" customFormat="1" ht="15.75" hidden="1" customHeight="1">
      <c r="A106" s="101">
        <v>44990</v>
      </c>
      <c r="B106" s="114" t="s">
        <v>37</v>
      </c>
      <c r="C106" s="116"/>
      <c r="D106" s="118"/>
      <c r="E106" s="116"/>
      <c r="F106" s="116"/>
      <c r="G106" s="120"/>
      <c r="H106" s="90"/>
      <c r="I106" s="90"/>
      <c r="J106" s="90"/>
      <c r="K106" s="20"/>
      <c r="L106" s="20"/>
      <c r="M106" s="20"/>
      <c r="N106" s="97" t="e">
        <f>O107/L107</f>
        <v>#DIV/0!</v>
      </c>
      <c r="O106" s="21">
        <f t="shared" si="10"/>
        <v>0</v>
      </c>
      <c r="P106" s="27"/>
      <c r="Q106" s="99">
        <f>+L107-P107</f>
        <v>0</v>
      </c>
      <c r="R106" s="101"/>
      <c r="S106" s="96"/>
      <c r="T106" s="96"/>
      <c r="U106" s="96"/>
      <c r="V106" s="96"/>
      <c r="W106" s="96"/>
      <c r="X106" s="96"/>
      <c r="Y106" s="96"/>
      <c r="Z106" s="96"/>
      <c r="AA106" s="96"/>
      <c r="AB106" s="96"/>
      <c r="AC106" s="96"/>
      <c r="AD106" s="96"/>
      <c r="AE106" s="96"/>
      <c r="AF106" s="96"/>
      <c r="AG106" s="96"/>
      <c r="AH106" s="96"/>
      <c r="AI106" s="96"/>
      <c r="AJ106" s="96"/>
      <c r="AK106" s="96"/>
      <c r="AL106" s="96"/>
      <c r="AM106" s="96"/>
      <c r="AN106" s="96"/>
      <c r="AO106" s="96"/>
      <c r="AP106" s="96"/>
      <c r="AQ106" s="96"/>
      <c r="AR106" s="96"/>
      <c r="AS106" s="96"/>
      <c r="AT106" s="96"/>
      <c r="AU106" s="96"/>
      <c r="AV106" s="96"/>
      <c r="AW106" s="96"/>
      <c r="AX106" s="96"/>
      <c r="AY106" s="155"/>
      <c r="AZ106" s="155"/>
      <c r="BA106" s="155"/>
      <c r="BB106" s="155"/>
      <c r="BC106" s="155"/>
      <c r="BD106" s="155"/>
      <c r="BE106" s="96"/>
      <c r="BF106" s="155"/>
      <c r="BG106" s="155"/>
    </row>
    <row r="107" spans="1:61" s="17" customFormat="1" ht="15.75" hidden="1" customHeight="1">
      <c r="A107" s="102"/>
      <c r="B107" s="115"/>
      <c r="C107" s="117"/>
      <c r="D107" s="119"/>
      <c r="E107" s="117"/>
      <c r="F107" s="117"/>
      <c r="G107" s="121"/>
      <c r="H107" s="95"/>
      <c r="I107" s="95"/>
      <c r="J107" s="95"/>
      <c r="K107" s="22"/>
      <c r="L107" s="18"/>
      <c r="M107" s="18"/>
      <c r="N107" s="98"/>
      <c r="O107" s="19">
        <f t="shared" si="10"/>
        <v>0</v>
      </c>
      <c r="P107" s="22"/>
      <c r="Q107" s="100"/>
      <c r="R107" s="102"/>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156"/>
      <c r="AZ107" s="156"/>
      <c r="BA107" s="156"/>
      <c r="BB107" s="156"/>
      <c r="BC107" s="156"/>
      <c r="BD107" s="156"/>
      <c r="BE107" s="96"/>
      <c r="BF107" s="156"/>
      <c r="BG107" s="156"/>
      <c r="BH107" s="1"/>
      <c r="BI107" s="1"/>
    </row>
    <row r="108" spans="1:61" ht="24.75" hidden="1" customHeight="1">
      <c r="A108" s="111" t="s">
        <v>46</v>
      </c>
      <c r="B108" s="112"/>
      <c r="C108" s="112"/>
      <c r="D108" s="112"/>
      <c r="E108" s="112"/>
      <c r="F108" s="112"/>
      <c r="G108" s="112"/>
      <c r="H108" s="112"/>
      <c r="I108" s="113"/>
      <c r="J108" s="5">
        <f>SUM(J100:J107)</f>
        <v>0</v>
      </c>
      <c r="K108" s="5">
        <f>+SUMPRODUCT(((MOD(ROW(K100:K107),2)=0)*(K100:K107)))</f>
        <v>0</v>
      </c>
      <c r="L108" s="5">
        <f>+SUMPRODUCT(((MOD(ROW(L100:L107),2)=0)*(L100:L107)))</f>
        <v>0</v>
      </c>
      <c r="M108" s="5">
        <f>+SUMPRODUCT(((MOD(ROW(M100:M107),2)=0)*(M100:M107)))</f>
        <v>0</v>
      </c>
      <c r="N108" s="6" t="e">
        <f>O108/L108</f>
        <v>#DIV/0!</v>
      </c>
      <c r="O108" s="5">
        <f>+SUMPRODUCT(((MOD(ROW(O100:O107),2)=0)*(O100:O107)))</f>
        <v>0</v>
      </c>
      <c r="P108" s="5">
        <f>+SUMPRODUCT(((MOD(ROW(P100:P107),2)=0)*(P100:P107)))</f>
        <v>0</v>
      </c>
      <c r="Q108" s="29">
        <f>SUM(Q100:Q107)</f>
        <v>0</v>
      </c>
      <c r="R108" s="29"/>
      <c r="S108" s="29">
        <f t="shared" ref="S108:BG108" si="11">SUM(S100:S107)</f>
        <v>0</v>
      </c>
      <c r="T108" s="29">
        <f t="shared" si="11"/>
        <v>0</v>
      </c>
      <c r="U108" s="29">
        <f t="shared" si="11"/>
        <v>0</v>
      </c>
      <c r="V108" s="29">
        <f t="shared" si="11"/>
        <v>0</v>
      </c>
      <c r="W108" s="29">
        <f t="shared" si="11"/>
        <v>0</v>
      </c>
      <c r="X108" s="29">
        <f t="shared" si="11"/>
        <v>0</v>
      </c>
      <c r="Y108" s="29">
        <f t="shared" si="11"/>
        <v>0</v>
      </c>
      <c r="Z108" s="29">
        <f t="shared" si="11"/>
        <v>0</v>
      </c>
      <c r="AA108" s="29">
        <f t="shared" si="11"/>
        <v>0</v>
      </c>
      <c r="AB108" s="29">
        <f t="shared" si="11"/>
        <v>0</v>
      </c>
      <c r="AC108" s="29">
        <f t="shared" si="11"/>
        <v>0</v>
      </c>
      <c r="AD108" s="29">
        <f t="shared" si="11"/>
        <v>0</v>
      </c>
      <c r="AE108" s="29">
        <f t="shared" si="11"/>
        <v>0</v>
      </c>
      <c r="AF108" s="29">
        <f t="shared" si="11"/>
        <v>0</v>
      </c>
      <c r="AG108" s="29">
        <f t="shared" si="11"/>
        <v>0</v>
      </c>
      <c r="AH108" s="29">
        <f t="shared" si="11"/>
        <v>0</v>
      </c>
      <c r="AI108" s="29">
        <f t="shared" si="11"/>
        <v>0</v>
      </c>
      <c r="AJ108" s="29">
        <f t="shared" si="11"/>
        <v>0</v>
      </c>
      <c r="AK108" s="29">
        <f t="shared" si="11"/>
        <v>0</v>
      </c>
      <c r="AL108" s="29">
        <f t="shared" si="11"/>
        <v>0</v>
      </c>
      <c r="AM108" s="29">
        <f t="shared" si="11"/>
        <v>0</v>
      </c>
      <c r="AN108" s="29">
        <f t="shared" si="11"/>
        <v>0</v>
      </c>
      <c r="AO108" s="29">
        <f t="shared" si="11"/>
        <v>0</v>
      </c>
      <c r="AP108" s="29">
        <f t="shared" si="11"/>
        <v>0</v>
      </c>
      <c r="AQ108" s="29">
        <f t="shared" si="11"/>
        <v>0</v>
      </c>
      <c r="AR108" s="29">
        <f t="shared" si="11"/>
        <v>0</v>
      </c>
      <c r="AS108" s="29">
        <f t="shared" si="11"/>
        <v>0</v>
      </c>
      <c r="AT108" s="29">
        <f t="shared" si="11"/>
        <v>0</v>
      </c>
      <c r="AU108" s="29">
        <f t="shared" si="11"/>
        <v>0</v>
      </c>
      <c r="AV108" s="29">
        <f t="shared" si="11"/>
        <v>0</v>
      </c>
      <c r="AW108" s="29">
        <f t="shared" si="11"/>
        <v>0</v>
      </c>
      <c r="AX108" s="29">
        <f t="shared" si="11"/>
        <v>0</v>
      </c>
      <c r="AY108" s="29">
        <f t="shared" si="11"/>
        <v>0</v>
      </c>
      <c r="AZ108" s="29">
        <f t="shared" si="11"/>
        <v>0</v>
      </c>
      <c r="BA108" s="29">
        <f t="shared" si="11"/>
        <v>0</v>
      </c>
      <c r="BB108" s="29">
        <f t="shared" si="11"/>
        <v>0</v>
      </c>
      <c r="BC108" s="29">
        <f t="shared" si="11"/>
        <v>0</v>
      </c>
      <c r="BD108" s="29">
        <f t="shared" si="11"/>
        <v>0</v>
      </c>
      <c r="BE108" s="29">
        <f t="shared" si="11"/>
        <v>0</v>
      </c>
      <c r="BF108" s="29">
        <f t="shared" si="11"/>
        <v>0</v>
      </c>
      <c r="BG108" s="29">
        <f t="shared" si="11"/>
        <v>0</v>
      </c>
    </row>
    <row r="109" spans="1:61" ht="24.75" customHeight="1">
      <c r="A109" s="122" t="s">
        <v>5</v>
      </c>
      <c r="B109" s="122"/>
      <c r="C109" s="122"/>
      <c r="D109" s="122"/>
      <c r="E109" s="122"/>
      <c r="F109" s="122"/>
      <c r="G109" s="122"/>
      <c r="H109" s="122"/>
      <c r="I109" s="122"/>
      <c r="J109" s="4">
        <f>J79+J90+J99+J108</f>
        <v>4097</v>
      </c>
      <c r="K109" s="4">
        <f>K79+K90+K99+K108</f>
        <v>240</v>
      </c>
      <c r="L109" s="4">
        <f>L79+L90+L99+L108</f>
        <v>225</v>
      </c>
      <c r="M109" s="4">
        <f>M79+M90+M99+M108</f>
        <v>140</v>
      </c>
      <c r="N109" s="33">
        <f>O109/L109</f>
        <v>0.37777777777777777</v>
      </c>
      <c r="O109" s="4">
        <f>O79+O90+O99+O108</f>
        <v>85</v>
      </c>
      <c r="P109" s="31">
        <f>P79+P90+P99+P108</f>
        <v>230</v>
      </c>
      <c r="Q109" s="31">
        <f>Q79+Q90+Q99+Q108</f>
        <v>225</v>
      </c>
      <c r="R109" s="4"/>
      <c r="S109" s="31">
        <f t="shared" ref="S109:BG109" si="12">S79+S90+S99+S108</f>
        <v>10</v>
      </c>
      <c r="T109" s="31">
        <f t="shared" si="12"/>
        <v>0</v>
      </c>
      <c r="U109" s="31">
        <f t="shared" si="12"/>
        <v>8</v>
      </c>
      <c r="V109" s="31">
        <f t="shared" si="12"/>
        <v>0</v>
      </c>
      <c r="W109" s="31">
        <f t="shared" si="12"/>
        <v>0</v>
      </c>
      <c r="X109" s="31">
        <f t="shared" si="12"/>
        <v>0</v>
      </c>
      <c r="Y109" s="31">
        <f t="shared" si="12"/>
        <v>0</v>
      </c>
      <c r="Z109" s="31">
        <f t="shared" si="12"/>
        <v>0</v>
      </c>
      <c r="AA109" s="31">
        <f t="shared" si="12"/>
        <v>0</v>
      </c>
      <c r="AB109" s="31">
        <f t="shared" si="12"/>
        <v>0</v>
      </c>
      <c r="AC109" s="31">
        <f t="shared" si="12"/>
        <v>23</v>
      </c>
      <c r="AD109" s="31">
        <f t="shared" si="12"/>
        <v>2</v>
      </c>
      <c r="AE109" s="31">
        <f t="shared" si="12"/>
        <v>1</v>
      </c>
      <c r="AF109" s="31">
        <f t="shared" si="12"/>
        <v>0</v>
      </c>
      <c r="AG109" s="31">
        <f t="shared" si="12"/>
        <v>0</v>
      </c>
      <c r="AH109" s="31">
        <f t="shared" si="12"/>
        <v>18</v>
      </c>
      <c r="AI109" s="31">
        <f t="shared" si="12"/>
        <v>0</v>
      </c>
      <c r="AJ109" s="31">
        <f t="shared" si="12"/>
        <v>0</v>
      </c>
      <c r="AK109" s="31">
        <f t="shared" si="12"/>
        <v>0</v>
      </c>
      <c r="AL109" s="31">
        <f t="shared" si="12"/>
        <v>13</v>
      </c>
      <c r="AM109" s="31">
        <f t="shared" si="12"/>
        <v>0</v>
      </c>
      <c r="AN109" s="31">
        <f t="shared" si="12"/>
        <v>0</v>
      </c>
      <c r="AO109" s="31">
        <f t="shared" si="12"/>
        <v>0</v>
      </c>
      <c r="AP109" s="31">
        <f t="shared" si="12"/>
        <v>0</v>
      </c>
      <c r="AQ109" s="31">
        <f t="shared" si="12"/>
        <v>0</v>
      </c>
      <c r="AR109" s="31">
        <f t="shared" si="12"/>
        <v>0</v>
      </c>
      <c r="AS109" s="31">
        <f t="shared" si="12"/>
        <v>0</v>
      </c>
      <c r="AT109" s="31">
        <f t="shared" si="12"/>
        <v>0</v>
      </c>
      <c r="AU109" s="31">
        <f t="shared" si="12"/>
        <v>0</v>
      </c>
      <c r="AV109" s="31">
        <f t="shared" si="12"/>
        <v>0</v>
      </c>
      <c r="AW109" s="31">
        <f t="shared" si="12"/>
        <v>0</v>
      </c>
      <c r="AX109" s="31">
        <f t="shared" si="12"/>
        <v>0</v>
      </c>
      <c r="AY109" s="31">
        <f t="shared" si="12"/>
        <v>0</v>
      </c>
      <c r="AZ109" s="31">
        <f t="shared" si="12"/>
        <v>0</v>
      </c>
      <c r="BA109" s="31">
        <f t="shared" si="12"/>
        <v>0</v>
      </c>
      <c r="BB109" s="31">
        <f t="shared" si="12"/>
        <v>0</v>
      </c>
      <c r="BC109" s="31">
        <f t="shared" si="12"/>
        <v>0</v>
      </c>
      <c r="BD109" s="31">
        <f t="shared" si="12"/>
        <v>0</v>
      </c>
      <c r="BE109" s="31">
        <f t="shared" si="12"/>
        <v>0</v>
      </c>
      <c r="BF109" s="31">
        <f t="shared" si="12"/>
        <v>10</v>
      </c>
      <c r="BG109" s="31">
        <f t="shared" si="12"/>
        <v>0</v>
      </c>
    </row>
    <row r="112" spans="1:61" s="25" customFormat="1" ht="35.25" customHeight="1">
      <c r="A112" s="2"/>
      <c r="B112" s="2"/>
      <c r="C112" s="2"/>
      <c r="D112" s="1"/>
      <c r="E112" s="1"/>
      <c r="F112" s="1"/>
      <c r="G112" s="1"/>
      <c r="H112" s="1"/>
      <c r="I112" s="1"/>
      <c r="J112" s="1"/>
      <c r="K112" s="35"/>
      <c r="L112" s="35"/>
      <c r="M112" s="35"/>
      <c r="N112" s="35"/>
      <c r="O112" s="35"/>
      <c r="P112" s="35"/>
      <c r="Q112" s="36"/>
      <c r="S112" s="8"/>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row>
    <row r="115" spans="1:61" s="25" customFormat="1" ht="33" customHeight="1">
      <c r="A115" s="2"/>
      <c r="B115" s="2"/>
      <c r="C115" s="2"/>
      <c r="D115" s="1"/>
      <c r="E115" s="1"/>
      <c r="F115" s="1"/>
      <c r="G115" s="1"/>
      <c r="H115" s="1"/>
      <c r="I115" s="1"/>
      <c r="J115" s="1"/>
      <c r="K115" s="1"/>
      <c r="L115" s="1"/>
      <c r="M115" s="1"/>
      <c r="N115" s="1"/>
      <c r="O115" s="1"/>
      <c r="S115" s="8"/>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row>
  </sheetData>
  <mergeCells count="2579">
    <mergeCell ref="A1:O1"/>
    <mergeCell ref="A2:O2"/>
    <mergeCell ref="S3:S4"/>
    <mergeCell ref="T3:T4"/>
    <mergeCell ref="U3:U4"/>
    <mergeCell ref="V3:V4"/>
    <mergeCell ref="AY3:AY4"/>
    <mergeCell ref="AZ3:AZ4"/>
    <mergeCell ref="BA3:BA4"/>
    <mergeCell ref="BB3:BB4"/>
    <mergeCell ref="BC3:BC4"/>
    <mergeCell ref="BD3:BD4"/>
    <mergeCell ref="BE3:BE4"/>
    <mergeCell ref="BF3:BF4"/>
    <mergeCell ref="BG3:BG4"/>
    <mergeCell ref="A5:A6"/>
    <mergeCell ref="B5:B6"/>
    <mergeCell ref="C5:C6"/>
    <mergeCell ref="D5:D6"/>
    <mergeCell ref="E5:E6"/>
    <mergeCell ref="F5:F6"/>
    <mergeCell ref="G5:G6"/>
    <mergeCell ref="H5:H6"/>
    <mergeCell ref="I5:I6"/>
    <mergeCell ref="J5:J6"/>
    <mergeCell ref="N5:N6"/>
    <mergeCell ref="Q5:Q6"/>
    <mergeCell ref="R5:R6"/>
    <mergeCell ref="S5:S6"/>
    <mergeCell ref="T5:T6"/>
    <mergeCell ref="W3:W4"/>
    <mergeCell ref="X3:X4"/>
    <mergeCell ref="Y3:Y4"/>
    <mergeCell ref="Z3:Z4"/>
    <mergeCell ref="AA3:AA4"/>
    <mergeCell ref="AB3:AB4"/>
    <mergeCell ref="AC3:AC4"/>
    <mergeCell ref="AD3:AD4"/>
    <mergeCell ref="AD5:AD6"/>
    <mergeCell ref="AE5:AE6"/>
    <mergeCell ref="AF5:AF6"/>
    <mergeCell ref="AQ3:AQ4"/>
    <mergeCell ref="AR3:AR4"/>
    <mergeCell ref="AQ5:AQ6"/>
    <mergeCell ref="AR5:AR6"/>
    <mergeCell ref="AG5:AG6"/>
    <mergeCell ref="AH5:AH6"/>
    <mergeCell ref="AI5:AI6"/>
    <mergeCell ref="AJ5:AJ6"/>
    <mergeCell ref="AK5:AK6"/>
    <mergeCell ref="AL5:AL6"/>
    <mergeCell ref="AU3:AU4"/>
    <mergeCell ref="AV3:AV4"/>
    <mergeCell ref="AW3:AW4"/>
    <mergeCell ref="AX3:AX4"/>
    <mergeCell ref="AE3:AE4"/>
    <mergeCell ref="AF3:AF4"/>
    <mergeCell ref="AG3:AG4"/>
    <mergeCell ref="AH3:AH4"/>
    <mergeCell ref="AS3:AS4"/>
    <mergeCell ref="AT3:AT4"/>
    <mergeCell ref="AI3:AI4"/>
    <mergeCell ref="AJ3:AJ4"/>
    <mergeCell ref="AK3:AK4"/>
    <mergeCell ref="AL3:AL4"/>
    <mergeCell ref="AM3:AM4"/>
    <mergeCell ref="AN3:AN4"/>
    <mergeCell ref="AO3:AO4"/>
    <mergeCell ref="AP3:AP4"/>
    <mergeCell ref="AX5:AX6"/>
    <mergeCell ref="AY5:AY6"/>
    <mergeCell ref="AZ5:AZ6"/>
    <mergeCell ref="BA5:BA6"/>
    <mergeCell ref="BB5:BB6"/>
    <mergeCell ref="BC5:BC6"/>
    <mergeCell ref="BD5:BD6"/>
    <mergeCell ref="BE5:BE6"/>
    <mergeCell ref="BF5:BF6"/>
    <mergeCell ref="BG5:BG6"/>
    <mergeCell ref="A7:A8"/>
    <mergeCell ref="B7:B8"/>
    <mergeCell ref="C7:C8"/>
    <mergeCell ref="D7:D8"/>
    <mergeCell ref="E7:E8"/>
    <mergeCell ref="F7:F8"/>
    <mergeCell ref="G7:G8"/>
    <mergeCell ref="H7:H8"/>
    <mergeCell ref="I7:I8"/>
    <mergeCell ref="J7:J8"/>
    <mergeCell ref="N7:N8"/>
    <mergeCell ref="Q7:Q8"/>
    <mergeCell ref="R7:R8"/>
    <mergeCell ref="U5:U6"/>
    <mergeCell ref="V5:V6"/>
    <mergeCell ref="W5:W6"/>
    <mergeCell ref="X5:X6"/>
    <mergeCell ref="Y5:Y6"/>
    <mergeCell ref="Z5:Z6"/>
    <mergeCell ref="AA5:AA6"/>
    <mergeCell ref="AB5:AB6"/>
    <mergeCell ref="AC5:AC6"/>
    <mergeCell ref="AG7:AG8"/>
    <mergeCell ref="AH7:AH8"/>
    <mergeCell ref="AI7:AI8"/>
    <mergeCell ref="AJ7:AJ8"/>
    <mergeCell ref="AM5:AM6"/>
    <mergeCell ref="AN5:AN6"/>
    <mergeCell ref="AO5:AO6"/>
    <mergeCell ref="AP5:AP6"/>
    <mergeCell ref="AO7:AO8"/>
    <mergeCell ref="AP7:AP8"/>
    <mergeCell ref="AS5:AS6"/>
    <mergeCell ref="AT5:AT6"/>
    <mergeCell ref="AU5:AU6"/>
    <mergeCell ref="AV5:AV6"/>
    <mergeCell ref="AW5:AW6"/>
    <mergeCell ref="AK7:AK8"/>
    <mergeCell ref="AL7:AL8"/>
    <mergeCell ref="AM7:AM8"/>
    <mergeCell ref="AN7:AN8"/>
    <mergeCell ref="AQ7:AQ8"/>
    <mergeCell ref="AR7:AR8"/>
    <mergeCell ref="AS7:AS8"/>
    <mergeCell ref="AT7:AT8"/>
    <mergeCell ref="AU7:AU8"/>
    <mergeCell ref="AV7:AV8"/>
    <mergeCell ref="AW7:AW8"/>
    <mergeCell ref="BA7:BA8"/>
    <mergeCell ref="BB7:BB8"/>
    <mergeCell ref="BC7:BC8"/>
    <mergeCell ref="BD7:BD8"/>
    <mergeCell ref="BE7:BE8"/>
    <mergeCell ref="BF7:BF8"/>
    <mergeCell ref="BG7:BG8"/>
    <mergeCell ref="A9:A10"/>
    <mergeCell ref="B9:B10"/>
    <mergeCell ref="C9:C10"/>
    <mergeCell ref="D9:D10"/>
    <mergeCell ref="E9:E10"/>
    <mergeCell ref="F9:F10"/>
    <mergeCell ref="G9:G10"/>
    <mergeCell ref="H9:H10"/>
    <mergeCell ref="I9:I10"/>
    <mergeCell ref="J9:J10"/>
    <mergeCell ref="N9:N10"/>
    <mergeCell ref="S7:S8"/>
    <mergeCell ref="T7:T8"/>
    <mergeCell ref="U7:U8"/>
    <mergeCell ref="V7:V8"/>
    <mergeCell ref="W7:W8"/>
    <mergeCell ref="X7:X8"/>
    <mergeCell ref="Y7:Y8"/>
    <mergeCell ref="Z7:Z8"/>
    <mergeCell ref="AA7:AA8"/>
    <mergeCell ref="AB7:AB8"/>
    <mergeCell ref="AC7:AC8"/>
    <mergeCell ref="AD7:AD8"/>
    <mergeCell ref="AE7:AE8"/>
    <mergeCell ref="AF7:AF8"/>
    <mergeCell ref="AX7:AX8"/>
    <mergeCell ref="AI9:AI10"/>
    <mergeCell ref="AJ9:AJ10"/>
    <mergeCell ref="AK9:AK10"/>
    <mergeCell ref="AL9:AL10"/>
    <mergeCell ref="BG9:BG10"/>
    <mergeCell ref="A11:A12"/>
    <mergeCell ref="B11:B12"/>
    <mergeCell ref="C11:C12"/>
    <mergeCell ref="D11:D12"/>
    <mergeCell ref="E11:E12"/>
    <mergeCell ref="F11:F12"/>
    <mergeCell ref="G11:G12"/>
    <mergeCell ref="H11:H12"/>
    <mergeCell ref="I11:I12"/>
    <mergeCell ref="Q9:Q10"/>
    <mergeCell ref="R9:R10"/>
    <mergeCell ref="S9:S10"/>
    <mergeCell ref="T9:T10"/>
    <mergeCell ref="U9:U10"/>
    <mergeCell ref="V9:V10"/>
    <mergeCell ref="W9:W10"/>
    <mergeCell ref="X9:X10"/>
    <mergeCell ref="AY7:AY8"/>
    <mergeCell ref="AZ7:AZ8"/>
    <mergeCell ref="Y9:Y10"/>
    <mergeCell ref="Z9:Z10"/>
    <mergeCell ref="AA9:AA10"/>
    <mergeCell ref="AB9:AB10"/>
    <mergeCell ref="AC9:AC10"/>
    <mergeCell ref="AD9:AD10"/>
    <mergeCell ref="AE9:AE10"/>
    <mergeCell ref="AF9:AF10"/>
    <mergeCell ref="AG9:AG10"/>
    <mergeCell ref="AH9:AH10"/>
    <mergeCell ref="AO9:AO10"/>
    <mergeCell ref="AP9:AP10"/>
    <mergeCell ref="AQ9:AQ10"/>
    <mergeCell ref="AR9:AR10"/>
    <mergeCell ref="AS9:AS10"/>
    <mergeCell ref="AT9:AT10"/>
    <mergeCell ref="AU9:AU10"/>
    <mergeCell ref="AM9:AM10"/>
    <mergeCell ref="AN9:AN10"/>
    <mergeCell ref="AV9:AV10"/>
    <mergeCell ref="AW9:AW10"/>
    <mergeCell ref="AX9:AX10"/>
    <mergeCell ref="AY9:AY10"/>
    <mergeCell ref="BC11:BC12"/>
    <mergeCell ref="AI11:AI12"/>
    <mergeCell ref="AJ11:AJ12"/>
    <mergeCell ref="BE11:BE12"/>
    <mergeCell ref="BF11:BF12"/>
    <mergeCell ref="AT11:AT12"/>
    <mergeCell ref="AU11:AU12"/>
    <mergeCell ref="AV11:AV12"/>
    <mergeCell ref="AW11:AW12"/>
    <mergeCell ref="AX11:AX12"/>
    <mergeCell ref="AY11:AY12"/>
    <mergeCell ref="AZ11:AZ12"/>
    <mergeCell ref="BA11:BA12"/>
    <mergeCell ref="BB11:BB12"/>
    <mergeCell ref="AZ9:AZ10"/>
    <mergeCell ref="BA9:BA10"/>
    <mergeCell ref="BB9:BB10"/>
    <mergeCell ref="BC9:BC10"/>
    <mergeCell ref="BD9:BD10"/>
    <mergeCell ref="BE9:BE10"/>
    <mergeCell ref="BF9:BF10"/>
    <mergeCell ref="BG11:BG12"/>
    <mergeCell ref="A13:A14"/>
    <mergeCell ref="B13:B14"/>
    <mergeCell ref="C13:C14"/>
    <mergeCell ref="D13:D14"/>
    <mergeCell ref="E13:E14"/>
    <mergeCell ref="F13:F14"/>
    <mergeCell ref="G13:G14"/>
    <mergeCell ref="J11:J12"/>
    <mergeCell ref="N11:N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11:AF12"/>
    <mergeCell ref="AW13:AW14"/>
    <mergeCell ref="AX13:AX14"/>
    <mergeCell ref="AY13:AY14"/>
    <mergeCell ref="AZ13:AZ14"/>
    <mergeCell ref="BA13:BA14"/>
    <mergeCell ref="BB13:BB14"/>
    <mergeCell ref="A15:A16"/>
    <mergeCell ref="B15:B16"/>
    <mergeCell ref="C15:C16"/>
    <mergeCell ref="D15:D16"/>
    <mergeCell ref="E15:E16"/>
    <mergeCell ref="AE13:AE14"/>
    <mergeCell ref="AM11:AM12"/>
    <mergeCell ref="AN11:AN12"/>
    <mergeCell ref="AO11:AO12"/>
    <mergeCell ref="AP11:AP12"/>
    <mergeCell ref="AQ11:AQ12"/>
    <mergeCell ref="AR11:AR12"/>
    <mergeCell ref="AS11:AS12"/>
    <mergeCell ref="F15:F16"/>
    <mergeCell ref="G15:G16"/>
    <mergeCell ref="H15:H16"/>
    <mergeCell ref="I15:I16"/>
    <mergeCell ref="J15:J16"/>
    <mergeCell ref="N15:N16"/>
    <mergeCell ref="Q15:Q16"/>
    <mergeCell ref="R15:R16"/>
    <mergeCell ref="S15:S16"/>
    <mergeCell ref="T15:T16"/>
    <mergeCell ref="U15:U16"/>
    <mergeCell ref="V15:V16"/>
    <mergeCell ref="AF13:AF14"/>
    <mergeCell ref="AG13:AG14"/>
    <mergeCell ref="AH13:AH14"/>
    <mergeCell ref="AK11:AK12"/>
    <mergeCell ref="AL11:AL12"/>
    <mergeCell ref="Y13:Y14"/>
    <mergeCell ref="Z13:Z14"/>
    <mergeCell ref="AA13:AA14"/>
    <mergeCell ref="H13:H14"/>
    <mergeCell ref="I13:I14"/>
    <mergeCell ref="J13:J14"/>
    <mergeCell ref="N13:N14"/>
    <mergeCell ref="Q13:Q14"/>
    <mergeCell ref="R13:R14"/>
    <mergeCell ref="S13:S14"/>
    <mergeCell ref="T13:T14"/>
    <mergeCell ref="U13:U14"/>
    <mergeCell ref="V13:V14"/>
    <mergeCell ref="W13:W14"/>
    <mergeCell ref="X13:X14"/>
    <mergeCell ref="AG11:AG12"/>
    <mergeCell ref="AH11:AH12"/>
    <mergeCell ref="BC13:BC14"/>
    <mergeCell ref="BD13:BD14"/>
    <mergeCell ref="BD11:BD12"/>
    <mergeCell ref="BE13:BE14"/>
    <mergeCell ref="BF13:BF14"/>
    <mergeCell ref="BG13:BG14"/>
    <mergeCell ref="AB13:AB14"/>
    <mergeCell ref="AC13:AC14"/>
    <mergeCell ref="AD13:AD14"/>
    <mergeCell ref="AK13:AK14"/>
    <mergeCell ref="AL13:AL14"/>
    <mergeCell ref="AM13:AM14"/>
    <mergeCell ref="AN13:AN14"/>
    <mergeCell ref="AO13:AO14"/>
    <mergeCell ref="AP13:AP14"/>
    <mergeCell ref="AQ13:AQ14"/>
    <mergeCell ref="AR13:AR14"/>
    <mergeCell ref="AS13:AS14"/>
    <mergeCell ref="AT13:AT14"/>
    <mergeCell ref="AU13:AU14"/>
    <mergeCell ref="AV13:AV14"/>
    <mergeCell ref="AI13:AI14"/>
    <mergeCell ref="AJ13:AJ14"/>
    <mergeCell ref="AX17:AX18"/>
    <mergeCell ref="AO17:AO18"/>
    <mergeCell ref="AP17:AP18"/>
    <mergeCell ref="AY15:AY16"/>
    <mergeCell ref="AZ15:AZ16"/>
    <mergeCell ref="BA15:BA16"/>
    <mergeCell ref="BB15:BB16"/>
    <mergeCell ref="BC15:BC16"/>
    <mergeCell ref="BD15:BD16"/>
    <mergeCell ref="BE15:BE16"/>
    <mergeCell ref="BF15:BF16"/>
    <mergeCell ref="BG15:BG16"/>
    <mergeCell ref="A17:A18"/>
    <mergeCell ref="B17:B18"/>
    <mergeCell ref="C17:C18"/>
    <mergeCell ref="D17:D18"/>
    <mergeCell ref="E17:E18"/>
    <mergeCell ref="F17:F18"/>
    <mergeCell ref="G17:G18"/>
    <mergeCell ref="H17:H18"/>
    <mergeCell ref="I17:I18"/>
    <mergeCell ref="J17:J18"/>
    <mergeCell ref="N17:N18"/>
    <mergeCell ref="Q17:Q18"/>
    <mergeCell ref="R17:R18"/>
    <mergeCell ref="S17:S18"/>
    <mergeCell ref="T17:T18"/>
    <mergeCell ref="W15:W16"/>
    <mergeCell ref="X15:X16"/>
    <mergeCell ref="Y15:Y16"/>
    <mergeCell ref="Z15:Z16"/>
    <mergeCell ref="AA15:AA16"/>
    <mergeCell ref="AU15:AU16"/>
    <mergeCell ref="AV15:AV16"/>
    <mergeCell ref="AW15:AW16"/>
    <mergeCell ref="AX15:AX16"/>
    <mergeCell ref="AE15:AE16"/>
    <mergeCell ref="AF15:AF16"/>
    <mergeCell ref="AG15:AG16"/>
    <mergeCell ref="AH15:AH16"/>
    <mergeCell ref="AS15:AS16"/>
    <mergeCell ref="AT15:AT16"/>
    <mergeCell ref="AI15:AI16"/>
    <mergeCell ref="AJ15:AJ16"/>
    <mergeCell ref="AK15:AK16"/>
    <mergeCell ref="AL15:AL16"/>
    <mergeCell ref="AM15:AM16"/>
    <mergeCell ref="AN15:AN16"/>
    <mergeCell ref="AO15:AO16"/>
    <mergeCell ref="AP15:AP16"/>
    <mergeCell ref="AA17:AA18"/>
    <mergeCell ref="AB17:AB18"/>
    <mergeCell ref="AC17:AC18"/>
    <mergeCell ref="AE19:AE20"/>
    <mergeCell ref="AD17:AD18"/>
    <mergeCell ref="AE17:AE18"/>
    <mergeCell ref="AF17:AF18"/>
    <mergeCell ref="AM17:AM18"/>
    <mergeCell ref="AN17:AN18"/>
    <mergeCell ref="AQ15:AQ16"/>
    <mergeCell ref="AR15:AR16"/>
    <mergeCell ref="AQ17:AQ18"/>
    <mergeCell ref="AR17:AR18"/>
    <mergeCell ref="AG17:AG18"/>
    <mergeCell ref="AH17:AH18"/>
    <mergeCell ref="AI17:AI18"/>
    <mergeCell ref="AJ17:AJ18"/>
    <mergeCell ref="AK17:AK18"/>
    <mergeCell ref="AL17:AL18"/>
    <mergeCell ref="AB15:AB16"/>
    <mergeCell ref="AC15:AC16"/>
    <mergeCell ref="AD15:AD16"/>
    <mergeCell ref="AB19:AB20"/>
    <mergeCell ref="AC19:AC20"/>
    <mergeCell ref="AD19:AD20"/>
    <mergeCell ref="C19:C20"/>
    <mergeCell ref="D19:D20"/>
    <mergeCell ref="E19:E20"/>
    <mergeCell ref="F19:F20"/>
    <mergeCell ref="G19:G20"/>
    <mergeCell ref="H19:H20"/>
    <mergeCell ref="I19:I20"/>
    <mergeCell ref="J19:J20"/>
    <mergeCell ref="N19:N20"/>
    <mergeCell ref="Q19:Q20"/>
    <mergeCell ref="R19:R20"/>
    <mergeCell ref="U17:U18"/>
    <mergeCell ref="V17:V18"/>
    <mergeCell ref="W17:W18"/>
    <mergeCell ref="X17:X18"/>
    <mergeCell ref="Y17:Y18"/>
    <mergeCell ref="Z17:Z18"/>
    <mergeCell ref="AW17:AW18"/>
    <mergeCell ref="AY19:AY20"/>
    <mergeCell ref="AY17:AY18"/>
    <mergeCell ref="AZ17:AZ18"/>
    <mergeCell ref="BA17:BA18"/>
    <mergeCell ref="BB17:BB18"/>
    <mergeCell ref="BC17:BC18"/>
    <mergeCell ref="BF19:BF20"/>
    <mergeCell ref="BG19:BG20"/>
    <mergeCell ref="A21:A22"/>
    <mergeCell ref="B21:B22"/>
    <mergeCell ref="C21:C22"/>
    <mergeCell ref="D21:D22"/>
    <mergeCell ref="E21:E22"/>
    <mergeCell ref="F21:F22"/>
    <mergeCell ref="G21:G22"/>
    <mergeCell ref="H21:H22"/>
    <mergeCell ref="I21:I22"/>
    <mergeCell ref="J21:J22"/>
    <mergeCell ref="N21:N22"/>
    <mergeCell ref="S19:S20"/>
    <mergeCell ref="T19:T20"/>
    <mergeCell ref="U19:U20"/>
    <mergeCell ref="V19:V20"/>
    <mergeCell ref="W19:W20"/>
    <mergeCell ref="X19:X20"/>
    <mergeCell ref="BD17:BD18"/>
    <mergeCell ref="BE17:BE18"/>
    <mergeCell ref="BF17:BF18"/>
    <mergeCell ref="BG17:BG18"/>
    <mergeCell ref="A19:A20"/>
    <mergeCell ref="B19:B20"/>
    <mergeCell ref="AF21:AF22"/>
    <mergeCell ref="AF19:AF20"/>
    <mergeCell ref="AG19:AG20"/>
    <mergeCell ref="AH19:AH20"/>
    <mergeCell ref="AI19:AI20"/>
    <mergeCell ref="AJ19:AJ20"/>
    <mergeCell ref="AR19:AR20"/>
    <mergeCell ref="AS19:AS20"/>
    <mergeCell ref="AT19:AT20"/>
    <mergeCell ref="AU19:AU20"/>
    <mergeCell ref="AV19:AV20"/>
    <mergeCell ref="AO19:AO20"/>
    <mergeCell ref="AP19:AP20"/>
    <mergeCell ref="AS17:AS18"/>
    <mergeCell ref="AT17:AT18"/>
    <mergeCell ref="AU17:AU18"/>
    <mergeCell ref="AV17:AV18"/>
    <mergeCell ref="AW19:AW20"/>
    <mergeCell ref="AX19:AX20"/>
    <mergeCell ref="AZ21:AZ22"/>
    <mergeCell ref="AJ21:AJ22"/>
    <mergeCell ref="AK21:AK22"/>
    <mergeCell ref="AL21:AL22"/>
    <mergeCell ref="AZ19:AZ20"/>
    <mergeCell ref="BA19:BA20"/>
    <mergeCell ref="BB19:BB20"/>
    <mergeCell ref="BC19:BC20"/>
    <mergeCell ref="BD19:BD20"/>
    <mergeCell ref="BE19:BE20"/>
    <mergeCell ref="Y21:Y22"/>
    <mergeCell ref="Z21:Z22"/>
    <mergeCell ref="AA21:AA22"/>
    <mergeCell ref="AB21:AB22"/>
    <mergeCell ref="AC21:AC22"/>
    <mergeCell ref="AD21:AD22"/>
    <mergeCell ref="AE21:AE22"/>
    <mergeCell ref="AI21:AI22"/>
    <mergeCell ref="AG21:AG22"/>
    <mergeCell ref="AH21:AH22"/>
    <mergeCell ref="AK19:AK20"/>
    <mergeCell ref="AL19:AL20"/>
    <mergeCell ref="AM19:AM20"/>
    <mergeCell ref="AN19:AN20"/>
    <mergeCell ref="AM21:AM22"/>
    <mergeCell ref="AN21:AN22"/>
    <mergeCell ref="AQ19:AQ20"/>
    <mergeCell ref="Y19:Y20"/>
    <mergeCell ref="Z19:Z20"/>
    <mergeCell ref="AA19:AA20"/>
    <mergeCell ref="A23:A24"/>
    <mergeCell ref="B23:B24"/>
    <mergeCell ref="C23:C24"/>
    <mergeCell ref="D23:D24"/>
    <mergeCell ref="E23:E24"/>
    <mergeCell ref="F23:F24"/>
    <mergeCell ref="G23:G24"/>
    <mergeCell ref="H23:H24"/>
    <mergeCell ref="I23:I24"/>
    <mergeCell ref="Q21:Q22"/>
    <mergeCell ref="R21:R22"/>
    <mergeCell ref="S21:S22"/>
    <mergeCell ref="T21:T22"/>
    <mergeCell ref="U21:U22"/>
    <mergeCell ref="V21:V22"/>
    <mergeCell ref="W21:W22"/>
    <mergeCell ref="X21:X22"/>
    <mergeCell ref="BG25:BG26"/>
    <mergeCell ref="AK23:AK24"/>
    <mergeCell ref="AL23:AL24"/>
    <mergeCell ref="AO21:AO22"/>
    <mergeCell ref="AP21:AP22"/>
    <mergeCell ref="AQ21:AQ22"/>
    <mergeCell ref="AR21:AR22"/>
    <mergeCell ref="AS21:AS22"/>
    <mergeCell ref="AT21:AT22"/>
    <mergeCell ref="AU21:AU22"/>
    <mergeCell ref="AV21:AV22"/>
    <mergeCell ref="AW21:AW22"/>
    <mergeCell ref="AX21:AX22"/>
    <mergeCell ref="AY21:AY22"/>
    <mergeCell ref="AT23:AT24"/>
    <mergeCell ref="AU23:AU24"/>
    <mergeCell ref="AV23:AV24"/>
    <mergeCell ref="AW23:AW24"/>
    <mergeCell ref="AX23:AX24"/>
    <mergeCell ref="AY23:AY24"/>
    <mergeCell ref="BA21:BA22"/>
    <mergeCell ref="BB21:BB22"/>
    <mergeCell ref="BC21:BC22"/>
    <mergeCell ref="BD21:BD22"/>
    <mergeCell ref="BE21:BE22"/>
    <mergeCell ref="BF21:BF22"/>
    <mergeCell ref="BG21:BG22"/>
    <mergeCell ref="AO25:AO26"/>
    <mergeCell ref="AP25:AP26"/>
    <mergeCell ref="BE25:BE26"/>
    <mergeCell ref="AT25:AT26"/>
    <mergeCell ref="AU25:AU26"/>
    <mergeCell ref="S27:S28"/>
    <mergeCell ref="AZ23:AZ24"/>
    <mergeCell ref="BA23:BA24"/>
    <mergeCell ref="BB23:BB24"/>
    <mergeCell ref="BC23:BC24"/>
    <mergeCell ref="BD23:BD24"/>
    <mergeCell ref="BE23:BE24"/>
    <mergeCell ref="BF23:BF24"/>
    <mergeCell ref="BG23:BG24"/>
    <mergeCell ref="A25:A26"/>
    <mergeCell ref="B25:B26"/>
    <mergeCell ref="C25:C26"/>
    <mergeCell ref="D25:D26"/>
    <mergeCell ref="E25:E26"/>
    <mergeCell ref="F25:F26"/>
    <mergeCell ref="G25:G26"/>
    <mergeCell ref="J23:J24"/>
    <mergeCell ref="N23:N24"/>
    <mergeCell ref="Q23:Q24"/>
    <mergeCell ref="R23:R24"/>
    <mergeCell ref="S23:S24"/>
    <mergeCell ref="T23:T24"/>
    <mergeCell ref="U23:U24"/>
    <mergeCell ref="V23:V24"/>
    <mergeCell ref="W23:W24"/>
    <mergeCell ref="X23:X24"/>
    <mergeCell ref="Y23:Y24"/>
    <mergeCell ref="AG23:AG24"/>
    <mergeCell ref="AH23:AH24"/>
    <mergeCell ref="AI23:AI24"/>
    <mergeCell ref="AJ23:AJ24"/>
    <mergeCell ref="BF25:BF26"/>
    <mergeCell ref="A27:A28"/>
    <mergeCell ref="B27:B28"/>
    <mergeCell ref="C27:C28"/>
    <mergeCell ref="D27:D28"/>
    <mergeCell ref="E27:E28"/>
    <mergeCell ref="AE25:AE26"/>
    <mergeCell ref="AM23:AM24"/>
    <mergeCell ref="AN23:AN24"/>
    <mergeCell ref="AO23:AO24"/>
    <mergeCell ref="AP23:AP24"/>
    <mergeCell ref="AQ23:AQ24"/>
    <mergeCell ref="AR23:AR24"/>
    <mergeCell ref="AS23:AS24"/>
    <mergeCell ref="Z23:Z24"/>
    <mergeCell ref="AA23:AA24"/>
    <mergeCell ref="AB23:AB24"/>
    <mergeCell ref="AC23:AC24"/>
    <mergeCell ref="AD23:AD24"/>
    <mergeCell ref="AE23:AE24"/>
    <mergeCell ref="AF23:AF24"/>
    <mergeCell ref="AB25:AB26"/>
    <mergeCell ref="AC25:AC26"/>
    <mergeCell ref="AD25:AD26"/>
    <mergeCell ref="F27:F28"/>
    <mergeCell ref="G27:G28"/>
    <mergeCell ref="H27:H28"/>
    <mergeCell ref="I27:I28"/>
    <mergeCell ref="J27:J28"/>
    <mergeCell ref="N27:N28"/>
    <mergeCell ref="Q27:Q28"/>
    <mergeCell ref="AQ25:AQ26"/>
    <mergeCell ref="AO27:AO28"/>
    <mergeCell ref="H25:H26"/>
    <mergeCell ref="I25:I26"/>
    <mergeCell ref="J25:J26"/>
    <mergeCell ref="N25:N26"/>
    <mergeCell ref="Q25:Q26"/>
    <mergeCell ref="R25:R26"/>
    <mergeCell ref="S25:S26"/>
    <mergeCell ref="T25:T26"/>
    <mergeCell ref="U25:U26"/>
    <mergeCell ref="V25:V26"/>
    <mergeCell ref="W25:W26"/>
    <mergeCell ref="X25:X26"/>
    <mergeCell ref="BC25:BC26"/>
    <mergeCell ref="BD25:BD26"/>
    <mergeCell ref="T27:T28"/>
    <mergeCell ref="U27:U28"/>
    <mergeCell ref="V27:V28"/>
    <mergeCell ref="AF25:AF26"/>
    <mergeCell ref="AG25:AG26"/>
    <mergeCell ref="AH25:AH26"/>
    <mergeCell ref="AI25:AI26"/>
    <mergeCell ref="AJ25:AJ26"/>
    <mergeCell ref="Y25:Y26"/>
    <mergeCell ref="Z25:Z26"/>
    <mergeCell ref="AA25:AA26"/>
    <mergeCell ref="AK25:AK26"/>
    <mergeCell ref="AL25:AL26"/>
    <mergeCell ref="AM25:AM26"/>
    <mergeCell ref="AN25:AN26"/>
    <mergeCell ref="AR25:AR26"/>
    <mergeCell ref="AS25:AS26"/>
    <mergeCell ref="R27:R28"/>
    <mergeCell ref="AV25:AV26"/>
    <mergeCell ref="AW25:AW26"/>
    <mergeCell ref="AX25:AX26"/>
    <mergeCell ref="AY25:AY26"/>
    <mergeCell ref="AZ25:AZ26"/>
    <mergeCell ref="BA25:BA26"/>
    <mergeCell ref="BB25:BB26"/>
    <mergeCell ref="AV27:AV28"/>
    <mergeCell ref="AW27:AW28"/>
    <mergeCell ref="AX27:AX28"/>
    <mergeCell ref="AY27:AY28"/>
    <mergeCell ref="AZ27:AZ28"/>
    <mergeCell ref="BA27:BA28"/>
    <mergeCell ref="BB27:BB28"/>
    <mergeCell ref="BC27:BC28"/>
    <mergeCell ref="BD27:BD28"/>
    <mergeCell ref="BE27:BE28"/>
    <mergeCell ref="BF27:BF28"/>
    <mergeCell ref="BG27:BG28"/>
    <mergeCell ref="A29:A30"/>
    <mergeCell ref="B29:B30"/>
    <mergeCell ref="C29:C30"/>
    <mergeCell ref="D29:D30"/>
    <mergeCell ref="E29:E30"/>
    <mergeCell ref="F29:F30"/>
    <mergeCell ref="G29:G30"/>
    <mergeCell ref="H29:H30"/>
    <mergeCell ref="I29:I30"/>
    <mergeCell ref="J29:J30"/>
    <mergeCell ref="N29:N30"/>
    <mergeCell ref="Q29:Q30"/>
    <mergeCell ref="R29:R30"/>
    <mergeCell ref="S29:S30"/>
    <mergeCell ref="T29:T30"/>
    <mergeCell ref="W27:W28"/>
    <mergeCell ref="X27:X28"/>
    <mergeCell ref="Y27:Y28"/>
    <mergeCell ref="Z27:Z28"/>
    <mergeCell ref="AA27:AA28"/>
    <mergeCell ref="AA29:AA30"/>
    <mergeCell ref="AB29:AB30"/>
    <mergeCell ref="AC29:AC30"/>
    <mergeCell ref="AD29:AD30"/>
    <mergeCell ref="AE29:AE30"/>
    <mergeCell ref="AF29:AF30"/>
    <mergeCell ref="AQ27:AQ28"/>
    <mergeCell ref="AR27:AR28"/>
    <mergeCell ref="AQ29:AQ30"/>
    <mergeCell ref="AU27:AU28"/>
    <mergeCell ref="AB27:AB28"/>
    <mergeCell ref="AC27:AC28"/>
    <mergeCell ref="AD27:AD28"/>
    <mergeCell ref="AE27:AE28"/>
    <mergeCell ref="AF27:AF28"/>
    <mergeCell ref="AG27:AG28"/>
    <mergeCell ref="AH27:AH28"/>
    <mergeCell ref="AS27:AS28"/>
    <mergeCell ref="AT27:AT28"/>
    <mergeCell ref="AI27:AI28"/>
    <mergeCell ref="AJ27:AJ28"/>
    <mergeCell ref="AK27:AK28"/>
    <mergeCell ref="AL27:AL28"/>
    <mergeCell ref="AM27:AM28"/>
    <mergeCell ref="AN27:AN28"/>
    <mergeCell ref="AU29:AU30"/>
    <mergeCell ref="AP27:AP28"/>
    <mergeCell ref="AW29:AW30"/>
    <mergeCell ref="AX29:AX30"/>
    <mergeCell ref="AY29:AY30"/>
    <mergeCell ref="AZ29:AZ30"/>
    <mergeCell ref="BA29:BA30"/>
    <mergeCell ref="BB29:BB30"/>
    <mergeCell ref="BC29:BC30"/>
    <mergeCell ref="BD29:BD30"/>
    <mergeCell ref="BE29:BE30"/>
    <mergeCell ref="BF29:BF30"/>
    <mergeCell ref="BG29:BG30"/>
    <mergeCell ref="A31:A32"/>
    <mergeCell ref="B31:B32"/>
    <mergeCell ref="C31:C32"/>
    <mergeCell ref="D31:D32"/>
    <mergeCell ref="E31:E32"/>
    <mergeCell ref="F31:F32"/>
    <mergeCell ref="G31:G32"/>
    <mergeCell ref="H31:H32"/>
    <mergeCell ref="I31:I32"/>
    <mergeCell ref="J31:J32"/>
    <mergeCell ref="N31:N32"/>
    <mergeCell ref="Q31:Q32"/>
    <mergeCell ref="R31:R32"/>
    <mergeCell ref="U29:U30"/>
    <mergeCell ref="V29:V30"/>
    <mergeCell ref="W29:W30"/>
    <mergeCell ref="X29:X30"/>
    <mergeCell ref="Y29:Y30"/>
    <mergeCell ref="Z29:Z30"/>
    <mergeCell ref="AB31:AB32"/>
    <mergeCell ref="AG29:AG30"/>
    <mergeCell ref="AJ31:AJ32"/>
    <mergeCell ref="AM29:AM30"/>
    <mergeCell ref="AN29:AN30"/>
    <mergeCell ref="AO29:AO30"/>
    <mergeCell ref="AP29:AP30"/>
    <mergeCell ref="AO31:AO32"/>
    <mergeCell ref="AP31:AP32"/>
    <mergeCell ref="AS29:AS30"/>
    <mergeCell ref="AT29:AT30"/>
    <mergeCell ref="AV31:AV32"/>
    <mergeCell ref="AV29:AV30"/>
    <mergeCell ref="AH29:AH30"/>
    <mergeCell ref="AI29:AI30"/>
    <mergeCell ref="AJ29:AJ30"/>
    <mergeCell ref="AK29:AK30"/>
    <mergeCell ref="AL29:AL30"/>
    <mergeCell ref="AR29:AR30"/>
    <mergeCell ref="AK31:AK32"/>
    <mergeCell ref="AL31:AL32"/>
    <mergeCell ref="AM31:AM32"/>
    <mergeCell ref="AN31:AN32"/>
    <mergeCell ref="AQ31:AQ32"/>
    <mergeCell ref="AR31:AR32"/>
    <mergeCell ref="AS31:AS32"/>
    <mergeCell ref="AT31:AT32"/>
    <mergeCell ref="AU31:AU32"/>
    <mergeCell ref="S31:S32"/>
    <mergeCell ref="T31:T32"/>
    <mergeCell ref="U31:U32"/>
    <mergeCell ref="V31:V32"/>
    <mergeCell ref="W31:W32"/>
    <mergeCell ref="X31:X32"/>
    <mergeCell ref="Y31:Y32"/>
    <mergeCell ref="Z31:Z32"/>
    <mergeCell ref="AA31:AA32"/>
    <mergeCell ref="AC35:AC36"/>
    <mergeCell ref="AC31:AC32"/>
    <mergeCell ref="AD31:AD32"/>
    <mergeCell ref="AE31:AE32"/>
    <mergeCell ref="AF31:AF32"/>
    <mergeCell ref="AG31:AG32"/>
    <mergeCell ref="AH31:AH32"/>
    <mergeCell ref="AI31:AI32"/>
    <mergeCell ref="Y35:Y36"/>
    <mergeCell ref="Z35:Z36"/>
    <mergeCell ref="AA35:AA36"/>
    <mergeCell ref="AB35:AB36"/>
    <mergeCell ref="X33:X34"/>
    <mergeCell ref="Y33:Y34"/>
    <mergeCell ref="Z33:Z34"/>
    <mergeCell ref="AA33:AA34"/>
    <mergeCell ref="AB33:AB34"/>
    <mergeCell ref="AC33:AC34"/>
    <mergeCell ref="AD33:AD34"/>
    <mergeCell ref="AE33:AE34"/>
    <mergeCell ref="AF33:AF34"/>
    <mergeCell ref="AG33:AG34"/>
    <mergeCell ref="AH33:AH34"/>
    <mergeCell ref="AU33:AU34"/>
    <mergeCell ref="AV33:AV34"/>
    <mergeCell ref="AW31:AW32"/>
    <mergeCell ref="AK35:AK36"/>
    <mergeCell ref="AL35:AL36"/>
    <mergeCell ref="BF35:BF36"/>
    <mergeCell ref="BG35:BG36"/>
    <mergeCell ref="AR35:AR36"/>
    <mergeCell ref="AS35:AS36"/>
    <mergeCell ref="AT35:AT36"/>
    <mergeCell ref="AU35:AU36"/>
    <mergeCell ref="AV35:AV36"/>
    <mergeCell ref="AX31:AX32"/>
    <mergeCell ref="AY31:AY32"/>
    <mergeCell ref="AZ31:AZ32"/>
    <mergeCell ref="BA31:BA32"/>
    <mergeCell ref="BB31:BB32"/>
    <mergeCell ref="BC31:BC32"/>
    <mergeCell ref="BD31:BD32"/>
    <mergeCell ref="BE31:BE32"/>
    <mergeCell ref="BF31:BF32"/>
    <mergeCell ref="BG31:BG32"/>
    <mergeCell ref="AX35:AX36"/>
    <mergeCell ref="BC33:BC34"/>
    <mergeCell ref="BD33:BD34"/>
    <mergeCell ref="BE33:BE34"/>
    <mergeCell ref="BF33:BF34"/>
    <mergeCell ref="BG33:BG34"/>
    <mergeCell ref="AN33:AN34"/>
    <mergeCell ref="BC35:BC36"/>
    <mergeCell ref="BD35:BD36"/>
    <mergeCell ref="BE35:BE36"/>
    <mergeCell ref="I37:I38"/>
    <mergeCell ref="Q35:Q36"/>
    <mergeCell ref="R35:R36"/>
    <mergeCell ref="S35:S36"/>
    <mergeCell ref="T35:T36"/>
    <mergeCell ref="U35:U36"/>
    <mergeCell ref="V35:V36"/>
    <mergeCell ref="W35:W36"/>
    <mergeCell ref="X35:X36"/>
    <mergeCell ref="A35:A36"/>
    <mergeCell ref="B35:B36"/>
    <mergeCell ref="C35:C36"/>
    <mergeCell ref="D35:D36"/>
    <mergeCell ref="E35:E36"/>
    <mergeCell ref="F35:F36"/>
    <mergeCell ref="G35:G36"/>
    <mergeCell ref="H35:H36"/>
    <mergeCell ref="I35:I36"/>
    <mergeCell ref="J35:J36"/>
    <mergeCell ref="N35:N36"/>
    <mergeCell ref="AD37:AD38"/>
    <mergeCell ref="AD35:AD36"/>
    <mergeCell ref="AE35:AE36"/>
    <mergeCell ref="AF35:AF36"/>
    <mergeCell ref="AG35:AG36"/>
    <mergeCell ref="AH35:AH36"/>
    <mergeCell ref="AI35:AI36"/>
    <mergeCell ref="AJ35:AJ36"/>
    <mergeCell ref="AK37:AK38"/>
    <mergeCell ref="AL37:AL38"/>
    <mergeCell ref="AO35:AO36"/>
    <mergeCell ref="AP35:AP36"/>
    <mergeCell ref="AQ35:AQ36"/>
    <mergeCell ref="AM35:AM36"/>
    <mergeCell ref="AN35:AN36"/>
    <mergeCell ref="AH37:AH38"/>
    <mergeCell ref="AI37:AI38"/>
    <mergeCell ref="AO37:AO38"/>
    <mergeCell ref="AW35:AW36"/>
    <mergeCell ref="BF37:BF38"/>
    <mergeCell ref="BG37:BG38"/>
    <mergeCell ref="A39:A40"/>
    <mergeCell ref="B39:B40"/>
    <mergeCell ref="C39:C40"/>
    <mergeCell ref="D39:D40"/>
    <mergeCell ref="E39:E40"/>
    <mergeCell ref="F39:F40"/>
    <mergeCell ref="G39:G40"/>
    <mergeCell ref="J37:J38"/>
    <mergeCell ref="N37:N38"/>
    <mergeCell ref="Q37:Q38"/>
    <mergeCell ref="R37:R38"/>
    <mergeCell ref="S37:S38"/>
    <mergeCell ref="T37:T38"/>
    <mergeCell ref="U37:U38"/>
    <mergeCell ref="V37:V38"/>
    <mergeCell ref="W37:W38"/>
    <mergeCell ref="X37:X38"/>
    <mergeCell ref="Y37:Y38"/>
    <mergeCell ref="Z37:Z38"/>
    <mergeCell ref="AA37:AA38"/>
    <mergeCell ref="AB37:AB38"/>
    <mergeCell ref="AC37:AC38"/>
    <mergeCell ref="AG37:AG38"/>
    <mergeCell ref="AE37:AE38"/>
    <mergeCell ref="AF37:AF38"/>
    <mergeCell ref="AI39:AI40"/>
    <mergeCell ref="AJ39:AJ40"/>
    <mergeCell ref="AM37:AM38"/>
    <mergeCell ref="AN37:AN38"/>
    <mergeCell ref="BC39:BC40"/>
    <mergeCell ref="BD39:BD40"/>
    <mergeCell ref="BE39:BE40"/>
    <mergeCell ref="AR39:AR40"/>
    <mergeCell ref="AS39:AS40"/>
    <mergeCell ref="AT39:AT40"/>
    <mergeCell ref="AU39:AU40"/>
    <mergeCell ref="AV39:AV40"/>
    <mergeCell ref="AW39:AW40"/>
    <mergeCell ref="AX39:AX40"/>
    <mergeCell ref="AY39:AY40"/>
    <mergeCell ref="AZ39:AZ40"/>
    <mergeCell ref="BA39:BA40"/>
    <mergeCell ref="AY37:AY38"/>
    <mergeCell ref="AZ37:AZ38"/>
    <mergeCell ref="BA37:BA38"/>
    <mergeCell ref="BB37:BB38"/>
    <mergeCell ref="BC37:BC38"/>
    <mergeCell ref="AX37:AX38"/>
    <mergeCell ref="BD37:BD38"/>
    <mergeCell ref="BE37:BE38"/>
    <mergeCell ref="AR37:AR38"/>
    <mergeCell ref="AS37:AS38"/>
    <mergeCell ref="AT37:AT38"/>
    <mergeCell ref="AU37:AU38"/>
    <mergeCell ref="AV37:AV38"/>
    <mergeCell ref="AW37:AW38"/>
    <mergeCell ref="BF39:BF40"/>
    <mergeCell ref="BG39:BG40"/>
    <mergeCell ref="A41:A42"/>
    <mergeCell ref="B41:B42"/>
    <mergeCell ref="C41:C42"/>
    <mergeCell ref="D41:D42"/>
    <mergeCell ref="E41:E42"/>
    <mergeCell ref="H39:H40"/>
    <mergeCell ref="I39:I40"/>
    <mergeCell ref="J39:J40"/>
    <mergeCell ref="N39:N40"/>
    <mergeCell ref="Q39:Q40"/>
    <mergeCell ref="R39:R40"/>
    <mergeCell ref="S39:S40"/>
    <mergeCell ref="T39:T40"/>
    <mergeCell ref="U39:U40"/>
    <mergeCell ref="V39:V40"/>
    <mergeCell ref="W39:W40"/>
    <mergeCell ref="X39:X40"/>
    <mergeCell ref="Y39:Y40"/>
    <mergeCell ref="Z39:Z40"/>
    <mergeCell ref="AA39:AA40"/>
    <mergeCell ref="AB39:AB40"/>
    <mergeCell ref="AC39:AC40"/>
    <mergeCell ref="AD39:AD40"/>
    <mergeCell ref="AK39:AK40"/>
    <mergeCell ref="AL39:AL40"/>
    <mergeCell ref="AM39:AM40"/>
    <mergeCell ref="AN39:AN40"/>
    <mergeCell ref="AO39:AO40"/>
    <mergeCell ref="AP39:AP40"/>
    <mergeCell ref="AQ39:AQ40"/>
    <mergeCell ref="F41:F42"/>
    <mergeCell ref="G41:G42"/>
    <mergeCell ref="H41:H42"/>
    <mergeCell ref="I41:I42"/>
    <mergeCell ref="J41:J42"/>
    <mergeCell ref="N41:N42"/>
    <mergeCell ref="Q41:Q42"/>
    <mergeCell ref="R41:R42"/>
    <mergeCell ref="S41:S42"/>
    <mergeCell ref="T41:T42"/>
    <mergeCell ref="U41:U42"/>
    <mergeCell ref="V41:V42"/>
    <mergeCell ref="AE39:AE40"/>
    <mergeCell ref="AF39:AF40"/>
    <mergeCell ref="AG39:AG40"/>
    <mergeCell ref="AH39:AH40"/>
    <mergeCell ref="W41:W42"/>
    <mergeCell ref="X41:X42"/>
    <mergeCell ref="Y41:Y42"/>
    <mergeCell ref="Z41:Z42"/>
    <mergeCell ref="AA41:AA42"/>
    <mergeCell ref="AB41:AB42"/>
    <mergeCell ref="R45:R46"/>
    <mergeCell ref="S45:S46"/>
    <mergeCell ref="T45:T46"/>
    <mergeCell ref="U45:U46"/>
    <mergeCell ref="V45:V46"/>
    <mergeCell ref="W45:W46"/>
    <mergeCell ref="X45:X46"/>
    <mergeCell ref="Y45:Y46"/>
    <mergeCell ref="Z45:Z46"/>
    <mergeCell ref="AC41:AC42"/>
    <mergeCell ref="AD41:AD42"/>
    <mergeCell ref="AE41:AE42"/>
    <mergeCell ref="AF41:AF42"/>
    <mergeCell ref="AG41:AG42"/>
    <mergeCell ref="AH41:AH42"/>
    <mergeCell ref="AI41:AI42"/>
    <mergeCell ref="AJ41:AJ42"/>
    <mergeCell ref="BC41:BC42"/>
    <mergeCell ref="BD41:BD42"/>
    <mergeCell ref="BE41:BE42"/>
    <mergeCell ref="BF41:BF42"/>
    <mergeCell ref="BG41:BG42"/>
    <mergeCell ref="BF45:BF46"/>
    <mergeCell ref="BG45:BG46"/>
    <mergeCell ref="A47:I47"/>
    <mergeCell ref="A48:A49"/>
    <mergeCell ref="B48:B49"/>
    <mergeCell ref="C48:C49"/>
    <mergeCell ref="D48:D49"/>
    <mergeCell ref="E48:E49"/>
    <mergeCell ref="F48:F49"/>
    <mergeCell ref="U48:U49"/>
    <mergeCell ref="V48:V49"/>
    <mergeCell ref="W48:W49"/>
    <mergeCell ref="G48:G49"/>
    <mergeCell ref="H48:H49"/>
    <mergeCell ref="I48:I49"/>
    <mergeCell ref="J48:J49"/>
    <mergeCell ref="N48:N49"/>
    <mergeCell ref="Q48:Q49"/>
    <mergeCell ref="R48:R49"/>
    <mergeCell ref="AA45:AA46"/>
    <mergeCell ref="AB45:AB46"/>
    <mergeCell ref="AC45:AC46"/>
    <mergeCell ref="B45:B46"/>
    <mergeCell ref="C45:C46"/>
    <mergeCell ref="D45:D46"/>
    <mergeCell ref="N45:N46"/>
    <mergeCell ref="Q45:Q46"/>
    <mergeCell ref="A45:A46"/>
    <mergeCell ref="AV45:AV46"/>
    <mergeCell ref="AW45:AW46"/>
    <mergeCell ref="AX45:AX46"/>
    <mergeCell ref="AM45:AM46"/>
    <mergeCell ref="BD48:BD49"/>
    <mergeCell ref="BE48:BE49"/>
    <mergeCell ref="AP48:AP49"/>
    <mergeCell ref="AQ48:AQ49"/>
    <mergeCell ref="AR48:AR49"/>
    <mergeCell ref="AS48:AS49"/>
    <mergeCell ref="AY45:AY46"/>
    <mergeCell ref="AZ45:AZ46"/>
    <mergeCell ref="BA45:BA46"/>
    <mergeCell ref="BB45:BB46"/>
    <mergeCell ref="BC45:BC46"/>
    <mergeCell ref="BD45:BD46"/>
    <mergeCell ref="BE45:BE46"/>
    <mergeCell ref="Z48:Z49"/>
    <mergeCell ref="AA48:AA49"/>
    <mergeCell ref="AB48:AB49"/>
    <mergeCell ref="AC48:AC49"/>
    <mergeCell ref="AD48:AD49"/>
    <mergeCell ref="AS45:AS46"/>
    <mergeCell ref="AT45:AT46"/>
    <mergeCell ref="AU45:AU46"/>
    <mergeCell ref="E45:E46"/>
    <mergeCell ref="F45:F46"/>
    <mergeCell ref="G45:G46"/>
    <mergeCell ref="H45:H46"/>
    <mergeCell ref="I45:I46"/>
    <mergeCell ref="J45:J46"/>
    <mergeCell ref="S48:S49"/>
    <mergeCell ref="T48:T49"/>
    <mergeCell ref="BG50:BG51"/>
    <mergeCell ref="AV50:AV51"/>
    <mergeCell ref="AW50:AW51"/>
    <mergeCell ref="AX50:AX51"/>
    <mergeCell ref="AY50:AY51"/>
    <mergeCell ref="AZ50:AZ51"/>
    <mergeCell ref="BA50:BA51"/>
    <mergeCell ref="AP50:AP51"/>
    <mergeCell ref="X48:X49"/>
    <mergeCell ref="Y48:Y49"/>
    <mergeCell ref="AD45:AD46"/>
    <mergeCell ref="AE45:AE46"/>
    <mergeCell ref="AF45:AF46"/>
    <mergeCell ref="AG45:AG46"/>
    <mergeCell ref="AH45:AH46"/>
    <mergeCell ref="AI45:AI46"/>
    <mergeCell ref="AJ45:AJ46"/>
    <mergeCell ref="AK45:AK46"/>
    <mergeCell ref="AL45:AL46"/>
    <mergeCell ref="AN45:AN46"/>
    <mergeCell ref="AO45:AO46"/>
    <mergeCell ref="AP45:AP46"/>
    <mergeCell ref="AQ45:AQ46"/>
    <mergeCell ref="AR45:AR46"/>
    <mergeCell ref="AT48:AT49"/>
    <mergeCell ref="AU48:AU49"/>
    <mergeCell ref="AJ48:AJ49"/>
    <mergeCell ref="AK48:AK49"/>
    <mergeCell ref="AL48:AL49"/>
    <mergeCell ref="AM48:AM49"/>
    <mergeCell ref="AN48:AN49"/>
    <mergeCell ref="AO48:AO49"/>
    <mergeCell ref="BF48:BF49"/>
    <mergeCell ref="BG48:BG49"/>
    <mergeCell ref="AV48:AV49"/>
    <mergeCell ref="AW48:AW49"/>
    <mergeCell ref="AX48:AX49"/>
    <mergeCell ref="AY48:AY49"/>
    <mergeCell ref="AZ48:AZ49"/>
    <mergeCell ref="BA48:BA49"/>
    <mergeCell ref="BB48:BB49"/>
    <mergeCell ref="BC48:BC49"/>
    <mergeCell ref="AE48:AE49"/>
    <mergeCell ref="AF48:AF49"/>
    <mergeCell ref="AG48:AG49"/>
    <mergeCell ref="AH48:AH49"/>
    <mergeCell ref="AI48:AI49"/>
    <mergeCell ref="A52:A53"/>
    <mergeCell ref="B52:B53"/>
    <mergeCell ref="C52:C53"/>
    <mergeCell ref="D52:D53"/>
    <mergeCell ref="E52:E53"/>
    <mergeCell ref="F52:F53"/>
    <mergeCell ref="AO50:AO51"/>
    <mergeCell ref="G52:G53"/>
    <mergeCell ref="H52:H53"/>
    <mergeCell ref="I52:I53"/>
    <mergeCell ref="J52:J53"/>
    <mergeCell ref="N52:N53"/>
    <mergeCell ref="Q52:Q53"/>
    <mergeCell ref="AI50:AI51"/>
    <mergeCell ref="X50:X51"/>
    <mergeCell ref="Y50:Y51"/>
    <mergeCell ref="AC52:AC53"/>
    <mergeCell ref="AO52:AO53"/>
    <mergeCell ref="AD52:AD53"/>
    <mergeCell ref="AE52:AE53"/>
    <mergeCell ref="AF52:AF53"/>
    <mergeCell ref="AG52:AG53"/>
    <mergeCell ref="AH52:AH53"/>
    <mergeCell ref="AI52:AI53"/>
    <mergeCell ref="AJ52:AJ53"/>
    <mergeCell ref="AK52:AK53"/>
    <mergeCell ref="AQ50:AQ51"/>
    <mergeCell ref="AJ50:AJ51"/>
    <mergeCell ref="AK50:AK51"/>
    <mergeCell ref="AL50:AL51"/>
    <mergeCell ref="AM50:AM51"/>
    <mergeCell ref="AN50:AN51"/>
    <mergeCell ref="A50:A51"/>
    <mergeCell ref="B50:B51"/>
    <mergeCell ref="C50:C51"/>
    <mergeCell ref="D50:D51"/>
    <mergeCell ref="E50:E51"/>
    <mergeCell ref="F50:F51"/>
    <mergeCell ref="G50:G51"/>
    <mergeCell ref="H50:H51"/>
    <mergeCell ref="I50:I51"/>
    <mergeCell ref="J50:J51"/>
    <mergeCell ref="Z50:Z51"/>
    <mergeCell ref="AA50:AA51"/>
    <mergeCell ref="AB50:AB51"/>
    <mergeCell ref="AC50:AC51"/>
    <mergeCell ref="R50:R51"/>
    <mergeCell ref="S50:S51"/>
    <mergeCell ref="T50:T51"/>
    <mergeCell ref="N50:N51"/>
    <mergeCell ref="Q50:Q51"/>
    <mergeCell ref="U50:U51"/>
    <mergeCell ref="V50:V51"/>
    <mergeCell ref="W50:W51"/>
    <mergeCell ref="BB50:BB51"/>
    <mergeCell ref="BC50:BC51"/>
    <mergeCell ref="BD50:BD51"/>
    <mergeCell ref="BE50:BE51"/>
    <mergeCell ref="BF50:BF51"/>
    <mergeCell ref="AD50:AD51"/>
    <mergeCell ref="AE50:AE51"/>
    <mergeCell ref="AF50:AF51"/>
    <mergeCell ref="AG50:AG51"/>
    <mergeCell ref="AH50:AH51"/>
    <mergeCell ref="AR50:AR51"/>
    <mergeCell ref="AS50:AS51"/>
    <mergeCell ref="AT50:AT51"/>
    <mergeCell ref="AU50:AU51"/>
    <mergeCell ref="AW52:AW53"/>
    <mergeCell ref="AX52:AX53"/>
    <mergeCell ref="AY52:AY53"/>
    <mergeCell ref="AZ52:AZ53"/>
    <mergeCell ref="BA52:BA53"/>
    <mergeCell ref="BB52:BB53"/>
    <mergeCell ref="BC52:BC53"/>
    <mergeCell ref="BD52:BD53"/>
    <mergeCell ref="BE52:BE53"/>
    <mergeCell ref="BF52:BF53"/>
    <mergeCell ref="AP52:AP53"/>
    <mergeCell ref="AQ52:AQ53"/>
    <mergeCell ref="AR52:AR53"/>
    <mergeCell ref="AS52:AS53"/>
    <mergeCell ref="AT52:AT53"/>
    <mergeCell ref="AU52:AU53"/>
    <mergeCell ref="AV52:AV53"/>
    <mergeCell ref="AN52:AN53"/>
    <mergeCell ref="BG52:BG53"/>
    <mergeCell ref="A54:I54"/>
    <mergeCell ref="A55:A56"/>
    <mergeCell ref="B55:B56"/>
    <mergeCell ref="C55:C56"/>
    <mergeCell ref="D55:D56"/>
    <mergeCell ref="E55:E56"/>
    <mergeCell ref="F55:F56"/>
    <mergeCell ref="G55:G56"/>
    <mergeCell ref="H55:H56"/>
    <mergeCell ref="I55:I56"/>
    <mergeCell ref="R52:R53"/>
    <mergeCell ref="S52:S53"/>
    <mergeCell ref="T52:T53"/>
    <mergeCell ref="U52:U53"/>
    <mergeCell ref="V52:V53"/>
    <mergeCell ref="W52:W53"/>
    <mergeCell ref="X52:X53"/>
    <mergeCell ref="Y52:Y53"/>
    <mergeCell ref="Z52:Z53"/>
    <mergeCell ref="AA52:AA53"/>
    <mergeCell ref="AB52:AB53"/>
    <mergeCell ref="AL52:AL53"/>
    <mergeCell ref="AM52:AM53"/>
    <mergeCell ref="AK55:AK56"/>
    <mergeCell ref="AL55:AL56"/>
    <mergeCell ref="AA55:AA56"/>
    <mergeCell ref="AB55:AB56"/>
    <mergeCell ref="AC55:AC56"/>
    <mergeCell ref="AD55:AD56"/>
    <mergeCell ref="AE55:AE56"/>
    <mergeCell ref="AF55:AF56"/>
    <mergeCell ref="AT55:AT56"/>
    <mergeCell ref="AU55:AU56"/>
    <mergeCell ref="AV55:AV56"/>
    <mergeCell ref="AW55:AW56"/>
    <mergeCell ref="AX55:AX56"/>
    <mergeCell ref="AY55:AY56"/>
    <mergeCell ref="AZ55:AZ56"/>
    <mergeCell ref="BA55:BA56"/>
    <mergeCell ref="BB55:BB56"/>
    <mergeCell ref="BC55:BC56"/>
    <mergeCell ref="BD55:BD56"/>
    <mergeCell ref="BE55:BE56"/>
    <mergeCell ref="BF55:BF56"/>
    <mergeCell ref="BG55:BG56"/>
    <mergeCell ref="A57:A58"/>
    <mergeCell ref="B57:B58"/>
    <mergeCell ref="C57:C58"/>
    <mergeCell ref="D57:D58"/>
    <mergeCell ref="E57:E58"/>
    <mergeCell ref="F57:F58"/>
    <mergeCell ref="G57:G58"/>
    <mergeCell ref="J55:J56"/>
    <mergeCell ref="N55:N56"/>
    <mergeCell ref="Q55:Q56"/>
    <mergeCell ref="R55:R56"/>
    <mergeCell ref="S55:S56"/>
    <mergeCell ref="T55:T56"/>
    <mergeCell ref="U55:U56"/>
    <mergeCell ref="V55:V56"/>
    <mergeCell ref="W55:W56"/>
    <mergeCell ref="X55:X56"/>
    <mergeCell ref="Y55:Y56"/>
    <mergeCell ref="AG55:AG56"/>
    <mergeCell ref="AH55:AH56"/>
    <mergeCell ref="AI55:AI56"/>
    <mergeCell ref="AJ55:AJ56"/>
    <mergeCell ref="A59:A60"/>
    <mergeCell ref="B59:B60"/>
    <mergeCell ref="C59:C60"/>
    <mergeCell ref="D59:D60"/>
    <mergeCell ref="E59:E60"/>
    <mergeCell ref="AE57:AE58"/>
    <mergeCell ref="AM55:AM56"/>
    <mergeCell ref="AN55:AN56"/>
    <mergeCell ref="AO55:AO56"/>
    <mergeCell ref="AP55:AP56"/>
    <mergeCell ref="AQ55:AQ56"/>
    <mergeCell ref="AP57:AP58"/>
    <mergeCell ref="AQ57:AQ58"/>
    <mergeCell ref="AR55:AR56"/>
    <mergeCell ref="AS55:AS56"/>
    <mergeCell ref="Z55:Z56"/>
    <mergeCell ref="BG57:BG58"/>
    <mergeCell ref="AB57:AB58"/>
    <mergeCell ref="AC57:AC58"/>
    <mergeCell ref="AD57:AD58"/>
    <mergeCell ref="F59:F60"/>
    <mergeCell ref="G59:G60"/>
    <mergeCell ref="H59:H60"/>
    <mergeCell ref="I59:I60"/>
    <mergeCell ref="J59:J60"/>
    <mergeCell ref="N59:N60"/>
    <mergeCell ref="Q59:Q60"/>
    <mergeCell ref="R59:R60"/>
    <mergeCell ref="S59:S60"/>
    <mergeCell ref="T59:T60"/>
    <mergeCell ref="U59:U60"/>
    <mergeCell ref="V59:V60"/>
    <mergeCell ref="AF57:AF58"/>
    <mergeCell ref="AG57:AG58"/>
    <mergeCell ref="AH57:AH58"/>
    <mergeCell ref="AI57:AI58"/>
    <mergeCell ref="AJ57:AJ58"/>
    <mergeCell ref="Y57:Y58"/>
    <mergeCell ref="Z57:Z58"/>
    <mergeCell ref="AA57:AA58"/>
    <mergeCell ref="AK57:AK58"/>
    <mergeCell ref="AL57:AL58"/>
    <mergeCell ref="AM57:AM58"/>
    <mergeCell ref="AN57:AN58"/>
    <mergeCell ref="AO57:AO58"/>
    <mergeCell ref="AR57:AR58"/>
    <mergeCell ref="AP59:AP60"/>
    <mergeCell ref="H57:H58"/>
    <mergeCell ref="I57:I58"/>
    <mergeCell ref="J57:J58"/>
    <mergeCell ref="N57:N58"/>
    <mergeCell ref="Q57:Q58"/>
    <mergeCell ref="R57:R58"/>
    <mergeCell ref="S57:S58"/>
    <mergeCell ref="T57:T58"/>
    <mergeCell ref="U57:U58"/>
    <mergeCell ref="V57:V58"/>
    <mergeCell ref="W57:W58"/>
    <mergeCell ref="X57:X58"/>
    <mergeCell ref="BC57:BC58"/>
    <mergeCell ref="BD57:BD58"/>
    <mergeCell ref="BE57:BE58"/>
    <mergeCell ref="AC59:AC60"/>
    <mergeCell ref="AD59:AD60"/>
    <mergeCell ref="AE59:AE60"/>
    <mergeCell ref="AF59:AF60"/>
    <mergeCell ref="AG59:AG60"/>
    <mergeCell ref="AH59:AH60"/>
    <mergeCell ref="AI59:AI60"/>
    <mergeCell ref="AJ59:AJ60"/>
    <mergeCell ref="AK59:AK60"/>
    <mergeCell ref="AL59:AL60"/>
    <mergeCell ref="AM59:AM60"/>
    <mergeCell ref="AN59:AN60"/>
    <mergeCell ref="AO59:AO60"/>
    <mergeCell ref="BF57:BF58"/>
    <mergeCell ref="AS57:AS58"/>
    <mergeCell ref="AT57:AT58"/>
    <mergeCell ref="AU57:AU58"/>
    <mergeCell ref="AV57:AV58"/>
    <mergeCell ref="AW57:AW58"/>
    <mergeCell ref="AX57:AX58"/>
    <mergeCell ref="AY57:AY58"/>
    <mergeCell ref="AZ57:AZ58"/>
    <mergeCell ref="BA57:BA58"/>
    <mergeCell ref="BB57:BB58"/>
    <mergeCell ref="AW59:AW60"/>
    <mergeCell ref="AX59:AX60"/>
    <mergeCell ref="AY59:AY60"/>
    <mergeCell ref="AZ59:AZ60"/>
    <mergeCell ref="BA59:BA60"/>
    <mergeCell ref="BB59:BB60"/>
    <mergeCell ref="BC59:BC60"/>
    <mergeCell ref="BD59:BD60"/>
    <mergeCell ref="BE59:BE60"/>
    <mergeCell ref="BF59:BF60"/>
    <mergeCell ref="AU59:AU60"/>
    <mergeCell ref="AV59:AV60"/>
    <mergeCell ref="AS59:AS60"/>
    <mergeCell ref="AT59:AT60"/>
    <mergeCell ref="BG59:BG60"/>
    <mergeCell ref="A61:A62"/>
    <mergeCell ref="B61:B62"/>
    <mergeCell ref="C61:C62"/>
    <mergeCell ref="D61:D62"/>
    <mergeCell ref="E61:E62"/>
    <mergeCell ref="F61:F62"/>
    <mergeCell ref="G61:G62"/>
    <mergeCell ref="H61:H62"/>
    <mergeCell ref="I61:I62"/>
    <mergeCell ref="J61:J62"/>
    <mergeCell ref="N61:N62"/>
    <mergeCell ref="Q61:Q62"/>
    <mergeCell ref="R61:R62"/>
    <mergeCell ref="S61:S62"/>
    <mergeCell ref="T61:T62"/>
    <mergeCell ref="W59:W60"/>
    <mergeCell ref="X59:X60"/>
    <mergeCell ref="Y59:Y60"/>
    <mergeCell ref="Z59:Z60"/>
    <mergeCell ref="AA59:AA60"/>
    <mergeCell ref="AB59:AB60"/>
    <mergeCell ref="AB61:AB62"/>
    <mergeCell ref="AC61:AC62"/>
    <mergeCell ref="AD61:AD62"/>
    <mergeCell ref="AE61:AE62"/>
    <mergeCell ref="AF61:AF62"/>
    <mergeCell ref="AQ59:AQ60"/>
    <mergeCell ref="AR59:AR60"/>
    <mergeCell ref="AQ61:AQ62"/>
    <mergeCell ref="AR61:AR62"/>
    <mergeCell ref="AG61:AG62"/>
    <mergeCell ref="AX61:AX62"/>
    <mergeCell ref="AY61:AY62"/>
    <mergeCell ref="AZ61:AZ62"/>
    <mergeCell ref="BA61:BA62"/>
    <mergeCell ref="BB61:BB62"/>
    <mergeCell ref="BC61:BC62"/>
    <mergeCell ref="BD61:BD62"/>
    <mergeCell ref="BE61:BE62"/>
    <mergeCell ref="BF61:BF62"/>
    <mergeCell ref="BG61:BG62"/>
    <mergeCell ref="A63:A64"/>
    <mergeCell ref="B63:B64"/>
    <mergeCell ref="C63:C64"/>
    <mergeCell ref="D63:D64"/>
    <mergeCell ref="E63:E64"/>
    <mergeCell ref="F63:F64"/>
    <mergeCell ref="G63:G64"/>
    <mergeCell ref="H63:H64"/>
    <mergeCell ref="I63:I64"/>
    <mergeCell ref="J63:J64"/>
    <mergeCell ref="N63:N64"/>
    <mergeCell ref="Q63:Q64"/>
    <mergeCell ref="R63:R64"/>
    <mergeCell ref="U61:U62"/>
    <mergeCell ref="V61:V62"/>
    <mergeCell ref="W61:W62"/>
    <mergeCell ref="X61:X62"/>
    <mergeCell ref="Y61:Y62"/>
    <mergeCell ref="Z61:Z62"/>
    <mergeCell ref="AA61:AA62"/>
    <mergeCell ref="AC63:AC64"/>
    <mergeCell ref="AH61:AH62"/>
    <mergeCell ref="AM61:AM62"/>
    <mergeCell ref="AN61:AN62"/>
    <mergeCell ref="AO61:AO62"/>
    <mergeCell ref="AP61:AP62"/>
    <mergeCell ref="AO63:AO64"/>
    <mergeCell ref="AP63:AP64"/>
    <mergeCell ref="AS61:AS62"/>
    <mergeCell ref="AT61:AT62"/>
    <mergeCell ref="AU61:AU62"/>
    <mergeCell ref="AW63:AW64"/>
    <mergeCell ref="AW61:AW62"/>
    <mergeCell ref="AI61:AI62"/>
    <mergeCell ref="AJ61:AJ62"/>
    <mergeCell ref="AK61:AK62"/>
    <mergeCell ref="AL61:AL62"/>
    <mergeCell ref="AV61:AV62"/>
    <mergeCell ref="AK63:AK64"/>
    <mergeCell ref="AL63:AL64"/>
    <mergeCell ref="AM63:AM64"/>
    <mergeCell ref="AN63:AN64"/>
    <mergeCell ref="AQ63:AQ64"/>
    <mergeCell ref="AR63:AR64"/>
    <mergeCell ref="AS63:AS64"/>
    <mergeCell ref="AT63:AT64"/>
    <mergeCell ref="AU63:AU64"/>
    <mergeCell ref="AV63:AV64"/>
    <mergeCell ref="BE63:BE64"/>
    <mergeCell ref="BF63:BF64"/>
    <mergeCell ref="BG63:BG64"/>
    <mergeCell ref="A65:A66"/>
    <mergeCell ref="B65:B66"/>
    <mergeCell ref="C65:C66"/>
    <mergeCell ref="D65:D66"/>
    <mergeCell ref="E65:E66"/>
    <mergeCell ref="F65:F66"/>
    <mergeCell ref="G65:G66"/>
    <mergeCell ref="H65:H66"/>
    <mergeCell ref="I65:I66"/>
    <mergeCell ref="J65:J66"/>
    <mergeCell ref="N65:N66"/>
    <mergeCell ref="S63:S64"/>
    <mergeCell ref="T63:T64"/>
    <mergeCell ref="U63:U64"/>
    <mergeCell ref="V63:V64"/>
    <mergeCell ref="W63:W64"/>
    <mergeCell ref="X63:X64"/>
    <mergeCell ref="Y63:Y64"/>
    <mergeCell ref="Z63:Z64"/>
    <mergeCell ref="AA63:AA64"/>
    <mergeCell ref="AB63:AB64"/>
    <mergeCell ref="AD65:AD66"/>
    <mergeCell ref="AD63:AD64"/>
    <mergeCell ref="AE63:AE64"/>
    <mergeCell ref="AF63:AF64"/>
    <mergeCell ref="AG63:AG64"/>
    <mergeCell ref="AH63:AH64"/>
    <mergeCell ref="AI63:AI64"/>
    <mergeCell ref="AJ63:AJ64"/>
    <mergeCell ref="AX65:AX66"/>
    <mergeCell ref="AP65:AP66"/>
    <mergeCell ref="AQ65:AQ66"/>
    <mergeCell ref="AR65:AR66"/>
    <mergeCell ref="AS65:AS66"/>
    <mergeCell ref="AT65:AT66"/>
    <mergeCell ref="AU65:AU66"/>
    <mergeCell ref="AV65:AV66"/>
    <mergeCell ref="AW65:AW66"/>
    <mergeCell ref="AX63:AX64"/>
    <mergeCell ref="AY63:AY64"/>
    <mergeCell ref="AY65:AY66"/>
    <mergeCell ref="AZ65:AZ66"/>
    <mergeCell ref="BA65:BA66"/>
    <mergeCell ref="BB65:BB66"/>
    <mergeCell ref="BC65:BC66"/>
    <mergeCell ref="BD65:BD66"/>
    <mergeCell ref="AZ63:AZ64"/>
    <mergeCell ref="BA63:BA64"/>
    <mergeCell ref="BB63:BB64"/>
    <mergeCell ref="BC63:BC64"/>
    <mergeCell ref="BD63:BD64"/>
    <mergeCell ref="BE65:BE66"/>
    <mergeCell ref="BF65:BF66"/>
    <mergeCell ref="BG65:BG66"/>
    <mergeCell ref="A67:I67"/>
    <mergeCell ref="A68:I68"/>
    <mergeCell ref="A69:O69"/>
    <mergeCell ref="A70:O70"/>
    <mergeCell ref="S71:S72"/>
    <mergeCell ref="T71:T72"/>
    <mergeCell ref="U71:U72"/>
    <mergeCell ref="V71:V72"/>
    <mergeCell ref="W71:W72"/>
    <mergeCell ref="Q65:Q66"/>
    <mergeCell ref="R65:R66"/>
    <mergeCell ref="S65:S66"/>
    <mergeCell ref="T65:T66"/>
    <mergeCell ref="U65:U66"/>
    <mergeCell ref="V65:V66"/>
    <mergeCell ref="W65:W66"/>
    <mergeCell ref="X65:X66"/>
    <mergeCell ref="Y65:Y66"/>
    <mergeCell ref="Z65:Z66"/>
    <mergeCell ref="AA65:AA66"/>
    <mergeCell ref="AB65:AB66"/>
    <mergeCell ref="AC65:AC66"/>
    <mergeCell ref="BG71:BG72"/>
    <mergeCell ref="X71:X72"/>
    <mergeCell ref="Y71:Y72"/>
    <mergeCell ref="Z71:Z72"/>
    <mergeCell ref="AA71:AA72"/>
    <mergeCell ref="AB71:AB72"/>
    <mergeCell ref="AC71:AC72"/>
    <mergeCell ref="AM71:AM72"/>
    <mergeCell ref="AN71:AN72"/>
    <mergeCell ref="AO71:AO72"/>
    <mergeCell ref="AD71:AD72"/>
    <mergeCell ref="AE71:AE72"/>
    <mergeCell ref="AF71:AF72"/>
    <mergeCell ref="AG71:AG72"/>
    <mergeCell ref="AH71:AH72"/>
    <mergeCell ref="AI71:AI72"/>
    <mergeCell ref="AI65:AI66"/>
    <mergeCell ref="AJ65:AJ66"/>
    <mergeCell ref="AK65:AK66"/>
    <mergeCell ref="AL65:AL66"/>
    <mergeCell ref="AJ71:AJ72"/>
    <mergeCell ref="AK71:AK72"/>
    <mergeCell ref="AL71:AL72"/>
    <mergeCell ref="AO65:AO66"/>
    <mergeCell ref="AE65:AE66"/>
    <mergeCell ref="AF65:AF66"/>
    <mergeCell ref="AG65:AG66"/>
    <mergeCell ref="AH65:AH66"/>
    <mergeCell ref="AM65:AM66"/>
    <mergeCell ref="AN65:AN66"/>
    <mergeCell ref="AP71:AP72"/>
    <mergeCell ref="AQ71:AQ72"/>
    <mergeCell ref="AR71:AR72"/>
    <mergeCell ref="AS71:AS72"/>
    <mergeCell ref="AT71:AT72"/>
    <mergeCell ref="AU71:AU72"/>
    <mergeCell ref="AV71:AV72"/>
    <mergeCell ref="AW71:AW72"/>
    <mergeCell ref="AX71:AX72"/>
    <mergeCell ref="AY71:AY72"/>
    <mergeCell ref="AZ71:AZ72"/>
    <mergeCell ref="BA71:BA72"/>
    <mergeCell ref="BB71:BB72"/>
    <mergeCell ref="BC71:BC72"/>
    <mergeCell ref="BD71:BD72"/>
    <mergeCell ref="BE71:BE72"/>
    <mergeCell ref="BF71:BF72"/>
    <mergeCell ref="A73:A74"/>
    <mergeCell ref="B73:B74"/>
    <mergeCell ref="C73:C74"/>
    <mergeCell ref="D73:D74"/>
    <mergeCell ref="E73:E74"/>
    <mergeCell ref="F73:F74"/>
    <mergeCell ref="G73:G74"/>
    <mergeCell ref="H73:H74"/>
    <mergeCell ref="I73:I74"/>
    <mergeCell ref="J73:J74"/>
    <mergeCell ref="N73:N74"/>
    <mergeCell ref="Q73:Q74"/>
    <mergeCell ref="R73:R74"/>
    <mergeCell ref="S73:S74"/>
    <mergeCell ref="T73:T74"/>
    <mergeCell ref="U73:U74"/>
    <mergeCell ref="V73:V74"/>
    <mergeCell ref="BF73:BF74"/>
    <mergeCell ref="BG73:BG74"/>
    <mergeCell ref="X73:X74"/>
    <mergeCell ref="Y73:Y74"/>
    <mergeCell ref="Z73:Z74"/>
    <mergeCell ref="AA73:AA74"/>
    <mergeCell ref="AB73:AB74"/>
    <mergeCell ref="AC73:AC74"/>
    <mergeCell ref="AD73:AD74"/>
    <mergeCell ref="AE73:AE74"/>
    <mergeCell ref="AF73:AF74"/>
    <mergeCell ref="AG73:AG74"/>
    <mergeCell ref="AH73:AH74"/>
    <mergeCell ref="AI73:AI74"/>
    <mergeCell ref="AJ73:AJ74"/>
    <mergeCell ref="AK73:AK74"/>
    <mergeCell ref="AL73:AL74"/>
    <mergeCell ref="AM73:AM74"/>
    <mergeCell ref="AN73:AN74"/>
    <mergeCell ref="AO73:AO74"/>
    <mergeCell ref="W75:W76"/>
    <mergeCell ref="AP73:AP74"/>
    <mergeCell ref="AQ73:AQ74"/>
    <mergeCell ref="AR73:AR74"/>
    <mergeCell ref="AS73:AS74"/>
    <mergeCell ref="AT73:AT74"/>
    <mergeCell ref="AU73:AU74"/>
    <mergeCell ref="AV73:AV74"/>
    <mergeCell ref="AW73:AW74"/>
    <mergeCell ref="AX73:AX74"/>
    <mergeCell ref="AY73:AY74"/>
    <mergeCell ref="AZ73:AZ74"/>
    <mergeCell ref="BA73:BA74"/>
    <mergeCell ref="BB73:BB74"/>
    <mergeCell ref="BC73:BC74"/>
    <mergeCell ref="BD73:BD74"/>
    <mergeCell ref="BE73:BE74"/>
    <mergeCell ref="W73:W74"/>
    <mergeCell ref="BC75:BC76"/>
    <mergeCell ref="BD75:BD76"/>
    <mergeCell ref="BE75:BE76"/>
    <mergeCell ref="A75:A76"/>
    <mergeCell ref="B75:B76"/>
    <mergeCell ref="C75:C76"/>
    <mergeCell ref="D75:D76"/>
    <mergeCell ref="E75:E76"/>
    <mergeCell ref="F75:F76"/>
    <mergeCell ref="G75:G76"/>
    <mergeCell ref="H75:H76"/>
    <mergeCell ref="I75:I76"/>
    <mergeCell ref="J75:J76"/>
    <mergeCell ref="N75:N76"/>
    <mergeCell ref="Q75:Q76"/>
    <mergeCell ref="R75:R76"/>
    <mergeCell ref="S75:S76"/>
    <mergeCell ref="T75:T76"/>
    <mergeCell ref="U75:U76"/>
    <mergeCell ref="V75:V76"/>
    <mergeCell ref="BG75:BG76"/>
    <mergeCell ref="X75:X76"/>
    <mergeCell ref="Y75:Y76"/>
    <mergeCell ref="Z75:Z76"/>
    <mergeCell ref="AA75:AA76"/>
    <mergeCell ref="AB75:AB76"/>
    <mergeCell ref="AC75:AC76"/>
    <mergeCell ref="AD75:AD76"/>
    <mergeCell ref="AE75:AE76"/>
    <mergeCell ref="AF75:AF76"/>
    <mergeCell ref="AG75:AG76"/>
    <mergeCell ref="AH75:AH76"/>
    <mergeCell ref="AI75:AI76"/>
    <mergeCell ref="AJ75:AJ76"/>
    <mergeCell ref="AK75:AK76"/>
    <mergeCell ref="AL75:AL76"/>
    <mergeCell ref="AM75:AM76"/>
    <mergeCell ref="AN75:AN76"/>
    <mergeCell ref="AO75:AO76"/>
    <mergeCell ref="AP75:AP76"/>
    <mergeCell ref="AQ75:AQ76"/>
    <mergeCell ref="AR75:AR76"/>
    <mergeCell ref="AS75:AS76"/>
    <mergeCell ref="AT75:AT76"/>
    <mergeCell ref="AU75:AU76"/>
    <mergeCell ref="AV75:AV76"/>
    <mergeCell ref="AW75:AW76"/>
    <mergeCell ref="AX75:AX76"/>
    <mergeCell ref="AY75:AY76"/>
    <mergeCell ref="AZ75:AZ76"/>
    <mergeCell ref="BA75:BA76"/>
    <mergeCell ref="BB75:BB76"/>
    <mergeCell ref="BF75:BF76"/>
    <mergeCell ref="BC77:BC78"/>
    <mergeCell ref="BD77:BD78"/>
    <mergeCell ref="BE77:BE78"/>
    <mergeCell ref="BF77:BF78"/>
    <mergeCell ref="BG77:BG78"/>
    <mergeCell ref="AV77:AV78"/>
    <mergeCell ref="AW77:AW78"/>
    <mergeCell ref="AX77:AX78"/>
    <mergeCell ref="AY77:AY78"/>
    <mergeCell ref="AZ77:AZ78"/>
    <mergeCell ref="A77:A78"/>
    <mergeCell ref="B77:B78"/>
    <mergeCell ref="C77:C78"/>
    <mergeCell ref="D77:D78"/>
    <mergeCell ref="E77:E78"/>
    <mergeCell ref="F77:F78"/>
    <mergeCell ref="G77:G78"/>
    <mergeCell ref="H77:H78"/>
    <mergeCell ref="I77:I78"/>
    <mergeCell ref="J77:J78"/>
    <mergeCell ref="N77:N78"/>
    <mergeCell ref="Q77:Q78"/>
    <mergeCell ref="AA77:AA78"/>
    <mergeCell ref="AB77:AB78"/>
    <mergeCell ref="AC77:AC78"/>
    <mergeCell ref="R77:R78"/>
    <mergeCell ref="S77:S78"/>
    <mergeCell ref="T77:T78"/>
    <mergeCell ref="U77:U78"/>
    <mergeCell ref="V77:V78"/>
    <mergeCell ref="W77:W78"/>
    <mergeCell ref="BB77:BB78"/>
    <mergeCell ref="AJ77:AJ78"/>
    <mergeCell ref="AK77:AK78"/>
    <mergeCell ref="AL77:AL78"/>
    <mergeCell ref="AM77:AM78"/>
    <mergeCell ref="AN77:AN78"/>
    <mergeCell ref="AO77:AO78"/>
    <mergeCell ref="A79:I79"/>
    <mergeCell ref="A80:A81"/>
    <mergeCell ref="B80:B81"/>
    <mergeCell ref="C80:C81"/>
    <mergeCell ref="D80:D81"/>
    <mergeCell ref="E80:E81"/>
    <mergeCell ref="F80:F81"/>
    <mergeCell ref="G80:G81"/>
    <mergeCell ref="H80:H81"/>
    <mergeCell ref="I80:I81"/>
    <mergeCell ref="J80:J81"/>
    <mergeCell ref="N80:N81"/>
    <mergeCell ref="Q80:Q81"/>
    <mergeCell ref="R80:R81"/>
    <mergeCell ref="S80:S81"/>
    <mergeCell ref="T80:T81"/>
    <mergeCell ref="BA77:BA78"/>
    <mergeCell ref="AP77:AP78"/>
    <mergeCell ref="AQ77:AQ78"/>
    <mergeCell ref="AR77:AR78"/>
    <mergeCell ref="AS77:AS78"/>
    <mergeCell ref="AT77:AT78"/>
    <mergeCell ref="AU77:AU78"/>
    <mergeCell ref="AA80:AA81"/>
    <mergeCell ref="Y77:Y78"/>
    <mergeCell ref="Z77:Z78"/>
    <mergeCell ref="AQ80:AQ81"/>
    <mergeCell ref="AR80:AR81"/>
    <mergeCell ref="AG80:AG81"/>
    <mergeCell ref="AH80:AH81"/>
    <mergeCell ref="AI80:AI81"/>
    <mergeCell ref="AJ80:AJ81"/>
    <mergeCell ref="AK80:AK81"/>
    <mergeCell ref="AL80:AL81"/>
    <mergeCell ref="AD77:AD78"/>
    <mergeCell ref="AE77:AE78"/>
    <mergeCell ref="AF77:AF78"/>
    <mergeCell ref="AG77:AG78"/>
    <mergeCell ref="AH77:AH78"/>
    <mergeCell ref="AI77:AI78"/>
    <mergeCell ref="X77:X78"/>
    <mergeCell ref="AY80:AY81"/>
    <mergeCell ref="AS80:AS81"/>
    <mergeCell ref="AT80:AT81"/>
    <mergeCell ref="AU80:AU81"/>
    <mergeCell ref="AV80:AV81"/>
    <mergeCell ref="AW80:AW81"/>
    <mergeCell ref="AX80:AX81"/>
    <mergeCell ref="AF80:AF81"/>
    <mergeCell ref="BD80:BD81"/>
    <mergeCell ref="BE80:BE81"/>
    <mergeCell ref="BF80:BF81"/>
    <mergeCell ref="BG80:BG81"/>
    <mergeCell ref="A82:A83"/>
    <mergeCell ref="B82:B83"/>
    <mergeCell ref="C82:C83"/>
    <mergeCell ref="D82:D83"/>
    <mergeCell ref="E82:E83"/>
    <mergeCell ref="F82:F83"/>
    <mergeCell ref="G82:G83"/>
    <mergeCell ref="H82:H83"/>
    <mergeCell ref="I82:I83"/>
    <mergeCell ref="J82:J83"/>
    <mergeCell ref="N82:N83"/>
    <mergeCell ref="Q82:Q83"/>
    <mergeCell ref="R82:R83"/>
    <mergeCell ref="U80:U81"/>
    <mergeCell ref="V80:V81"/>
    <mergeCell ref="W80:W81"/>
    <mergeCell ref="X80:X81"/>
    <mergeCell ref="Y80:Y81"/>
    <mergeCell ref="Z80:Z81"/>
    <mergeCell ref="AB80:AB81"/>
    <mergeCell ref="AC80:AC81"/>
    <mergeCell ref="AD80:AD81"/>
    <mergeCell ref="AE80:AE81"/>
    <mergeCell ref="AF82:AF83"/>
    <mergeCell ref="AM80:AM81"/>
    <mergeCell ref="AN80:AN81"/>
    <mergeCell ref="AO80:AO81"/>
    <mergeCell ref="AP80:AP81"/>
    <mergeCell ref="AZ80:AZ81"/>
    <mergeCell ref="BA80:BA81"/>
    <mergeCell ref="BB80:BB81"/>
    <mergeCell ref="BC80:BC81"/>
    <mergeCell ref="AZ82:AZ83"/>
    <mergeCell ref="BA82:BA83"/>
    <mergeCell ref="BB82:BB83"/>
    <mergeCell ref="BC82:BC83"/>
    <mergeCell ref="AM82:AM83"/>
    <mergeCell ref="AN82:AN83"/>
    <mergeCell ref="BD82:BD83"/>
    <mergeCell ref="BE82:BE83"/>
    <mergeCell ref="BF82:BF83"/>
    <mergeCell ref="BG82:BG83"/>
    <mergeCell ref="A84:A85"/>
    <mergeCell ref="B84:B85"/>
    <mergeCell ref="C84:C85"/>
    <mergeCell ref="D84:D85"/>
    <mergeCell ref="E84:E85"/>
    <mergeCell ref="F84:F85"/>
    <mergeCell ref="G84:G85"/>
    <mergeCell ref="H84:H85"/>
    <mergeCell ref="I84:I85"/>
    <mergeCell ref="J84:J85"/>
    <mergeCell ref="N84:N85"/>
    <mergeCell ref="S82:S83"/>
    <mergeCell ref="T82:T83"/>
    <mergeCell ref="U82:U83"/>
    <mergeCell ref="V82:V83"/>
    <mergeCell ref="W82:W83"/>
    <mergeCell ref="X82:X83"/>
    <mergeCell ref="Y82:Y83"/>
    <mergeCell ref="BA84:BA85"/>
    <mergeCell ref="BB84:BB85"/>
    <mergeCell ref="BC84:BC85"/>
    <mergeCell ref="AP84:AP85"/>
    <mergeCell ref="AQ84:AQ85"/>
    <mergeCell ref="AR84:AR85"/>
    <mergeCell ref="AS84:AS85"/>
    <mergeCell ref="AT84:AT85"/>
    <mergeCell ref="AU84:AU85"/>
    <mergeCell ref="AV84:AV85"/>
    <mergeCell ref="AW84:AW85"/>
    <mergeCell ref="AX84:AX85"/>
    <mergeCell ref="AY84:AY85"/>
    <mergeCell ref="Z82:Z83"/>
    <mergeCell ref="AA82:AA83"/>
    <mergeCell ref="AB82:AB83"/>
    <mergeCell ref="AC82:AC83"/>
    <mergeCell ref="AD82:AD83"/>
    <mergeCell ref="AE82:AE83"/>
    <mergeCell ref="AG84:AG85"/>
    <mergeCell ref="AH84:AH85"/>
    <mergeCell ref="AK82:AK83"/>
    <mergeCell ref="AL82:AL83"/>
    <mergeCell ref="AM84:AM85"/>
    <mergeCell ref="AN84:AN85"/>
    <mergeCell ref="AQ82:AQ83"/>
    <mergeCell ref="AR82:AR83"/>
    <mergeCell ref="AS82:AS83"/>
    <mergeCell ref="AT82:AT83"/>
    <mergeCell ref="AU82:AU83"/>
    <mergeCell ref="AE84:AE85"/>
    <mergeCell ref="AF84:AF85"/>
    <mergeCell ref="AK86:AK87"/>
    <mergeCell ref="AL86:AL87"/>
    <mergeCell ref="AO84:AO85"/>
    <mergeCell ref="AV82:AV83"/>
    <mergeCell ref="AW82:AW83"/>
    <mergeCell ref="AX82:AX83"/>
    <mergeCell ref="AY82:AY83"/>
    <mergeCell ref="AI84:AI85"/>
    <mergeCell ref="AJ84:AJ85"/>
    <mergeCell ref="AK84:AK85"/>
    <mergeCell ref="AL84:AL85"/>
    <mergeCell ref="AG82:AG83"/>
    <mergeCell ref="AH82:AH83"/>
    <mergeCell ref="AI82:AI83"/>
    <mergeCell ref="AJ82:AJ83"/>
    <mergeCell ref="AO82:AO83"/>
    <mergeCell ref="AP82:AP83"/>
    <mergeCell ref="AH86:AH87"/>
    <mergeCell ref="AI86:AI87"/>
    <mergeCell ref="AJ86:AJ87"/>
    <mergeCell ref="AX86:AX87"/>
    <mergeCell ref="AY86:AY87"/>
    <mergeCell ref="BE88:BE89"/>
    <mergeCell ref="BF88:BF89"/>
    <mergeCell ref="BD84:BD85"/>
    <mergeCell ref="BE84:BE85"/>
    <mergeCell ref="BF84:BF85"/>
    <mergeCell ref="BG84:BG85"/>
    <mergeCell ref="A86:A87"/>
    <mergeCell ref="B86:B87"/>
    <mergeCell ref="C86:C87"/>
    <mergeCell ref="D86:D87"/>
    <mergeCell ref="E86:E87"/>
    <mergeCell ref="F86:F87"/>
    <mergeCell ref="G86:G87"/>
    <mergeCell ref="H86:H87"/>
    <mergeCell ref="I86:I87"/>
    <mergeCell ref="Q84:Q85"/>
    <mergeCell ref="R84:R85"/>
    <mergeCell ref="S84:S85"/>
    <mergeCell ref="T84:T85"/>
    <mergeCell ref="U84:U85"/>
    <mergeCell ref="V84:V85"/>
    <mergeCell ref="W84:W85"/>
    <mergeCell ref="X84:X85"/>
    <mergeCell ref="Y84:Y85"/>
    <mergeCell ref="Z84:Z85"/>
    <mergeCell ref="AA84:AA85"/>
    <mergeCell ref="AB84:AB85"/>
    <mergeCell ref="AC84:AC85"/>
    <mergeCell ref="AD84:AD85"/>
    <mergeCell ref="AU86:AU87"/>
    <mergeCell ref="AV86:AV87"/>
    <mergeCell ref="AW86:AW87"/>
    <mergeCell ref="BG86:BG87"/>
    <mergeCell ref="A88:A89"/>
    <mergeCell ref="B88:B89"/>
    <mergeCell ref="C88:C89"/>
    <mergeCell ref="D88:D89"/>
    <mergeCell ref="E88:E89"/>
    <mergeCell ref="F88:F89"/>
    <mergeCell ref="G88:G89"/>
    <mergeCell ref="J86:J87"/>
    <mergeCell ref="N86:N87"/>
    <mergeCell ref="Q86:Q87"/>
    <mergeCell ref="R86:R87"/>
    <mergeCell ref="S86:S87"/>
    <mergeCell ref="T86:T87"/>
    <mergeCell ref="U86:U87"/>
    <mergeCell ref="V86:V87"/>
    <mergeCell ref="W86:W87"/>
    <mergeCell ref="X86:X87"/>
    <mergeCell ref="Y86:Y87"/>
    <mergeCell ref="Z86:Z87"/>
    <mergeCell ref="AA86:AA87"/>
    <mergeCell ref="AB86:AB87"/>
    <mergeCell ref="AC86:AC87"/>
    <mergeCell ref="AD86:AD87"/>
    <mergeCell ref="AE86:AE87"/>
    <mergeCell ref="AF86:AF87"/>
    <mergeCell ref="AG86:AG87"/>
    <mergeCell ref="AZ86:AZ87"/>
    <mergeCell ref="BA86:BA87"/>
    <mergeCell ref="BB86:BB87"/>
    <mergeCell ref="BC86:BC87"/>
    <mergeCell ref="BD86:BD87"/>
    <mergeCell ref="BE86:BE87"/>
    <mergeCell ref="BF86:BF87"/>
    <mergeCell ref="AL88:AL89"/>
    <mergeCell ref="AM88:AM89"/>
    <mergeCell ref="AN88:AN89"/>
    <mergeCell ref="AO88:AO89"/>
    <mergeCell ref="AL91:AL92"/>
    <mergeCell ref="AM91:AM92"/>
    <mergeCell ref="AN91:AN92"/>
    <mergeCell ref="AO91:AO92"/>
    <mergeCell ref="AP88:AP89"/>
    <mergeCell ref="BG88:BG89"/>
    <mergeCell ref="BF91:BF92"/>
    <mergeCell ref="BG91:BG92"/>
    <mergeCell ref="BD88:BD89"/>
    <mergeCell ref="AS88:AS89"/>
    <mergeCell ref="AT88:AT89"/>
    <mergeCell ref="AU88:AU89"/>
    <mergeCell ref="AV88:AV89"/>
    <mergeCell ref="AM86:AM87"/>
    <mergeCell ref="AN86:AN87"/>
    <mergeCell ref="AO86:AO87"/>
    <mergeCell ref="AP86:AP87"/>
    <mergeCell ref="AQ86:AQ87"/>
    <mergeCell ref="AR86:AR87"/>
    <mergeCell ref="AS86:AS87"/>
    <mergeCell ref="AT86:AT87"/>
    <mergeCell ref="AW88:AW89"/>
    <mergeCell ref="AX88:AX89"/>
    <mergeCell ref="AY88:AY89"/>
    <mergeCell ref="AZ88:AZ89"/>
    <mergeCell ref="BA88:BA89"/>
    <mergeCell ref="BB88:BB89"/>
    <mergeCell ref="AQ88:AQ89"/>
    <mergeCell ref="AR88:AR89"/>
    <mergeCell ref="Y88:Y89"/>
    <mergeCell ref="Z88:Z89"/>
    <mergeCell ref="AA88:AA89"/>
    <mergeCell ref="AB88:AB89"/>
    <mergeCell ref="U91:U92"/>
    <mergeCell ref="V91:V92"/>
    <mergeCell ref="W91:W92"/>
    <mergeCell ref="X91:X92"/>
    <mergeCell ref="AE88:AE89"/>
    <mergeCell ref="AF88:AF89"/>
    <mergeCell ref="AG88:AG89"/>
    <mergeCell ref="AH88:AH89"/>
    <mergeCell ref="AI88:AI89"/>
    <mergeCell ref="AJ88:AJ89"/>
    <mergeCell ref="AK88:AK89"/>
    <mergeCell ref="AV91:AV92"/>
    <mergeCell ref="AW91:AW92"/>
    <mergeCell ref="AX91:AX92"/>
    <mergeCell ref="AY91:AY92"/>
    <mergeCell ref="AZ91:AZ92"/>
    <mergeCell ref="BA91:BA92"/>
    <mergeCell ref="AA91:AA92"/>
    <mergeCell ref="AB91:AB92"/>
    <mergeCell ref="A91:A92"/>
    <mergeCell ref="B91:B92"/>
    <mergeCell ref="C91:C92"/>
    <mergeCell ref="D91:D92"/>
    <mergeCell ref="E91:E92"/>
    <mergeCell ref="F91:F92"/>
    <mergeCell ref="G91:G92"/>
    <mergeCell ref="S93:S94"/>
    <mergeCell ref="T93:T94"/>
    <mergeCell ref="H88:H89"/>
    <mergeCell ref="I88:I89"/>
    <mergeCell ref="J88:J89"/>
    <mergeCell ref="N88:N89"/>
    <mergeCell ref="Q88:Q89"/>
    <mergeCell ref="R88:R89"/>
    <mergeCell ref="BC88:BC89"/>
    <mergeCell ref="AC88:AC89"/>
    <mergeCell ref="AD88:AD89"/>
    <mergeCell ref="S88:S89"/>
    <mergeCell ref="T88:T89"/>
    <mergeCell ref="U88:U89"/>
    <mergeCell ref="V88:V89"/>
    <mergeCell ref="W88:W89"/>
    <mergeCell ref="X88:X89"/>
    <mergeCell ref="H91:H92"/>
    <mergeCell ref="I91:I92"/>
    <mergeCell ref="J91:J92"/>
    <mergeCell ref="N91:N92"/>
    <mergeCell ref="Q91:Q92"/>
    <mergeCell ref="Y91:Y92"/>
    <mergeCell ref="Z91:Z92"/>
    <mergeCell ref="A90:I90"/>
    <mergeCell ref="AJ93:AJ94"/>
    <mergeCell ref="AK93:AK94"/>
    <mergeCell ref="AL93:AL94"/>
    <mergeCell ref="AM93:AM94"/>
    <mergeCell ref="AN93:AN94"/>
    <mergeCell ref="AO93:AO94"/>
    <mergeCell ref="AP93:AP94"/>
    <mergeCell ref="A93:A94"/>
    <mergeCell ref="B93:B94"/>
    <mergeCell ref="C93:C94"/>
    <mergeCell ref="D93:D94"/>
    <mergeCell ref="E93:E94"/>
    <mergeCell ref="F93:F94"/>
    <mergeCell ref="U93:U94"/>
    <mergeCell ref="V93:V94"/>
    <mergeCell ref="W93:W94"/>
    <mergeCell ref="G93:G94"/>
    <mergeCell ref="H93:H94"/>
    <mergeCell ref="I93:I94"/>
    <mergeCell ref="J93:J94"/>
    <mergeCell ref="N93:N94"/>
    <mergeCell ref="Q93:Q94"/>
    <mergeCell ref="R93:R94"/>
    <mergeCell ref="R91:R92"/>
    <mergeCell ref="S91:S92"/>
    <mergeCell ref="T91:T92"/>
    <mergeCell ref="BB91:BB92"/>
    <mergeCell ref="BC91:BC92"/>
    <mergeCell ref="AD91:AD92"/>
    <mergeCell ref="AE91:AE92"/>
    <mergeCell ref="AF91:AF92"/>
    <mergeCell ref="AG91:AG92"/>
    <mergeCell ref="AH91:AH92"/>
    <mergeCell ref="AI91:AI92"/>
    <mergeCell ref="AK91:AK92"/>
    <mergeCell ref="AP91:AP92"/>
    <mergeCell ref="AQ91:AQ92"/>
    <mergeCell ref="AR91:AR92"/>
    <mergeCell ref="AS91:AS92"/>
    <mergeCell ref="AT91:AT92"/>
    <mergeCell ref="AU91:AU92"/>
    <mergeCell ref="AJ91:AJ92"/>
    <mergeCell ref="AC91:AC92"/>
    <mergeCell ref="AQ93:AQ94"/>
    <mergeCell ref="AR93:AR94"/>
    <mergeCell ref="AS93:AS94"/>
    <mergeCell ref="AT93:AT94"/>
    <mergeCell ref="AU93:AU94"/>
    <mergeCell ref="BD93:BD94"/>
    <mergeCell ref="BE93:BE94"/>
    <mergeCell ref="BF93:BF94"/>
    <mergeCell ref="AV93:AV94"/>
    <mergeCell ref="AW93:AW94"/>
    <mergeCell ref="AX93:AX94"/>
    <mergeCell ref="AY93:AY94"/>
    <mergeCell ref="AZ93:AZ94"/>
    <mergeCell ref="BA93:BA94"/>
    <mergeCell ref="BG95:BG96"/>
    <mergeCell ref="AV95:AV96"/>
    <mergeCell ref="AW95:AW96"/>
    <mergeCell ref="AX95:AX96"/>
    <mergeCell ref="AY95:AY96"/>
    <mergeCell ref="AZ95:AZ96"/>
    <mergeCell ref="BA95:BA96"/>
    <mergeCell ref="AR95:AR96"/>
    <mergeCell ref="AS95:AS96"/>
    <mergeCell ref="AT95:AT96"/>
    <mergeCell ref="AU95:AU96"/>
    <mergeCell ref="AP95:AP96"/>
    <mergeCell ref="X93:X94"/>
    <mergeCell ref="Y93:Y94"/>
    <mergeCell ref="Z93:Z94"/>
    <mergeCell ref="AA93:AA94"/>
    <mergeCell ref="AB93:AB94"/>
    <mergeCell ref="AC93:AC94"/>
    <mergeCell ref="BB93:BB94"/>
    <mergeCell ref="BC93:BC94"/>
    <mergeCell ref="AD93:AD94"/>
    <mergeCell ref="AE93:AE94"/>
    <mergeCell ref="AF93:AF94"/>
    <mergeCell ref="AG93:AG94"/>
    <mergeCell ref="AH93:AH94"/>
    <mergeCell ref="AI93:AI94"/>
    <mergeCell ref="BG93:BG94"/>
    <mergeCell ref="Z95:Z96"/>
    <mergeCell ref="AA95:AA96"/>
    <mergeCell ref="AB95:AB96"/>
    <mergeCell ref="AC95:AC96"/>
    <mergeCell ref="BB95:BB96"/>
    <mergeCell ref="BC95:BC96"/>
    <mergeCell ref="BD95:BD96"/>
    <mergeCell ref="BE95:BE96"/>
    <mergeCell ref="BF95:BF96"/>
    <mergeCell ref="AI95:AI96"/>
    <mergeCell ref="X95:X96"/>
    <mergeCell ref="Y95:Y96"/>
    <mergeCell ref="AQ95:AQ96"/>
    <mergeCell ref="AJ95:AJ96"/>
    <mergeCell ref="AK95:AK96"/>
    <mergeCell ref="AL95:AL96"/>
    <mergeCell ref="AM95:AM96"/>
    <mergeCell ref="AN95:AN96"/>
    <mergeCell ref="A95:A96"/>
    <mergeCell ref="B95:B96"/>
    <mergeCell ref="C95:C96"/>
    <mergeCell ref="D95:D96"/>
    <mergeCell ref="E95:E96"/>
    <mergeCell ref="F95:F96"/>
    <mergeCell ref="G95:G96"/>
    <mergeCell ref="H95:H96"/>
    <mergeCell ref="I95:I96"/>
    <mergeCell ref="J95:J96"/>
    <mergeCell ref="N95:N96"/>
    <mergeCell ref="Q95:Q96"/>
    <mergeCell ref="AE95:AE96"/>
    <mergeCell ref="AF95:AF96"/>
    <mergeCell ref="AG95:AG96"/>
    <mergeCell ref="AH95:AH96"/>
    <mergeCell ref="U95:U96"/>
    <mergeCell ref="V95:V96"/>
    <mergeCell ref="W95:W96"/>
    <mergeCell ref="R95:R96"/>
    <mergeCell ref="S95:S96"/>
    <mergeCell ref="T95:T96"/>
    <mergeCell ref="AD95:AD96"/>
    <mergeCell ref="AZ97:AZ98"/>
    <mergeCell ref="BA97:BA98"/>
    <mergeCell ref="BB97:BB98"/>
    <mergeCell ref="BC97:BC98"/>
    <mergeCell ref="BD97:BD98"/>
    <mergeCell ref="BE97:BE98"/>
    <mergeCell ref="BF97:BF98"/>
    <mergeCell ref="BG97:BG98"/>
    <mergeCell ref="A99:I99"/>
    <mergeCell ref="Z97:Z98"/>
    <mergeCell ref="AA97:AA98"/>
    <mergeCell ref="AB97:AB98"/>
    <mergeCell ref="AC97:AC98"/>
    <mergeCell ref="AN97:AN98"/>
    <mergeCell ref="AO97:AO98"/>
    <mergeCell ref="AL97:AL98"/>
    <mergeCell ref="AM97:AM98"/>
    <mergeCell ref="A97:A98"/>
    <mergeCell ref="B97:B98"/>
    <mergeCell ref="C97:C98"/>
    <mergeCell ref="D97:D98"/>
    <mergeCell ref="E97:E98"/>
    <mergeCell ref="F97:F98"/>
    <mergeCell ref="AP97:AP98"/>
    <mergeCell ref="AQ97:AQ98"/>
    <mergeCell ref="AR97:AR98"/>
    <mergeCell ref="AS97:AS98"/>
    <mergeCell ref="AT97:AT98"/>
    <mergeCell ref="AU97:AU98"/>
    <mergeCell ref="AV97:AV98"/>
    <mergeCell ref="AD97:AD98"/>
    <mergeCell ref="AE97:AE98"/>
    <mergeCell ref="AO95:AO96"/>
    <mergeCell ref="A100:A101"/>
    <mergeCell ref="B100:B101"/>
    <mergeCell ref="C100:C101"/>
    <mergeCell ref="D100:D101"/>
    <mergeCell ref="E100:E101"/>
    <mergeCell ref="F100:F101"/>
    <mergeCell ref="G100:G101"/>
    <mergeCell ref="H100:H101"/>
    <mergeCell ref="I100:I101"/>
    <mergeCell ref="R97:R98"/>
    <mergeCell ref="S97:S98"/>
    <mergeCell ref="T97:T98"/>
    <mergeCell ref="U97:U98"/>
    <mergeCell ref="V97:V98"/>
    <mergeCell ref="W97:W98"/>
    <mergeCell ref="X97:X98"/>
    <mergeCell ref="Y97:Y98"/>
    <mergeCell ref="G97:G98"/>
    <mergeCell ref="H97:H98"/>
    <mergeCell ref="I97:I98"/>
    <mergeCell ref="J97:J98"/>
    <mergeCell ref="N97:N98"/>
    <mergeCell ref="Q97:Q98"/>
    <mergeCell ref="AK100:AK101"/>
    <mergeCell ref="AL100:AL101"/>
    <mergeCell ref="AA100:AA101"/>
    <mergeCell ref="AB100:AB101"/>
    <mergeCell ref="AC100:AC101"/>
    <mergeCell ref="AD100:AD101"/>
    <mergeCell ref="AE100:AE101"/>
    <mergeCell ref="AF100:AF101"/>
    <mergeCell ref="AF97:AF98"/>
    <mergeCell ref="AG97:AG98"/>
    <mergeCell ref="AH97:AH98"/>
    <mergeCell ref="AI97:AI98"/>
    <mergeCell ref="AJ97:AJ98"/>
    <mergeCell ref="AK97:AK98"/>
    <mergeCell ref="AR100:AR101"/>
    <mergeCell ref="AS100:AS101"/>
    <mergeCell ref="AT100:AT101"/>
    <mergeCell ref="AU100:AU101"/>
    <mergeCell ref="AV100:AV101"/>
    <mergeCell ref="BF100:BF101"/>
    <mergeCell ref="BG100:BG101"/>
    <mergeCell ref="A102:A103"/>
    <mergeCell ref="B102:B103"/>
    <mergeCell ref="C102:C103"/>
    <mergeCell ref="D102:D103"/>
    <mergeCell ref="E102:E103"/>
    <mergeCell ref="F102:F103"/>
    <mergeCell ref="G102:G103"/>
    <mergeCell ref="J100:J101"/>
    <mergeCell ref="N100:N101"/>
    <mergeCell ref="Q100:Q101"/>
    <mergeCell ref="R100:R101"/>
    <mergeCell ref="S100:S101"/>
    <mergeCell ref="T100:T101"/>
    <mergeCell ref="U100:U101"/>
    <mergeCell ref="V100:V101"/>
    <mergeCell ref="W100:W101"/>
    <mergeCell ref="X100:X101"/>
    <mergeCell ref="Y100:Y101"/>
    <mergeCell ref="Z100:Z101"/>
    <mergeCell ref="BF102:BF103"/>
    <mergeCell ref="BG102:BG103"/>
    <mergeCell ref="A104:A105"/>
    <mergeCell ref="B104:B105"/>
    <mergeCell ref="C104:C105"/>
    <mergeCell ref="D104:D105"/>
    <mergeCell ref="E104:E105"/>
    <mergeCell ref="H102:H103"/>
    <mergeCell ref="I102:I103"/>
    <mergeCell ref="J102:J103"/>
    <mergeCell ref="N102:N103"/>
    <mergeCell ref="Q102:Q103"/>
    <mergeCell ref="R102:R103"/>
    <mergeCell ref="S102:S103"/>
    <mergeCell ref="T102:T103"/>
    <mergeCell ref="U102:U103"/>
    <mergeCell ref="V102:V103"/>
    <mergeCell ref="W102:W103"/>
    <mergeCell ref="X102:X103"/>
    <mergeCell ref="Y102:Y103"/>
    <mergeCell ref="Z102:Z103"/>
    <mergeCell ref="AM102:AM103"/>
    <mergeCell ref="AN102:AN103"/>
    <mergeCell ref="AO102:AO103"/>
    <mergeCell ref="AP102:AP103"/>
    <mergeCell ref="AQ102:AQ103"/>
    <mergeCell ref="AR102:AR103"/>
    <mergeCell ref="AS102:AS103"/>
    <mergeCell ref="AT102:AT103"/>
    <mergeCell ref="AU102:AU103"/>
    <mergeCell ref="AV102:AV103"/>
    <mergeCell ref="AW102:AW103"/>
    <mergeCell ref="AI102:AI103"/>
    <mergeCell ref="AJ102:AJ103"/>
    <mergeCell ref="AM100:AM101"/>
    <mergeCell ref="AN100:AN101"/>
    <mergeCell ref="AO100:AO101"/>
    <mergeCell ref="AP100:AP101"/>
    <mergeCell ref="AQ100:AQ101"/>
    <mergeCell ref="AX102:AX103"/>
    <mergeCell ref="AY102:AY103"/>
    <mergeCell ref="AZ102:AZ103"/>
    <mergeCell ref="BA102:BA103"/>
    <mergeCell ref="F104:F105"/>
    <mergeCell ref="G104:G105"/>
    <mergeCell ref="H104:H105"/>
    <mergeCell ref="I104:I105"/>
    <mergeCell ref="J104:J105"/>
    <mergeCell ref="N104:N105"/>
    <mergeCell ref="Q104:Q105"/>
    <mergeCell ref="R104:R105"/>
    <mergeCell ref="S104:S105"/>
    <mergeCell ref="T104:T105"/>
    <mergeCell ref="U104:U105"/>
    <mergeCell ref="V104:V105"/>
    <mergeCell ref="AE102:AE103"/>
    <mergeCell ref="AF102:AF103"/>
    <mergeCell ref="AG102:AG103"/>
    <mergeCell ref="AH102:AH103"/>
    <mergeCell ref="W104:W105"/>
    <mergeCell ref="X104:X105"/>
    <mergeCell ref="Y104:Y105"/>
    <mergeCell ref="Z104:Z105"/>
    <mergeCell ref="AA104:AA105"/>
    <mergeCell ref="AB104:AB105"/>
    <mergeCell ref="AA102:AA103"/>
    <mergeCell ref="AB102:AB103"/>
    <mergeCell ref="AC102:AC103"/>
    <mergeCell ref="AD102:AD103"/>
    <mergeCell ref="AK102:AK103"/>
    <mergeCell ref="AL102:AL103"/>
    <mergeCell ref="BG104:BG105"/>
    <mergeCell ref="A106:A107"/>
    <mergeCell ref="B106:B107"/>
    <mergeCell ref="C106:C107"/>
    <mergeCell ref="D106:D107"/>
    <mergeCell ref="E106:E107"/>
    <mergeCell ref="F106:F107"/>
    <mergeCell ref="G106:G107"/>
    <mergeCell ref="H106:H107"/>
    <mergeCell ref="I106:I107"/>
    <mergeCell ref="J106:J107"/>
    <mergeCell ref="N106:N107"/>
    <mergeCell ref="Q106:Q107"/>
    <mergeCell ref="R106:R107"/>
    <mergeCell ref="S106:S107"/>
    <mergeCell ref="T106:T107"/>
    <mergeCell ref="U106:U107"/>
    <mergeCell ref="V106:V107"/>
    <mergeCell ref="W106:W107"/>
    <mergeCell ref="X106:X107"/>
    <mergeCell ref="Y106:Y107"/>
    <mergeCell ref="BF104:BF105"/>
    <mergeCell ref="AM104:AM105"/>
    <mergeCell ref="AN104:AN105"/>
    <mergeCell ref="AY104:AY105"/>
    <mergeCell ref="AZ104:AZ105"/>
    <mergeCell ref="AO104:AO105"/>
    <mergeCell ref="AP104:AP105"/>
    <mergeCell ref="AQ104:AQ105"/>
    <mergeCell ref="AR104:AR105"/>
    <mergeCell ref="AS104:AS105"/>
    <mergeCell ref="AT104:AT105"/>
    <mergeCell ref="AU104:AU105"/>
    <mergeCell ref="AV104:AV105"/>
    <mergeCell ref="AC104:AC105"/>
    <mergeCell ref="AD104:AD105"/>
    <mergeCell ref="AE104:AE105"/>
    <mergeCell ref="AF104:AF105"/>
    <mergeCell ref="AG104:AG105"/>
    <mergeCell ref="AH104:AH105"/>
    <mergeCell ref="AI104:AI105"/>
    <mergeCell ref="AJ104:AJ105"/>
    <mergeCell ref="AK104:AK105"/>
    <mergeCell ref="AL104:AL105"/>
    <mergeCell ref="AW104:AW105"/>
    <mergeCell ref="AX104:AX105"/>
    <mergeCell ref="BF106:BF107"/>
    <mergeCell ref="BG106:BG107"/>
    <mergeCell ref="A108:I108"/>
    <mergeCell ref="A109:I109"/>
    <mergeCell ref="AA106:AA107"/>
    <mergeCell ref="AB106:AB107"/>
    <mergeCell ref="AC106:AC107"/>
    <mergeCell ref="AD106:AD107"/>
    <mergeCell ref="AE106:AE107"/>
    <mergeCell ref="AF106:AF107"/>
    <mergeCell ref="AG106:AG107"/>
    <mergeCell ref="AH106:AH107"/>
    <mergeCell ref="AI106:AI107"/>
    <mergeCell ref="AJ106:AJ107"/>
    <mergeCell ref="AK106:AK107"/>
    <mergeCell ref="AS106:AS107"/>
    <mergeCell ref="AT106:AT107"/>
    <mergeCell ref="AU106:AU107"/>
    <mergeCell ref="AV106:AV107"/>
    <mergeCell ref="AL106:AL107"/>
    <mergeCell ref="Z106:Z107"/>
    <mergeCell ref="AW106:AW107"/>
    <mergeCell ref="AX106:AX107"/>
    <mergeCell ref="AM106:AM107"/>
    <mergeCell ref="AN106:AN107"/>
    <mergeCell ref="AO106:AO107"/>
    <mergeCell ref="AP106:AP107"/>
    <mergeCell ref="AQ106:AQ107"/>
    <mergeCell ref="AR106:AR107"/>
    <mergeCell ref="AY106:AY107"/>
    <mergeCell ref="AZ106:AZ107"/>
    <mergeCell ref="BA106:BA107"/>
    <mergeCell ref="AW97:AW98"/>
    <mergeCell ref="AX97:AX98"/>
    <mergeCell ref="AY97:AY98"/>
    <mergeCell ref="AU43:AU44"/>
    <mergeCell ref="AV43:AV44"/>
    <mergeCell ref="AW43:AW44"/>
    <mergeCell ref="AX43:AX44"/>
    <mergeCell ref="AW100:AW101"/>
    <mergeCell ref="BD91:BD92"/>
    <mergeCell ref="BE91:BE92"/>
    <mergeCell ref="AZ84:AZ85"/>
    <mergeCell ref="A33:A34"/>
    <mergeCell ref="B33:B34"/>
    <mergeCell ref="C33:C34"/>
    <mergeCell ref="D33:D34"/>
    <mergeCell ref="E33:E34"/>
    <mergeCell ref="F33:F34"/>
    <mergeCell ref="G33:G34"/>
    <mergeCell ref="H33:H34"/>
    <mergeCell ref="I33:I34"/>
    <mergeCell ref="J33:J34"/>
    <mergeCell ref="N33:N34"/>
    <mergeCell ref="Q33:Q34"/>
    <mergeCell ref="R33:R34"/>
    <mergeCell ref="S33:S34"/>
    <mergeCell ref="T33:T34"/>
    <mergeCell ref="U33:U34"/>
    <mergeCell ref="V33:V34"/>
    <mergeCell ref="AG100:AG101"/>
    <mergeCell ref="AH100:AH101"/>
    <mergeCell ref="AI100:AI101"/>
    <mergeCell ref="AJ100:AJ101"/>
    <mergeCell ref="AL41:AL42"/>
    <mergeCell ref="AM41:AM42"/>
    <mergeCell ref="AN41:AN42"/>
    <mergeCell ref="AY41:AY42"/>
    <mergeCell ref="AZ41:AZ42"/>
    <mergeCell ref="AO41:AO42"/>
    <mergeCell ref="AP41:AP42"/>
    <mergeCell ref="AQ41:AQ42"/>
    <mergeCell ref="AR41:AR42"/>
    <mergeCell ref="AS41:AS42"/>
    <mergeCell ref="AT41:AT42"/>
    <mergeCell ref="BB106:BB107"/>
    <mergeCell ref="BC106:BC107"/>
    <mergeCell ref="BD106:BD107"/>
    <mergeCell ref="BE106:BE107"/>
    <mergeCell ref="BB102:BB103"/>
    <mergeCell ref="BC102:BC103"/>
    <mergeCell ref="BD102:BD103"/>
    <mergeCell ref="BE102:BE103"/>
    <mergeCell ref="AX100:AX101"/>
    <mergeCell ref="AY100:AY101"/>
    <mergeCell ref="AZ100:AZ101"/>
    <mergeCell ref="BA100:BA101"/>
    <mergeCell ref="BB100:BB101"/>
    <mergeCell ref="BC100:BC101"/>
    <mergeCell ref="BD100:BD101"/>
    <mergeCell ref="BE100:BE101"/>
    <mergeCell ref="BA104:BA105"/>
    <mergeCell ref="BB104:BB105"/>
    <mergeCell ref="BC104:BC105"/>
    <mergeCell ref="BD104:BD105"/>
    <mergeCell ref="BE104:BE105"/>
    <mergeCell ref="AW33:AW34"/>
    <mergeCell ref="AX33:AX34"/>
    <mergeCell ref="AY33:AY34"/>
    <mergeCell ref="AZ33:AZ34"/>
    <mergeCell ref="AO33:AO34"/>
    <mergeCell ref="AP33:AP34"/>
    <mergeCell ref="AQ33:AQ34"/>
    <mergeCell ref="AR33:AR34"/>
    <mergeCell ref="BA33:BA34"/>
    <mergeCell ref="BB33:BB34"/>
    <mergeCell ref="AN43:AN44"/>
    <mergeCell ref="AO43:AO44"/>
    <mergeCell ref="AP43:AP44"/>
    <mergeCell ref="AQ43:AQ44"/>
    <mergeCell ref="AR43:AR44"/>
    <mergeCell ref="AS43:AS44"/>
    <mergeCell ref="AT43:AT44"/>
    <mergeCell ref="BA41:BA42"/>
    <mergeCell ref="BB41:BB42"/>
    <mergeCell ref="AU41:AU42"/>
    <mergeCell ref="AV41:AV42"/>
    <mergeCell ref="AW41:AW42"/>
    <mergeCell ref="AX41:AX42"/>
    <mergeCell ref="BB39:BB40"/>
    <mergeCell ref="AP37:AP38"/>
    <mergeCell ref="AQ37:AQ38"/>
    <mergeCell ref="AY35:AY36"/>
    <mergeCell ref="AZ35:AZ36"/>
    <mergeCell ref="BA35:BA36"/>
    <mergeCell ref="BB35:BB36"/>
    <mergeCell ref="AS33:AS34"/>
    <mergeCell ref="AT33:AT34"/>
    <mergeCell ref="A43:A44"/>
    <mergeCell ref="B43:B44"/>
    <mergeCell ref="C43:C44"/>
    <mergeCell ref="D43:D44"/>
    <mergeCell ref="E43:E44"/>
    <mergeCell ref="F43:F44"/>
    <mergeCell ref="G43:G44"/>
    <mergeCell ref="H43:H44"/>
    <mergeCell ref="I43:I44"/>
    <mergeCell ref="J43:J44"/>
    <mergeCell ref="N43:N44"/>
    <mergeCell ref="Q43:Q44"/>
    <mergeCell ref="R43:R44"/>
    <mergeCell ref="S43:S44"/>
    <mergeCell ref="T43:T44"/>
    <mergeCell ref="W33:W34"/>
    <mergeCell ref="AM43:AM44"/>
    <mergeCell ref="AI33:AI34"/>
    <mergeCell ref="AJ33:AJ34"/>
    <mergeCell ref="AK33:AK34"/>
    <mergeCell ref="AL33:AL34"/>
    <mergeCell ref="AM33:AM34"/>
    <mergeCell ref="AK41:AK42"/>
    <mergeCell ref="AJ37:AJ38"/>
    <mergeCell ref="A37:A38"/>
    <mergeCell ref="B37:B38"/>
    <mergeCell ref="C37:C38"/>
    <mergeCell ref="D37:D38"/>
    <mergeCell ref="E37:E38"/>
    <mergeCell ref="F37:F38"/>
    <mergeCell ref="G37:G38"/>
    <mergeCell ref="H37:H38"/>
    <mergeCell ref="BE43:BE44"/>
    <mergeCell ref="BF43:BF44"/>
    <mergeCell ref="BG43:BG44"/>
    <mergeCell ref="AY43:AY44"/>
    <mergeCell ref="AZ43:AZ44"/>
    <mergeCell ref="BA43:BA44"/>
    <mergeCell ref="BB43:BB44"/>
    <mergeCell ref="BC43:BC44"/>
    <mergeCell ref="BD43:BD44"/>
    <mergeCell ref="U43:U44"/>
    <mergeCell ref="V43:V44"/>
    <mergeCell ref="W43:W44"/>
    <mergeCell ref="X43:X44"/>
    <mergeCell ref="Y43:Y44"/>
    <mergeCell ref="Z43:Z44"/>
    <mergeCell ref="AA43:AA44"/>
    <mergeCell ref="AB43:AB44"/>
    <mergeCell ref="AC43:AC44"/>
    <mergeCell ref="AD43:AD44"/>
    <mergeCell ref="AE43:AE44"/>
    <mergeCell ref="AF43:AF44"/>
    <mergeCell ref="AG43:AG44"/>
    <mergeCell ref="AH43:AH44"/>
    <mergeCell ref="AI43:AI44"/>
    <mergeCell ref="AJ43:AJ44"/>
    <mergeCell ref="AK43:AK44"/>
    <mergeCell ref="AL43:AL44"/>
  </mergeCells>
  <phoneticPr fontId="61" type="noConversion"/>
  <pageMargins left="0" right="0" top="0" bottom="0" header="0" footer="0"/>
  <pageSetup paperSize="9" scale="65"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3"/>
  <sheetViews>
    <sheetView zoomScale="70" zoomScaleNormal="70" workbookViewId="0">
      <pane xSplit="10" ySplit="4" topLeftCell="K20"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45268</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4" si="0">L5-M5</f>
        <v>0</v>
      </c>
      <c r="P5" s="27">
        <v>0</v>
      </c>
      <c r="Q5" s="99">
        <f>+L6-P6</f>
        <v>36</v>
      </c>
      <c r="R5" s="85" t="s">
        <v>64</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f>
        <v>2194</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45268</v>
      </c>
      <c r="B7" s="87" t="s">
        <v>37</v>
      </c>
      <c r="C7" s="89">
        <v>1</v>
      </c>
      <c r="D7" s="91" t="s">
        <v>38</v>
      </c>
      <c r="E7" s="89">
        <v>84217</v>
      </c>
      <c r="F7" s="89" t="s">
        <v>49</v>
      </c>
      <c r="G7" s="93" t="s">
        <v>61</v>
      </c>
      <c r="H7" s="90" t="s">
        <v>41</v>
      </c>
      <c r="I7" s="90">
        <v>1883</v>
      </c>
      <c r="J7" s="90">
        <v>1883</v>
      </c>
      <c r="K7" s="20">
        <v>0</v>
      </c>
      <c r="L7" s="20">
        <v>0</v>
      </c>
      <c r="M7" s="20">
        <v>0</v>
      </c>
      <c r="N7" s="97">
        <f>O8/L8</f>
        <v>0.75730217737652683</v>
      </c>
      <c r="O7" s="21">
        <f t="shared" si="0"/>
        <v>0</v>
      </c>
      <c r="P7" s="27">
        <v>47</v>
      </c>
      <c r="Q7" s="99">
        <f>+L8-P8</f>
        <v>0</v>
      </c>
      <c r="R7" s="85"/>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197+105+183+94+214+167+177+130+264+162+127+63</f>
        <v>1883</v>
      </c>
      <c r="L8" s="18">
        <f>197+105+183+30+30+262+272+188+20+20+10+255+311</f>
        <v>1883</v>
      </c>
      <c r="M8" s="18">
        <f>20+34+27+8+72+93+39+5+4+65+90</f>
        <v>457</v>
      </c>
      <c r="N8" s="98"/>
      <c r="O8" s="19">
        <f t="shared" si="0"/>
        <v>1426</v>
      </c>
      <c r="P8" s="22">
        <f>20+138+161+8+180+320+119+34+33+127+181+244+117+128+26+47</f>
        <v>1883</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5.75" customHeight="1">
      <c r="A9" s="108">
        <v>45268</v>
      </c>
      <c r="B9" s="87" t="s">
        <v>37</v>
      </c>
      <c r="C9" s="89">
        <v>1</v>
      </c>
      <c r="D9" s="91" t="s">
        <v>38</v>
      </c>
      <c r="E9" s="89">
        <v>84217</v>
      </c>
      <c r="F9" s="89" t="s">
        <v>49</v>
      </c>
      <c r="G9" s="93" t="s">
        <v>63</v>
      </c>
      <c r="H9" s="90" t="s">
        <v>47</v>
      </c>
      <c r="I9" s="90">
        <v>2103</v>
      </c>
      <c r="J9" s="90">
        <v>2103</v>
      </c>
      <c r="K9" s="20">
        <v>0</v>
      </c>
      <c r="L9" s="20">
        <v>0</v>
      </c>
      <c r="M9" s="20">
        <v>0</v>
      </c>
      <c r="N9" s="97">
        <f>O10/L10</f>
        <v>0.57584403233475989</v>
      </c>
      <c r="O9" s="21">
        <f t="shared" si="0"/>
        <v>0</v>
      </c>
      <c r="P9" s="27">
        <v>201</v>
      </c>
      <c r="Q9" s="99">
        <f>+L10-P10</f>
        <v>0</v>
      </c>
      <c r="R9" s="85"/>
      <c r="S9" s="96"/>
      <c r="T9" s="96"/>
      <c r="U9" s="96"/>
      <c r="V9" s="96"/>
      <c r="W9" s="96"/>
      <c r="X9" s="96"/>
      <c r="Y9" s="96"/>
      <c r="Z9" s="96"/>
      <c r="AA9" s="96"/>
      <c r="AB9" s="96"/>
      <c r="AC9" s="96"/>
      <c r="AD9" s="96"/>
      <c r="AE9" s="96"/>
      <c r="AF9" s="96"/>
      <c r="AG9" s="96"/>
      <c r="AH9" s="96"/>
      <c r="AI9" s="96"/>
      <c r="AJ9" s="96"/>
      <c r="AK9" s="96"/>
      <c r="AL9" s="96"/>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646+325+235+397+185+288+15+8+4</f>
        <v>2103</v>
      </c>
      <c r="L10" s="18">
        <f>180+224+270+114+100+89+460+662+4</f>
        <v>2103</v>
      </c>
      <c r="M10" s="18">
        <f>49+99+127+52+44+48+223+246+4</f>
        <v>892</v>
      </c>
      <c r="N10" s="98"/>
      <c r="O10" s="19">
        <f t="shared" si="0"/>
        <v>1211</v>
      </c>
      <c r="P10" s="22">
        <f>49+102+165+80+231+48+228+760+4+151+84+201</f>
        <v>2103</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5.75" customHeight="1">
      <c r="A11" s="108">
        <v>45268</v>
      </c>
      <c r="B11" s="87" t="s">
        <v>37</v>
      </c>
      <c r="C11" s="89">
        <v>1</v>
      </c>
      <c r="D11" s="91" t="s">
        <v>38</v>
      </c>
      <c r="E11" s="89">
        <v>84217</v>
      </c>
      <c r="F11" s="89" t="s">
        <v>49</v>
      </c>
      <c r="G11" s="93" t="s">
        <v>63</v>
      </c>
      <c r="H11" s="90" t="s">
        <v>39</v>
      </c>
      <c r="I11" s="90">
        <v>4965</v>
      </c>
      <c r="J11" s="90">
        <v>965</v>
      </c>
      <c r="K11" s="20">
        <v>45</v>
      </c>
      <c r="L11" s="20">
        <v>20</v>
      </c>
      <c r="M11" s="20">
        <v>10</v>
      </c>
      <c r="N11" s="97">
        <f>O12/L12</f>
        <v>0.69135802469135799</v>
      </c>
      <c r="O11" s="21">
        <f t="shared" si="0"/>
        <v>10</v>
      </c>
      <c r="P11" s="27">
        <v>142</v>
      </c>
      <c r="Q11" s="99">
        <f>+L12-P12</f>
        <v>105</v>
      </c>
      <c r="R11" s="85"/>
      <c r="S11" s="96"/>
      <c r="T11" s="96"/>
      <c r="U11" s="96"/>
      <c r="V11" s="96"/>
      <c r="W11" s="96"/>
      <c r="X11" s="96"/>
      <c r="Y11" s="96"/>
      <c r="Z11" s="96"/>
      <c r="AA11" s="96"/>
      <c r="AB11" s="96"/>
      <c r="AC11" s="96"/>
      <c r="AD11" s="96">
        <v>3</v>
      </c>
      <c r="AE11" s="96"/>
      <c r="AF11" s="96">
        <v>3</v>
      </c>
      <c r="AG11" s="96"/>
      <c r="AH11" s="96">
        <v>4</v>
      </c>
      <c r="AI11" s="96"/>
      <c r="AJ11" s="96"/>
      <c r="AK11" s="96"/>
      <c r="AL11" s="96"/>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5+13+70+100+67+52+57+45+75+145+72+45</f>
        <v>746</v>
      </c>
      <c r="L12" s="18">
        <f>5+13+60+10+10+10+50+150+40+160+120+20</f>
        <v>648</v>
      </c>
      <c r="M12" s="18">
        <f>10+10+40+30+40+60+10</f>
        <v>200</v>
      </c>
      <c r="N12" s="98"/>
      <c r="O12" s="19">
        <f t="shared" si="0"/>
        <v>448</v>
      </c>
      <c r="P12" s="22">
        <f>10+30+30+10+38+41+53+189+142</f>
        <v>543</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45268</v>
      </c>
      <c r="B13" s="87" t="s">
        <v>37</v>
      </c>
      <c r="C13" s="89">
        <v>1</v>
      </c>
      <c r="D13" s="91" t="s">
        <v>38</v>
      </c>
      <c r="E13" s="89">
        <v>84217</v>
      </c>
      <c r="F13" s="89" t="s">
        <v>49</v>
      </c>
      <c r="G13" s="93" t="s">
        <v>63</v>
      </c>
      <c r="H13" s="90" t="s">
        <v>41</v>
      </c>
      <c r="I13" s="90">
        <v>1219</v>
      </c>
      <c r="J13" s="90">
        <v>1219</v>
      </c>
      <c r="K13" s="20">
        <v>36</v>
      </c>
      <c r="L13" s="20">
        <v>96</v>
      </c>
      <c r="M13" s="20">
        <v>38</v>
      </c>
      <c r="N13" s="97">
        <f>O14/L14</f>
        <v>0.58039215686274515</v>
      </c>
      <c r="O13" s="21">
        <f t="shared" si="0"/>
        <v>58</v>
      </c>
      <c r="P13" s="27">
        <v>132</v>
      </c>
      <c r="Q13" s="99">
        <f>+L14-P14</f>
        <v>270</v>
      </c>
      <c r="R13" s="85"/>
      <c r="S13" s="96"/>
      <c r="T13" s="96">
        <v>18</v>
      </c>
      <c r="U13" s="96">
        <v>5</v>
      </c>
      <c r="V13" s="96"/>
      <c r="W13" s="96"/>
      <c r="X13" s="96">
        <v>2</v>
      </c>
      <c r="Y13" s="96"/>
      <c r="Z13" s="96"/>
      <c r="AA13" s="96"/>
      <c r="AB13" s="96"/>
      <c r="AC13" s="96">
        <v>13</v>
      </c>
      <c r="AD13" s="96"/>
      <c r="AE13" s="96"/>
      <c r="AF13" s="96">
        <v>10</v>
      </c>
      <c r="AG13" s="96"/>
      <c r="AH13" s="96">
        <v>8</v>
      </c>
      <c r="AI13" s="96"/>
      <c r="AJ13" s="96"/>
      <c r="AK13" s="96"/>
      <c r="AL13" s="96">
        <v>2</v>
      </c>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103+85+198+61+57+39+86+192+134+36</f>
        <v>991</v>
      </c>
      <c r="L14" s="18">
        <f>9+46+10+10+10+10+164+10+70+330+96</f>
        <v>765</v>
      </c>
      <c r="M14" s="18">
        <f>9+17+10+106+21+120+38</f>
        <v>321</v>
      </c>
      <c r="N14" s="98"/>
      <c r="O14" s="19">
        <f t="shared" si="0"/>
        <v>444</v>
      </c>
      <c r="P14" s="22">
        <f>9+17+10+10+10+96+10+37+164+132</f>
        <v>495</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45268</v>
      </c>
      <c r="B15" s="87" t="s">
        <v>37</v>
      </c>
      <c r="C15" s="89">
        <v>1</v>
      </c>
      <c r="D15" s="91" t="s">
        <v>38</v>
      </c>
      <c r="E15" s="89">
        <v>84217</v>
      </c>
      <c r="F15" s="89" t="s">
        <v>49</v>
      </c>
      <c r="G15" s="93" t="s">
        <v>63</v>
      </c>
      <c r="H15" s="90" t="s">
        <v>73</v>
      </c>
      <c r="I15" s="90">
        <v>760</v>
      </c>
      <c r="J15" s="90">
        <v>760</v>
      </c>
      <c r="K15" s="20">
        <v>17</v>
      </c>
      <c r="L15" s="20">
        <v>17</v>
      </c>
      <c r="M15" s="20">
        <v>17</v>
      </c>
      <c r="N15" s="97">
        <f>O16/L16</f>
        <v>0.54736842105263162</v>
      </c>
      <c r="O15" s="21">
        <f t="shared" si="0"/>
        <v>0</v>
      </c>
      <c r="P15" s="27">
        <v>55</v>
      </c>
      <c r="Q15" s="99">
        <f>+L16-P16</f>
        <v>229</v>
      </c>
      <c r="R15" s="85"/>
      <c r="S15" s="96"/>
      <c r="T15" s="96"/>
      <c r="U15" s="96"/>
      <c r="V15" s="96"/>
      <c r="W15" s="96"/>
      <c r="X15" s="96"/>
      <c r="Y15" s="96"/>
      <c r="Z15" s="96"/>
      <c r="AA15" s="96"/>
      <c r="AB15" s="96"/>
      <c r="AC15" s="96"/>
      <c r="AD15" s="96"/>
      <c r="AE15" s="96"/>
      <c r="AF15" s="96"/>
      <c r="AG15" s="96"/>
      <c r="AH15" s="96"/>
      <c r="AI15" s="96"/>
      <c r="AJ15" s="96"/>
      <c r="AK15" s="96"/>
      <c r="AL15" s="96"/>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535+95+113+17</f>
        <v>760</v>
      </c>
      <c r="L16" s="18">
        <f>90+275+378+17</f>
        <v>760</v>
      </c>
      <c r="M16" s="18">
        <f>45+105+177+17</f>
        <v>344</v>
      </c>
      <c r="N16" s="98"/>
      <c r="O16" s="19">
        <f t="shared" si="0"/>
        <v>416</v>
      </c>
      <c r="P16" s="22">
        <f>45+105+326+55</f>
        <v>531</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6.5" customHeight="1">
      <c r="A17" s="108">
        <v>45268</v>
      </c>
      <c r="B17" s="87" t="s">
        <v>37</v>
      </c>
      <c r="C17" s="89">
        <v>1</v>
      </c>
      <c r="D17" s="91" t="s">
        <v>38</v>
      </c>
      <c r="E17" s="89">
        <v>84217</v>
      </c>
      <c r="F17" s="89" t="s">
        <v>49</v>
      </c>
      <c r="G17" s="93" t="s">
        <v>63</v>
      </c>
      <c r="H17" s="90" t="s">
        <v>59</v>
      </c>
      <c r="I17" s="90">
        <v>568</v>
      </c>
      <c r="J17" s="90">
        <v>568</v>
      </c>
      <c r="K17" s="20">
        <v>103</v>
      </c>
      <c r="L17" s="20">
        <v>200</v>
      </c>
      <c r="M17" s="20">
        <v>101</v>
      </c>
      <c r="N17" s="97">
        <f>O18/L18</f>
        <v>0.56226415094339621</v>
      </c>
      <c r="O17" s="21">
        <f t="shared" si="0"/>
        <v>99</v>
      </c>
      <c r="P17" s="27">
        <v>173</v>
      </c>
      <c r="Q17" s="99">
        <f>+L18-P18</f>
        <v>77</v>
      </c>
      <c r="R17" s="85"/>
      <c r="S17" s="96">
        <v>52</v>
      </c>
      <c r="T17" s="96"/>
      <c r="U17" s="96"/>
      <c r="V17" s="96"/>
      <c r="W17" s="96"/>
      <c r="X17" s="96">
        <v>2</v>
      </c>
      <c r="Y17" s="96"/>
      <c r="Z17" s="96"/>
      <c r="AA17" s="96"/>
      <c r="AB17" s="96"/>
      <c r="AC17" s="96">
        <v>9</v>
      </c>
      <c r="AD17" s="96"/>
      <c r="AE17" s="96">
        <v>5</v>
      </c>
      <c r="AF17" s="96">
        <v>13</v>
      </c>
      <c r="AG17" s="96">
        <v>6</v>
      </c>
      <c r="AH17" s="96">
        <v>12</v>
      </c>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201+261+103</f>
        <v>565</v>
      </c>
      <c r="L18" s="18">
        <f>65+200</f>
        <v>265</v>
      </c>
      <c r="M18" s="18">
        <f>15+101</f>
        <v>116</v>
      </c>
      <c r="N18" s="98"/>
      <c r="O18" s="19">
        <f t="shared" si="0"/>
        <v>149</v>
      </c>
      <c r="P18" s="22">
        <f>15+173</f>
        <v>188</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45268</v>
      </c>
      <c r="B19" s="87" t="s">
        <v>37</v>
      </c>
      <c r="C19" s="89">
        <v>1</v>
      </c>
      <c r="D19" s="91" t="s">
        <v>38</v>
      </c>
      <c r="E19" s="89">
        <v>84212</v>
      </c>
      <c r="F19" s="89" t="s">
        <v>49</v>
      </c>
      <c r="G19" s="93" t="s">
        <v>55</v>
      </c>
      <c r="H19" s="90" t="s">
        <v>59</v>
      </c>
      <c r="I19" s="90">
        <v>708</v>
      </c>
      <c r="J19" s="90">
        <v>708</v>
      </c>
      <c r="K19" s="20">
        <v>0</v>
      </c>
      <c r="L19" s="20">
        <v>160</v>
      </c>
      <c r="M19" s="20">
        <v>50</v>
      </c>
      <c r="N19" s="97">
        <f>O20/L20</f>
        <v>0.74838709677419357</v>
      </c>
      <c r="O19" s="21">
        <f t="shared" si="0"/>
        <v>110</v>
      </c>
      <c r="P19" s="27">
        <v>50</v>
      </c>
      <c r="Q19" s="99">
        <f>+L20-P20</f>
        <v>416</v>
      </c>
      <c r="R19" s="85"/>
      <c r="S19" s="96">
        <v>15</v>
      </c>
      <c r="T19" s="96">
        <v>27</v>
      </c>
      <c r="U19" s="96">
        <v>7</v>
      </c>
      <c r="V19" s="96"/>
      <c r="W19" s="96"/>
      <c r="X19" s="96"/>
      <c r="Y19" s="96"/>
      <c r="Z19" s="96"/>
      <c r="AA19" s="96"/>
      <c r="AB19" s="96"/>
      <c r="AC19" s="96">
        <v>18</v>
      </c>
      <c r="AD19" s="96"/>
      <c r="AE19" s="96">
        <v>7</v>
      </c>
      <c r="AF19" s="96">
        <v>15</v>
      </c>
      <c r="AG19" s="96">
        <v>11</v>
      </c>
      <c r="AH19" s="96">
        <v>6</v>
      </c>
      <c r="AI19" s="96"/>
      <c r="AJ19" s="96"/>
      <c r="AK19" s="96"/>
      <c r="AL19" s="96">
        <v>4</v>
      </c>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105+109+70+77+65+110+122+34+3</f>
        <v>695</v>
      </c>
      <c r="L20" s="18">
        <f>25+50+65+80+80+30+80+50+160</f>
        <v>620</v>
      </c>
      <c r="M20" s="18">
        <f>15+20+20+15+5+11+20+50</f>
        <v>156</v>
      </c>
      <c r="N20" s="98"/>
      <c r="O20" s="19">
        <f t="shared" si="0"/>
        <v>464</v>
      </c>
      <c r="P20" s="22">
        <f>15+20+35+15+5+11+53+50</f>
        <v>204</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45268</v>
      </c>
      <c r="B21" s="87" t="s">
        <v>37</v>
      </c>
      <c r="C21" s="89">
        <v>1</v>
      </c>
      <c r="D21" s="91" t="s">
        <v>38</v>
      </c>
      <c r="E21" s="89">
        <v>84212</v>
      </c>
      <c r="F21" s="89" t="s">
        <v>49</v>
      </c>
      <c r="G21" s="93" t="s">
        <v>55</v>
      </c>
      <c r="H21" s="90" t="s">
        <v>67</v>
      </c>
      <c r="I21" s="90">
        <v>1813</v>
      </c>
      <c r="J21" s="90">
        <v>1813</v>
      </c>
      <c r="K21" s="20">
        <v>259</v>
      </c>
      <c r="L21" s="20">
        <v>484</v>
      </c>
      <c r="M21" s="20">
        <v>110</v>
      </c>
      <c r="N21" s="97">
        <f>O22/L22</f>
        <v>0.78691774033696726</v>
      </c>
      <c r="O21" s="21">
        <f t="shared" si="0"/>
        <v>374</v>
      </c>
      <c r="P21" s="27">
        <v>262</v>
      </c>
      <c r="Q21" s="99">
        <f>+L22-P22</f>
        <v>587</v>
      </c>
      <c r="R21" s="85"/>
      <c r="S21" s="96">
        <v>15</v>
      </c>
      <c r="T21" s="96">
        <v>61</v>
      </c>
      <c r="U21" s="96">
        <v>15</v>
      </c>
      <c r="V21" s="96"/>
      <c r="W21" s="96"/>
      <c r="X21" s="96">
        <v>7</v>
      </c>
      <c r="Y21" s="96"/>
      <c r="Z21" s="96"/>
      <c r="AA21" s="96"/>
      <c r="AB21" s="96"/>
      <c r="AC21" s="96">
        <v>88</v>
      </c>
      <c r="AD21" s="96">
        <v>21</v>
      </c>
      <c r="AE21" s="96">
        <v>8</v>
      </c>
      <c r="AF21" s="96">
        <v>29</v>
      </c>
      <c r="AG21" s="96">
        <v>28</v>
      </c>
      <c r="AH21" s="96">
        <v>69</v>
      </c>
      <c r="AI21" s="96"/>
      <c r="AJ21" s="96"/>
      <c r="AK21" s="96"/>
      <c r="AL21" s="96">
        <v>33</v>
      </c>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272+145+148+175+345+259</f>
        <v>1344</v>
      </c>
      <c r="L22" s="18">
        <f>30+110+235+150+484</f>
        <v>1009</v>
      </c>
      <c r="M22" s="18">
        <f>5+10+50+40+110</f>
        <v>215</v>
      </c>
      <c r="N22" s="98"/>
      <c r="O22" s="19">
        <f t="shared" si="0"/>
        <v>794</v>
      </c>
      <c r="P22" s="22">
        <f>5+10+65+80+262</f>
        <v>422</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45268</v>
      </c>
      <c r="B23" s="87" t="s">
        <v>37</v>
      </c>
      <c r="C23" s="89">
        <v>1</v>
      </c>
      <c r="D23" s="91" t="s">
        <v>38</v>
      </c>
      <c r="E23" s="89">
        <v>84212</v>
      </c>
      <c r="F23" s="89" t="s">
        <v>49</v>
      </c>
      <c r="G23" s="93" t="s">
        <v>55</v>
      </c>
      <c r="H23" s="90" t="s">
        <v>62</v>
      </c>
      <c r="I23" s="90">
        <v>2218</v>
      </c>
      <c r="J23" s="90">
        <v>1640</v>
      </c>
      <c r="K23" s="20">
        <v>0</v>
      </c>
      <c r="L23" s="20">
        <v>0</v>
      </c>
      <c r="M23" s="20">
        <v>0</v>
      </c>
      <c r="N23" s="97">
        <f>O24/L24</f>
        <v>0.6819787985865724</v>
      </c>
      <c r="O23" s="21">
        <f t="shared" si="0"/>
        <v>0</v>
      </c>
      <c r="P23" s="27">
        <v>64</v>
      </c>
      <c r="Q23" s="99">
        <f>+L24-P24</f>
        <v>121</v>
      </c>
      <c r="R23" s="85"/>
      <c r="S23" s="96"/>
      <c r="T23" s="96"/>
      <c r="U23" s="96"/>
      <c r="V23" s="96"/>
      <c r="W23" s="96"/>
      <c r="X23" s="96"/>
      <c r="Y23" s="96"/>
      <c r="Z23" s="96"/>
      <c r="AA23" s="96"/>
      <c r="AB23" s="96"/>
      <c r="AC23" s="96"/>
      <c r="AD23" s="96"/>
      <c r="AE23" s="96"/>
      <c r="AF23" s="96"/>
      <c r="AG23" s="96"/>
      <c r="AH23" s="96"/>
      <c r="AI23" s="96"/>
      <c r="AJ23" s="96"/>
      <c r="AK23" s="96"/>
      <c r="AL23" s="96"/>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166+95+22</f>
        <v>283</v>
      </c>
      <c r="L24" s="18">
        <f>40+40+160+43</f>
        <v>283</v>
      </c>
      <c r="M24" s="18">
        <f>6+14+50+20</f>
        <v>90</v>
      </c>
      <c r="N24" s="98"/>
      <c r="O24" s="19">
        <f t="shared" si="0"/>
        <v>193</v>
      </c>
      <c r="P24" s="22">
        <f>6+14+50+28+64</f>
        <v>162</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45268</v>
      </c>
      <c r="B25" s="87" t="s">
        <v>37</v>
      </c>
      <c r="C25" s="89">
        <v>1</v>
      </c>
      <c r="D25" s="91" t="s">
        <v>38</v>
      </c>
      <c r="E25" s="89">
        <v>84212</v>
      </c>
      <c r="F25" s="89" t="s">
        <v>49</v>
      </c>
      <c r="G25" s="93" t="s">
        <v>55</v>
      </c>
      <c r="H25" s="90" t="s">
        <v>78</v>
      </c>
      <c r="I25" s="90">
        <v>747</v>
      </c>
      <c r="J25" s="90">
        <v>747</v>
      </c>
      <c r="K25" s="20">
        <v>144</v>
      </c>
      <c r="L25" s="20">
        <v>150</v>
      </c>
      <c r="M25" s="20">
        <v>30</v>
      </c>
      <c r="N25" s="97">
        <f>O26/L26</f>
        <v>0.8392857142857143</v>
      </c>
      <c r="O25" s="21">
        <f t="shared" si="0"/>
        <v>120</v>
      </c>
      <c r="P25" s="27">
        <v>30</v>
      </c>
      <c r="Q25" s="99">
        <f>+L26-P26</f>
        <v>235</v>
      </c>
      <c r="R25" s="85"/>
      <c r="S25" s="96"/>
      <c r="T25" s="96">
        <v>54</v>
      </c>
      <c r="U25" s="96">
        <v>6</v>
      </c>
      <c r="V25" s="96"/>
      <c r="W25" s="96"/>
      <c r="X25" s="96"/>
      <c r="Y25" s="96"/>
      <c r="Z25" s="96"/>
      <c r="AA25" s="96"/>
      <c r="AB25" s="96"/>
      <c r="AC25" s="96">
        <v>10</v>
      </c>
      <c r="AD25" s="96"/>
      <c r="AE25" s="96">
        <v>3</v>
      </c>
      <c r="AF25" s="96"/>
      <c r="AG25" s="96">
        <v>37</v>
      </c>
      <c r="AH25" s="96">
        <v>10</v>
      </c>
      <c r="AI25" s="96"/>
      <c r="AJ25" s="96"/>
      <c r="AK25" s="96"/>
      <c r="AL25" s="96"/>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5"/>
      <c r="B26" s="88"/>
      <c r="C26" s="90"/>
      <c r="D26" s="92"/>
      <c r="E26" s="90"/>
      <c r="F26" s="90"/>
      <c r="G26" s="94"/>
      <c r="H26" s="95"/>
      <c r="I26" s="95"/>
      <c r="J26" s="95"/>
      <c r="K26" s="22">
        <f>117+41+130+144</f>
        <v>432</v>
      </c>
      <c r="L26" s="18">
        <f>80+50+150</f>
        <v>280</v>
      </c>
      <c r="M26" s="18">
        <f>10+5+30</f>
        <v>45</v>
      </c>
      <c r="N26" s="98"/>
      <c r="O26" s="19">
        <f t="shared" si="0"/>
        <v>235</v>
      </c>
      <c r="P26" s="22">
        <f>10+5+30</f>
        <v>45</v>
      </c>
      <c r="Q26" s="100"/>
      <c r="R26" s="86"/>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108">
        <v>45268</v>
      </c>
      <c r="B27" s="87" t="s">
        <v>37</v>
      </c>
      <c r="C27" s="89">
        <v>1</v>
      </c>
      <c r="D27" s="91" t="s">
        <v>38</v>
      </c>
      <c r="E27" s="89">
        <v>84212</v>
      </c>
      <c r="F27" s="89" t="s">
        <v>49</v>
      </c>
      <c r="G27" s="93" t="s">
        <v>61</v>
      </c>
      <c r="H27" s="89" t="s">
        <v>65</v>
      </c>
      <c r="I27" s="89">
        <v>533</v>
      </c>
      <c r="J27" s="89">
        <v>533</v>
      </c>
      <c r="K27" s="20">
        <v>122</v>
      </c>
      <c r="L27" s="20">
        <v>60</v>
      </c>
      <c r="M27" s="20">
        <v>22</v>
      </c>
      <c r="N27" s="146">
        <f>O28/L28</f>
        <v>0.73043478260869565</v>
      </c>
      <c r="O27" s="21">
        <f t="shared" si="0"/>
        <v>38</v>
      </c>
      <c r="P27" s="27">
        <v>88</v>
      </c>
      <c r="Q27" s="99">
        <f>+L28-P28</f>
        <v>100</v>
      </c>
      <c r="R27" s="108"/>
      <c r="S27" s="149"/>
      <c r="T27" s="149">
        <v>7</v>
      </c>
      <c r="U27" s="149">
        <v>4</v>
      </c>
      <c r="V27" s="149"/>
      <c r="W27" s="149"/>
      <c r="X27" s="149"/>
      <c r="Y27" s="149"/>
      <c r="Z27" s="149"/>
      <c r="AA27" s="149"/>
      <c r="AB27" s="149"/>
      <c r="AC27" s="149">
        <v>5</v>
      </c>
      <c r="AD27" s="149"/>
      <c r="AE27" s="149">
        <v>3</v>
      </c>
      <c r="AF27" s="149">
        <v>5</v>
      </c>
      <c r="AG27" s="149"/>
      <c r="AH27" s="149">
        <v>6</v>
      </c>
      <c r="AI27" s="149"/>
      <c r="AJ27" s="149"/>
      <c r="AK27" s="149"/>
      <c r="AL27" s="149">
        <v>8</v>
      </c>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81+92+53+50+111+122</f>
        <v>509</v>
      </c>
      <c r="L28" s="18">
        <f>10+10+110+10+80+65+60</f>
        <v>345</v>
      </c>
      <c r="M28" s="18">
        <f>30+19+22+22</f>
        <v>93</v>
      </c>
      <c r="N28" s="147"/>
      <c r="O28" s="19">
        <f t="shared" si="0"/>
        <v>252</v>
      </c>
      <c r="P28" s="22">
        <f>50+40+39+28+88</f>
        <v>245</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45268</v>
      </c>
      <c r="B29" s="87" t="s">
        <v>37</v>
      </c>
      <c r="C29" s="89">
        <v>1</v>
      </c>
      <c r="D29" s="91" t="s">
        <v>38</v>
      </c>
      <c r="E29" s="89">
        <v>84426</v>
      </c>
      <c r="F29" s="89" t="s">
        <v>49</v>
      </c>
      <c r="G29" s="93" t="s">
        <v>55</v>
      </c>
      <c r="H29" s="90" t="s">
        <v>58</v>
      </c>
      <c r="I29" s="90">
        <v>549</v>
      </c>
      <c r="J29" s="90">
        <v>549</v>
      </c>
      <c r="K29" s="20">
        <v>0</v>
      </c>
      <c r="L29" s="20">
        <v>0</v>
      </c>
      <c r="M29" s="20">
        <v>0</v>
      </c>
      <c r="N29" s="97">
        <f>O30/L30</f>
        <v>0.81238615664845171</v>
      </c>
      <c r="O29" s="21">
        <f t="shared" si="0"/>
        <v>0</v>
      </c>
      <c r="P29" s="27">
        <v>0</v>
      </c>
      <c r="Q29" s="99">
        <f>+L30-P30</f>
        <v>3</v>
      </c>
      <c r="R29" s="108"/>
      <c r="S29" s="96"/>
      <c r="T29" s="96"/>
      <c r="U29" s="96"/>
      <c r="V29" s="96"/>
      <c r="W29" s="96"/>
      <c r="X29" s="96"/>
      <c r="Y29" s="96"/>
      <c r="Z29" s="96"/>
      <c r="AA29" s="96"/>
      <c r="AB29" s="96"/>
      <c r="AC29" s="96"/>
      <c r="AD29" s="96"/>
      <c r="AE29" s="96"/>
      <c r="AF29" s="96"/>
      <c r="AG29" s="96"/>
      <c r="AH29" s="96"/>
      <c r="AI29" s="96"/>
      <c r="AJ29" s="96"/>
      <c r="AK29" s="96"/>
      <c r="AL29" s="96"/>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5"/>
      <c r="B30" s="88"/>
      <c r="C30" s="90"/>
      <c r="D30" s="92"/>
      <c r="E30" s="90"/>
      <c r="F30" s="90"/>
      <c r="G30" s="94"/>
      <c r="H30" s="95"/>
      <c r="I30" s="95"/>
      <c r="J30" s="95"/>
      <c r="K30" s="49">
        <f>483+66</f>
        <v>549</v>
      </c>
      <c r="L30" s="18">
        <f>483+66</f>
        <v>549</v>
      </c>
      <c r="M30" s="18">
        <f>86+17</f>
        <v>103</v>
      </c>
      <c r="N30" s="98"/>
      <c r="O30" s="19">
        <f t="shared" si="0"/>
        <v>446</v>
      </c>
      <c r="P30" s="22">
        <f>453+80+11+2</f>
        <v>546</v>
      </c>
      <c r="Q30" s="100"/>
      <c r="R30" s="85"/>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108">
        <v>45268</v>
      </c>
      <c r="B31" s="87" t="s">
        <v>37</v>
      </c>
      <c r="C31" s="89">
        <v>1</v>
      </c>
      <c r="D31" s="91" t="s">
        <v>38</v>
      </c>
      <c r="E31" s="89">
        <v>84352</v>
      </c>
      <c r="F31" s="89" t="s">
        <v>49</v>
      </c>
      <c r="G31" s="93" t="s">
        <v>55</v>
      </c>
      <c r="H31" s="109" t="s">
        <v>39</v>
      </c>
      <c r="I31" s="90">
        <v>1050</v>
      </c>
      <c r="J31" s="170">
        <v>1053</v>
      </c>
      <c r="K31" s="43">
        <f>68</f>
        <v>68</v>
      </c>
      <c r="L31" s="48">
        <f>40+95</f>
        <v>135</v>
      </c>
      <c r="M31" s="20">
        <f>40+8</f>
        <v>48</v>
      </c>
      <c r="N31" s="97">
        <f>O32/L32</f>
        <v>0.64717741935483875</v>
      </c>
      <c r="O31" s="21">
        <f t="shared" si="0"/>
        <v>87</v>
      </c>
      <c r="P31" s="27">
        <f>74+165</f>
        <v>239</v>
      </c>
      <c r="Q31" s="99">
        <f>+L32-P32</f>
        <v>240</v>
      </c>
      <c r="R31" s="85"/>
      <c r="S31" s="96">
        <v>5</v>
      </c>
      <c r="T31" s="96"/>
      <c r="U31" s="96">
        <v>5</v>
      </c>
      <c r="V31" s="96"/>
      <c r="W31" s="96"/>
      <c r="X31" s="96"/>
      <c r="Y31" s="96"/>
      <c r="Z31" s="96"/>
      <c r="AA31" s="96"/>
      <c r="AB31" s="96"/>
      <c r="AC31" s="96">
        <v>11</v>
      </c>
      <c r="AD31" s="96"/>
      <c r="AE31" s="96">
        <v>19</v>
      </c>
      <c r="AF31" s="96">
        <v>19</v>
      </c>
      <c r="AG31" s="96"/>
      <c r="AH31" s="96">
        <v>12</v>
      </c>
      <c r="AI31" s="96"/>
      <c r="AJ31" s="96"/>
      <c r="AK31" s="96"/>
      <c r="AL31" s="96">
        <v>16</v>
      </c>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171"/>
      <c r="K32" s="47">
        <f>320+108+237+109+43+100+35+68</f>
        <v>1020</v>
      </c>
      <c r="L32" s="46">
        <f>10+10+10+235+60+10+150+85+185+102+40+95</f>
        <v>992</v>
      </c>
      <c r="M32" s="18">
        <f>75+30+45+42+80+30+8+40</f>
        <v>350</v>
      </c>
      <c r="N32" s="98"/>
      <c r="O32" s="19">
        <f t="shared" si="0"/>
        <v>642</v>
      </c>
      <c r="P32" s="22">
        <f>105+70+80+92+96+70+74+165</f>
        <v>752</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45268</v>
      </c>
      <c r="B33" s="87" t="s">
        <v>37</v>
      </c>
      <c r="C33" s="89">
        <v>1</v>
      </c>
      <c r="D33" s="91" t="s">
        <v>38</v>
      </c>
      <c r="E33" s="89">
        <v>84352</v>
      </c>
      <c r="F33" s="89" t="s">
        <v>49</v>
      </c>
      <c r="G33" s="93" t="s">
        <v>55</v>
      </c>
      <c r="H33" s="109" t="s">
        <v>57</v>
      </c>
      <c r="I33" s="90">
        <v>525</v>
      </c>
      <c r="J33" s="90">
        <v>323</v>
      </c>
      <c r="K33" s="20">
        <v>50</v>
      </c>
      <c r="L33" s="20">
        <v>20</v>
      </c>
      <c r="M33" s="20">
        <v>9</v>
      </c>
      <c r="N33" s="97">
        <f>O34/L34</f>
        <v>0.55000000000000004</v>
      </c>
      <c r="O33" s="21">
        <f t="shared" si="0"/>
        <v>11</v>
      </c>
      <c r="P33" s="27">
        <v>9</v>
      </c>
      <c r="Q33" s="99">
        <f>+L34-P34</f>
        <v>11</v>
      </c>
      <c r="R33" s="85"/>
      <c r="S33" s="96"/>
      <c r="T33" s="96">
        <v>5</v>
      </c>
      <c r="U33" s="96"/>
      <c r="V33" s="96"/>
      <c r="W33" s="96"/>
      <c r="X33" s="96"/>
      <c r="Y33" s="96"/>
      <c r="Z33" s="96"/>
      <c r="AA33" s="96"/>
      <c r="AB33" s="96"/>
      <c r="AC33" s="96"/>
      <c r="AD33" s="96"/>
      <c r="AE33" s="96">
        <v>1</v>
      </c>
      <c r="AF33" s="96"/>
      <c r="AG33" s="96"/>
      <c r="AH33" s="96"/>
      <c r="AI33" s="96"/>
      <c r="AJ33" s="96"/>
      <c r="AK33" s="96"/>
      <c r="AL33" s="96">
        <v>5</v>
      </c>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41">
        <f>70+50</f>
        <v>120</v>
      </c>
      <c r="L34" s="18">
        <f>20</f>
        <v>20</v>
      </c>
      <c r="M34" s="18">
        <f>9</f>
        <v>9</v>
      </c>
      <c r="N34" s="98"/>
      <c r="O34" s="19">
        <f t="shared" si="0"/>
        <v>11</v>
      </c>
      <c r="P34" s="22">
        <f>9</f>
        <v>9</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45268</v>
      </c>
      <c r="B35" s="87" t="s">
        <v>37</v>
      </c>
      <c r="C35" s="89">
        <v>1</v>
      </c>
      <c r="D35" s="91" t="s">
        <v>38</v>
      </c>
      <c r="E35" s="89">
        <v>84031</v>
      </c>
      <c r="F35" s="89" t="s">
        <v>49</v>
      </c>
      <c r="G35" s="93" t="s">
        <v>53</v>
      </c>
      <c r="H35" s="90" t="s">
        <v>57</v>
      </c>
      <c r="I35" s="90">
        <v>563</v>
      </c>
      <c r="J35" s="90">
        <v>563</v>
      </c>
      <c r="K35" s="43">
        <v>0</v>
      </c>
      <c r="L35" s="20">
        <v>0</v>
      </c>
      <c r="M35" s="20">
        <v>0</v>
      </c>
      <c r="N35" s="97">
        <f>O36/L36</f>
        <v>0.85343228200371057</v>
      </c>
      <c r="O35" s="21">
        <f t="shared" si="0"/>
        <v>0</v>
      </c>
      <c r="P35" s="27">
        <v>0</v>
      </c>
      <c r="Q35" s="99">
        <f>+L36-P36</f>
        <v>0</v>
      </c>
      <c r="R35" s="85" t="s">
        <v>68</v>
      </c>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516+20+3</f>
        <v>539</v>
      </c>
      <c r="L36" s="18">
        <f>516+20+3</f>
        <v>539</v>
      </c>
      <c r="M36" s="18">
        <f>74+2+3</f>
        <v>79</v>
      </c>
      <c r="N36" s="98"/>
      <c r="O36" s="19">
        <f t="shared" si="0"/>
        <v>460</v>
      </c>
      <c r="P36" s="22">
        <f>516+20+3</f>
        <v>539</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45268</v>
      </c>
      <c r="B37" s="87" t="s">
        <v>37</v>
      </c>
      <c r="C37" s="89">
        <v>1</v>
      </c>
      <c r="D37" s="91" t="s">
        <v>38</v>
      </c>
      <c r="E37" s="89">
        <v>84031</v>
      </c>
      <c r="F37" s="89" t="s">
        <v>49</v>
      </c>
      <c r="G37" s="93" t="s">
        <v>53</v>
      </c>
      <c r="H37" s="90" t="s">
        <v>39</v>
      </c>
      <c r="I37" s="90">
        <v>623</v>
      </c>
      <c r="J37" s="90">
        <v>623</v>
      </c>
      <c r="K37" s="20">
        <v>0</v>
      </c>
      <c r="L37" s="20">
        <v>0</v>
      </c>
      <c r="M37" s="20">
        <v>0</v>
      </c>
      <c r="N37" s="97">
        <f>O38/L38</f>
        <v>0.79710144927536231</v>
      </c>
      <c r="O37" s="21">
        <f t="shared" si="0"/>
        <v>0</v>
      </c>
      <c r="P37" s="27">
        <v>0</v>
      </c>
      <c r="Q37" s="99">
        <f>+L38-P38</f>
        <v>0</v>
      </c>
      <c r="R37" s="85" t="s">
        <v>68</v>
      </c>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574+9+30+5+3</f>
        <v>621</v>
      </c>
      <c r="L38" s="18">
        <f>574+9+30+5+3</f>
        <v>621</v>
      </c>
      <c r="M38" s="18">
        <f>109+9+5+3</f>
        <v>126</v>
      </c>
      <c r="N38" s="98"/>
      <c r="O38" s="19">
        <f t="shared" si="0"/>
        <v>495</v>
      </c>
      <c r="P38" s="22">
        <f>574+9+30+5+3</f>
        <v>621</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45268</v>
      </c>
      <c r="B39" s="87" t="s">
        <v>37</v>
      </c>
      <c r="C39" s="89">
        <v>1</v>
      </c>
      <c r="D39" s="91" t="s">
        <v>77</v>
      </c>
      <c r="E39" s="89">
        <v>20785</v>
      </c>
      <c r="F39" s="89" t="s">
        <v>76</v>
      </c>
      <c r="G39" s="93" t="s">
        <v>71</v>
      </c>
      <c r="H39" s="90" t="s">
        <v>70</v>
      </c>
      <c r="I39" s="90">
        <v>1475</v>
      </c>
      <c r="J39" s="90">
        <v>1475</v>
      </c>
      <c r="K39" s="20">
        <v>15</v>
      </c>
      <c r="L39" s="20">
        <v>15</v>
      </c>
      <c r="M39" s="20">
        <v>0</v>
      </c>
      <c r="N39" s="97">
        <f>O40/L40</f>
        <v>1</v>
      </c>
      <c r="O39" s="21">
        <f t="shared" si="0"/>
        <v>15</v>
      </c>
      <c r="P39" s="27">
        <v>5</v>
      </c>
      <c r="Q39" s="99">
        <f>+L40-P40</f>
        <v>50</v>
      </c>
      <c r="R39" s="85"/>
      <c r="S39" s="96"/>
      <c r="T39" s="96"/>
      <c r="U39" s="96">
        <v>1</v>
      </c>
      <c r="V39" s="96"/>
      <c r="W39" s="96"/>
      <c r="X39" s="96"/>
      <c r="Y39" s="96"/>
      <c r="Z39" s="96"/>
      <c r="AA39" s="96"/>
      <c r="AB39" s="96"/>
      <c r="AC39" s="96"/>
      <c r="AD39" s="96"/>
      <c r="AE39" s="96">
        <v>2</v>
      </c>
      <c r="AF39" s="96">
        <v>3</v>
      </c>
      <c r="AG39" s="96">
        <v>2</v>
      </c>
      <c r="AH39" s="96"/>
      <c r="AI39" s="96"/>
      <c r="AJ39" s="96"/>
      <c r="AK39" s="96"/>
      <c r="AL39" s="96">
        <v>7</v>
      </c>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26+20+20+15+15</f>
        <v>96</v>
      </c>
      <c r="L40" s="18">
        <f>26+10+30+15</f>
        <v>81</v>
      </c>
      <c r="M40" s="18">
        <v>0</v>
      </c>
      <c r="N40" s="98"/>
      <c r="O40" s="19">
        <f t="shared" si="0"/>
        <v>81</v>
      </c>
      <c r="P40" s="22">
        <f>10+10+6+5</f>
        <v>31</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45268</v>
      </c>
      <c r="B41" s="87" t="s">
        <v>37</v>
      </c>
      <c r="C41" s="89">
        <v>1</v>
      </c>
      <c r="D41" s="91" t="s">
        <v>77</v>
      </c>
      <c r="E41" s="89">
        <v>20785</v>
      </c>
      <c r="F41" s="89" t="s">
        <v>76</v>
      </c>
      <c r="G41" s="93" t="s">
        <v>71</v>
      </c>
      <c r="H41" s="90" t="s">
        <v>75</v>
      </c>
      <c r="I41" s="90">
        <v>501</v>
      </c>
      <c r="J41" s="90">
        <v>501</v>
      </c>
      <c r="K41" s="20">
        <v>0</v>
      </c>
      <c r="L41" s="20">
        <v>18</v>
      </c>
      <c r="M41" s="20">
        <v>0</v>
      </c>
      <c r="N41" s="97">
        <f>O42/L42</f>
        <v>0.9358974358974359</v>
      </c>
      <c r="O41" s="21">
        <f t="shared" si="0"/>
        <v>18</v>
      </c>
      <c r="P41" s="27">
        <v>15</v>
      </c>
      <c r="Q41" s="99">
        <f>+L42-P42</f>
        <v>58</v>
      </c>
      <c r="R41" s="85"/>
      <c r="S41" s="96"/>
      <c r="T41" s="96">
        <v>5</v>
      </c>
      <c r="U41" s="96"/>
      <c r="V41" s="96"/>
      <c r="W41" s="96"/>
      <c r="X41" s="96"/>
      <c r="Y41" s="96"/>
      <c r="Z41" s="96"/>
      <c r="AA41" s="96"/>
      <c r="AB41" s="96"/>
      <c r="AC41" s="96"/>
      <c r="AD41" s="96"/>
      <c r="AE41" s="96"/>
      <c r="AF41" s="96">
        <v>5</v>
      </c>
      <c r="AG41" s="96">
        <v>4</v>
      </c>
      <c r="AH41" s="96">
        <v>1</v>
      </c>
      <c r="AI41" s="96"/>
      <c r="AJ41" s="96">
        <v>1</v>
      </c>
      <c r="AK41" s="96">
        <v>2</v>
      </c>
      <c r="AL41" s="96"/>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24+31+23</f>
        <v>78</v>
      </c>
      <c r="L42" s="18">
        <f>10+45+5+18</f>
        <v>78</v>
      </c>
      <c r="M42" s="18">
        <f>5</f>
        <v>5</v>
      </c>
      <c r="N42" s="98"/>
      <c r="O42" s="19">
        <f t="shared" si="0"/>
        <v>73</v>
      </c>
      <c r="P42" s="22">
        <f>5+15</f>
        <v>20</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s="17" customFormat="1" ht="15.75" customHeight="1">
      <c r="A43" s="108">
        <v>45268</v>
      </c>
      <c r="B43" s="87" t="s">
        <v>37</v>
      </c>
      <c r="C43" s="89">
        <v>1</v>
      </c>
      <c r="D43" s="91" t="s">
        <v>77</v>
      </c>
      <c r="E43" s="89">
        <v>20785</v>
      </c>
      <c r="F43" s="89" t="s">
        <v>76</v>
      </c>
      <c r="G43" s="93" t="s">
        <v>71</v>
      </c>
      <c r="H43" s="90" t="s">
        <v>79</v>
      </c>
      <c r="I43" s="90">
        <v>826</v>
      </c>
      <c r="J43" s="90">
        <v>826</v>
      </c>
      <c r="K43" s="20">
        <v>32</v>
      </c>
      <c r="L43" s="20">
        <v>7</v>
      </c>
      <c r="M43" s="20">
        <v>3</v>
      </c>
      <c r="N43" s="97">
        <f>O44/L44</f>
        <v>0.5714285714285714</v>
      </c>
      <c r="O43" s="21">
        <f t="shared" si="0"/>
        <v>4</v>
      </c>
      <c r="P43" s="27">
        <v>3</v>
      </c>
      <c r="Q43" s="99">
        <f>+L44-P44</f>
        <v>4</v>
      </c>
      <c r="R43" s="85"/>
      <c r="S43" s="96"/>
      <c r="T43" s="96"/>
      <c r="U43" s="96"/>
      <c r="V43" s="96"/>
      <c r="W43" s="96"/>
      <c r="X43" s="96"/>
      <c r="Y43" s="96"/>
      <c r="Z43" s="96"/>
      <c r="AA43" s="96"/>
      <c r="AB43" s="96"/>
      <c r="AC43" s="96"/>
      <c r="AD43" s="96"/>
      <c r="AE43" s="96"/>
      <c r="AF43" s="96">
        <v>2</v>
      </c>
      <c r="AG43" s="96">
        <v>2</v>
      </c>
      <c r="AH43" s="96"/>
      <c r="AI43" s="96"/>
      <c r="AJ43" s="96"/>
      <c r="AK43" s="96"/>
      <c r="AL43" s="96"/>
      <c r="AM43" s="103"/>
      <c r="AN43" s="103"/>
      <c r="AO43" s="103"/>
      <c r="AP43" s="103"/>
      <c r="AQ43" s="103"/>
      <c r="AR43" s="103"/>
      <c r="AS43" s="103"/>
      <c r="AT43" s="103"/>
      <c r="AU43" s="103"/>
      <c r="AV43" s="103"/>
      <c r="AW43" s="103"/>
      <c r="AX43" s="103"/>
      <c r="AY43" s="106"/>
      <c r="AZ43" s="106"/>
      <c r="BA43" s="106"/>
      <c r="BB43" s="106"/>
      <c r="BC43" s="106"/>
      <c r="BD43" s="106"/>
      <c r="BE43" s="103"/>
      <c r="BF43" s="104"/>
      <c r="BG43" s="104"/>
    </row>
    <row r="44" spans="1:59" s="17" customFormat="1" ht="15.75" customHeight="1">
      <c r="A44" s="85"/>
      <c r="B44" s="88"/>
      <c r="C44" s="90"/>
      <c r="D44" s="92"/>
      <c r="E44" s="90"/>
      <c r="F44" s="90"/>
      <c r="G44" s="94"/>
      <c r="H44" s="95"/>
      <c r="I44" s="95"/>
      <c r="J44" s="95"/>
      <c r="K44" s="22">
        <f>8+32</f>
        <v>40</v>
      </c>
      <c r="L44" s="18">
        <f>7</f>
        <v>7</v>
      </c>
      <c r="M44" s="18">
        <f>3</f>
        <v>3</v>
      </c>
      <c r="N44" s="98"/>
      <c r="O44" s="19">
        <f t="shared" si="0"/>
        <v>4</v>
      </c>
      <c r="P44" s="22">
        <f>3</f>
        <v>3</v>
      </c>
      <c r="Q44" s="100"/>
      <c r="R44" s="86"/>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7"/>
      <c r="AZ44" s="107"/>
      <c r="BA44" s="107"/>
      <c r="BB44" s="107"/>
      <c r="BC44" s="107"/>
      <c r="BD44" s="107"/>
      <c r="BE44" s="103"/>
      <c r="BF44" s="105"/>
      <c r="BG44" s="105"/>
    </row>
    <row r="45" spans="1:59" ht="24.75" customHeight="1">
      <c r="A45" s="111" t="s">
        <v>15</v>
      </c>
      <c r="B45" s="112"/>
      <c r="C45" s="112"/>
      <c r="D45" s="112"/>
      <c r="E45" s="112"/>
      <c r="F45" s="112"/>
      <c r="G45" s="112"/>
      <c r="H45" s="112"/>
      <c r="I45" s="113"/>
      <c r="J45" s="5">
        <f>SUM(J5:J44)</f>
        <v>21110</v>
      </c>
      <c r="K45" s="5">
        <f>+SUMPRODUCT(((MOD(ROW(K5:K44),2)=1)*(K5:K44)))</f>
        <v>891</v>
      </c>
      <c r="L45" s="5">
        <f>+SUMPRODUCT(((MOD(ROW(L5:L44),2)=1)*(L5:L44)))</f>
        <v>1382</v>
      </c>
      <c r="M45" s="5">
        <f>+SUMPRODUCT(((MOD(ROW(M5:M44),2)=1)*(M5:M44)))</f>
        <v>438</v>
      </c>
      <c r="N45" s="23">
        <f>O45/L45</f>
        <v>0.68306801736613598</v>
      </c>
      <c r="O45" s="5">
        <f>+SUMPRODUCT(((MOD(ROW(O5:O44),2)=1)*(O5:O44)))</f>
        <v>944</v>
      </c>
      <c r="P45" s="5">
        <f>+SUMPRODUCT(((MOD(ROW(P5:P44),2)=1)*(P5:P44)))</f>
        <v>1515</v>
      </c>
      <c r="Q45" s="5">
        <f>+SUMPRODUCT(((MOD(ROW(Q5:Q44),2)=1)*(Q5:Q44)))</f>
        <v>2542</v>
      </c>
      <c r="R45" s="29"/>
      <c r="S45" s="5">
        <f t="shared" ref="S45:BG45" si="1">SUM(S5:S44)</f>
        <v>87</v>
      </c>
      <c r="T45" s="5">
        <f t="shared" si="1"/>
        <v>177</v>
      </c>
      <c r="U45" s="5">
        <f t="shared" si="1"/>
        <v>43</v>
      </c>
      <c r="V45" s="5">
        <f t="shared" si="1"/>
        <v>0</v>
      </c>
      <c r="W45" s="5">
        <f t="shared" si="1"/>
        <v>0</v>
      </c>
      <c r="X45" s="5">
        <f t="shared" si="1"/>
        <v>11</v>
      </c>
      <c r="Y45" s="5">
        <f t="shared" si="1"/>
        <v>0</v>
      </c>
      <c r="Z45" s="5">
        <f t="shared" si="1"/>
        <v>0</v>
      </c>
      <c r="AA45" s="5">
        <f t="shared" si="1"/>
        <v>0</v>
      </c>
      <c r="AB45" s="5">
        <f t="shared" si="1"/>
        <v>0</v>
      </c>
      <c r="AC45" s="5">
        <f t="shared" si="1"/>
        <v>154</v>
      </c>
      <c r="AD45" s="5">
        <f t="shared" si="1"/>
        <v>24</v>
      </c>
      <c r="AE45" s="5">
        <f t="shared" si="1"/>
        <v>48</v>
      </c>
      <c r="AF45" s="5">
        <f t="shared" si="1"/>
        <v>104</v>
      </c>
      <c r="AG45" s="5">
        <f t="shared" si="1"/>
        <v>90</v>
      </c>
      <c r="AH45" s="5">
        <f t="shared" si="1"/>
        <v>128</v>
      </c>
      <c r="AI45" s="5">
        <f t="shared" si="1"/>
        <v>0</v>
      </c>
      <c r="AJ45" s="5">
        <f t="shared" si="1"/>
        <v>1</v>
      </c>
      <c r="AK45" s="5">
        <f t="shared" si="1"/>
        <v>2</v>
      </c>
      <c r="AL45" s="5">
        <f t="shared" si="1"/>
        <v>75</v>
      </c>
      <c r="AM45" s="5">
        <f t="shared" si="1"/>
        <v>0</v>
      </c>
      <c r="AN45" s="5">
        <f t="shared" si="1"/>
        <v>0</v>
      </c>
      <c r="AO45" s="5">
        <f t="shared" si="1"/>
        <v>0</v>
      </c>
      <c r="AP45" s="5">
        <f t="shared" si="1"/>
        <v>0</v>
      </c>
      <c r="AQ45" s="5">
        <f t="shared" si="1"/>
        <v>0</v>
      </c>
      <c r="AR45" s="5">
        <f t="shared" si="1"/>
        <v>0</v>
      </c>
      <c r="AS45" s="5">
        <f t="shared" si="1"/>
        <v>0</v>
      </c>
      <c r="AT45" s="5">
        <f t="shared" si="1"/>
        <v>0</v>
      </c>
      <c r="AU45" s="5">
        <f t="shared" si="1"/>
        <v>0</v>
      </c>
      <c r="AV45" s="5">
        <f t="shared" si="1"/>
        <v>0</v>
      </c>
      <c r="AW45" s="5">
        <f t="shared" si="1"/>
        <v>0</v>
      </c>
      <c r="AX45" s="5">
        <f t="shared" si="1"/>
        <v>0</v>
      </c>
      <c r="AY45" s="5">
        <f t="shared" si="1"/>
        <v>0</v>
      </c>
      <c r="AZ45" s="5">
        <f t="shared" si="1"/>
        <v>0</v>
      </c>
      <c r="BA45" s="5">
        <f t="shared" si="1"/>
        <v>0</v>
      </c>
      <c r="BB45" s="5">
        <f t="shared" si="1"/>
        <v>0</v>
      </c>
      <c r="BC45" s="5">
        <f t="shared" si="1"/>
        <v>0</v>
      </c>
      <c r="BD45" s="5">
        <f t="shared" si="1"/>
        <v>0</v>
      </c>
      <c r="BE45" s="5">
        <f t="shared" si="1"/>
        <v>0</v>
      </c>
      <c r="BF45" s="5">
        <f t="shared" si="1"/>
        <v>0</v>
      </c>
      <c r="BG45" s="5">
        <f t="shared" si="1"/>
        <v>0</v>
      </c>
    </row>
    <row r="46" spans="1:59" s="17" customFormat="1" ht="15.75" hidden="1" customHeight="1">
      <c r="A46" s="85"/>
      <c r="B46" s="87"/>
      <c r="C46" s="89"/>
      <c r="D46" s="91"/>
      <c r="E46" s="89"/>
      <c r="F46" s="89"/>
      <c r="G46" s="93"/>
      <c r="H46" s="90"/>
      <c r="I46" s="90"/>
      <c r="J46" s="90"/>
      <c r="K46" s="20"/>
      <c r="L46" s="20"/>
      <c r="M46" s="20"/>
      <c r="N46" s="97" t="e">
        <f>O47/L47</f>
        <v>#DIV/0!</v>
      </c>
      <c r="O46" s="21">
        <f>+L46-M46</f>
        <v>0</v>
      </c>
      <c r="P46" s="27">
        <v>0</v>
      </c>
      <c r="Q46" s="99">
        <f>+L47-P47</f>
        <v>0</v>
      </c>
      <c r="R46" s="169"/>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6"/>
      <c r="AZ46" s="106"/>
      <c r="BA46" s="106"/>
      <c r="BB46" s="106"/>
      <c r="BC46" s="106"/>
      <c r="BD46" s="106"/>
      <c r="BE46" s="103"/>
      <c r="BF46" s="104"/>
      <c r="BG46" s="104"/>
    </row>
    <row r="47" spans="1:59" s="17" customFormat="1" ht="15.75" hidden="1" customHeight="1">
      <c r="A47" s="86"/>
      <c r="B47" s="88"/>
      <c r="C47" s="90"/>
      <c r="D47" s="92"/>
      <c r="E47" s="90"/>
      <c r="F47" s="90"/>
      <c r="G47" s="94"/>
      <c r="H47" s="95"/>
      <c r="I47" s="95"/>
      <c r="J47" s="95"/>
      <c r="K47" s="22"/>
      <c r="L47" s="18"/>
      <c r="M47" s="18"/>
      <c r="N47" s="98"/>
      <c r="O47" s="19">
        <f>+L47-M47</f>
        <v>0</v>
      </c>
      <c r="P47" s="22">
        <v>0</v>
      </c>
      <c r="Q47" s="100"/>
      <c r="R47" s="86"/>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7"/>
      <c r="AZ47" s="107"/>
      <c r="BA47" s="107"/>
      <c r="BB47" s="107"/>
      <c r="BC47" s="107"/>
      <c r="BD47" s="107"/>
      <c r="BE47" s="103"/>
      <c r="BF47" s="105"/>
      <c r="BG47" s="105"/>
    </row>
    <row r="48" spans="1:59" s="17" customFormat="1" ht="15.75" hidden="1" customHeight="1">
      <c r="A48" s="101"/>
      <c r="B48" s="114"/>
      <c r="C48" s="116"/>
      <c r="D48" s="118"/>
      <c r="E48" s="116"/>
      <c r="F48" s="116"/>
      <c r="G48" s="120"/>
      <c r="H48" s="90"/>
      <c r="I48" s="90"/>
      <c r="J48" s="90"/>
      <c r="K48" s="20"/>
      <c r="L48" s="20"/>
      <c r="M48" s="20"/>
      <c r="N48" s="97"/>
      <c r="O48" s="21"/>
      <c r="P48" s="27"/>
      <c r="Q48" s="99"/>
      <c r="R48" s="110"/>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6"/>
      <c r="AZ48" s="106"/>
      <c r="BA48" s="106"/>
      <c r="BB48" s="106"/>
      <c r="BC48" s="106"/>
      <c r="BD48" s="106"/>
      <c r="BE48" s="103"/>
      <c r="BF48" s="104"/>
      <c r="BG48" s="104"/>
    </row>
    <row r="49" spans="1:59" s="17" customFormat="1" ht="15.75" hidden="1" customHeight="1">
      <c r="A49" s="102"/>
      <c r="B49" s="115"/>
      <c r="C49" s="117"/>
      <c r="D49" s="119"/>
      <c r="E49" s="117"/>
      <c r="F49" s="117"/>
      <c r="G49" s="121"/>
      <c r="H49" s="95"/>
      <c r="I49" s="95"/>
      <c r="J49" s="95"/>
      <c r="K49" s="22"/>
      <c r="L49" s="18"/>
      <c r="M49" s="18"/>
      <c r="N49" s="98"/>
      <c r="O49" s="19"/>
      <c r="P49" s="22"/>
      <c r="Q49" s="100"/>
      <c r="R49" s="102"/>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7"/>
      <c r="AZ49" s="107"/>
      <c r="BA49" s="107"/>
      <c r="BB49" s="107"/>
      <c r="BC49" s="107"/>
      <c r="BD49" s="107"/>
      <c r="BE49" s="103"/>
      <c r="BF49" s="105"/>
      <c r="BG49" s="105"/>
    </row>
    <row r="50" spans="1:59" s="17" customFormat="1" ht="15.75" hidden="1" customHeight="1">
      <c r="A50" s="101"/>
      <c r="B50" s="114"/>
      <c r="C50" s="116"/>
      <c r="D50" s="118"/>
      <c r="E50" s="116"/>
      <c r="F50" s="116"/>
      <c r="G50" s="120"/>
      <c r="H50" s="90"/>
      <c r="I50" s="90"/>
      <c r="J50" s="90"/>
      <c r="K50" s="20"/>
      <c r="L50" s="20"/>
      <c r="M50" s="20"/>
      <c r="N50" s="97"/>
      <c r="O50" s="21"/>
      <c r="P50" s="27"/>
      <c r="Q50" s="99"/>
      <c r="R50" s="110"/>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6"/>
      <c r="AZ50" s="106"/>
      <c r="BA50" s="106"/>
      <c r="BB50" s="106"/>
      <c r="BC50" s="106"/>
      <c r="BD50" s="106"/>
      <c r="BE50" s="103"/>
      <c r="BF50" s="104"/>
      <c r="BG50" s="104"/>
    </row>
    <row r="51" spans="1:59" s="17" customFormat="1" ht="15.75" hidden="1" customHeight="1">
      <c r="A51" s="102"/>
      <c r="B51" s="115"/>
      <c r="C51" s="117"/>
      <c r="D51" s="119"/>
      <c r="E51" s="117"/>
      <c r="F51" s="117"/>
      <c r="G51" s="121"/>
      <c r="H51" s="95"/>
      <c r="I51" s="95"/>
      <c r="J51" s="95"/>
      <c r="K51" s="22"/>
      <c r="L51" s="18"/>
      <c r="M51" s="18"/>
      <c r="N51" s="98"/>
      <c r="O51" s="19"/>
      <c r="P51" s="22"/>
      <c r="Q51" s="100"/>
      <c r="R51" s="102"/>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7"/>
      <c r="AZ51" s="107"/>
      <c r="BA51" s="107"/>
      <c r="BB51" s="107"/>
      <c r="BC51" s="107"/>
      <c r="BD51" s="107"/>
      <c r="BE51" s="103"/>
      <c r="BF51" s="105"/>
      <c r="BG51" s="105"/>
    </row>
    <row r="52" spans="1:59" ht="24.75" hidden="1" customHeight="1">
      <c r="A52" s="111" t="s">
        <v>48</v>
      </c>
      <c r="B52" s="112"/>
      <c r="C52" s="112"/>
      <c r="D52" s="112"/>
      <c r="E52" s="112"/>
      <c r="F52" s="112"/>
      <c r="G52" s="112"/>
      <c r="H52" s="112"/>
      <c r="I52" s="113"/>
      <c r="J52" s="5">
        <f>SUM(J46:J51)</f>
        <v>0</v>
      </c>
      <c r="K52" s="5">
        <f>+SUMPRODUCT(((MOD(ROW(K46:K51),2)=0)*(K46:K51)))</f>
        <v>0</v>
      </c>
      <c r="L52" s="5">
        <f>+SUMPRODUCT(((MOD(ROW(L46:L51),2)=0)*(L46:L51)))</f>
        <v>0</v>
      </c>
      <c r="M52" s="5">
        <f>+SUMPRODUCT(((MOD(ROW(M46:M51),2)=0)*(M46:M51)))</f>
        <v>0</v>
      </c>
      <c r="N52" s="23" t="e">
        <f>O52/L52</f>
        <v>#DIV/0!</v>
      </c>
      <c r="O52" s="5">
        <f>+SUMPRODUCT(((MOD(ROW(O46:O51),2)=0)*(O46:O51)))</f>
        <v>0</v>
      </c>
      <c r="P52" s="5">
        <f>+SUMPRODUCT(((MOD(ROW(P46:P51),2)=0)*(P46:P51)))</f>
        <v>0</v>
      </c>
      <c r="Q52" s="29">
        <f>SUM(Q46:Q51)</f>
        <v>0</v>
      </c>
      <c r="R52" s="29"/>
      <c r="S52" s="5">
        <f t="shared" ref="S52:BG52" si="2">SUM(S46:S51)</f>
        <v>0</v>
      </c>
      <c r="T52" s="5">
        <f t="shared" si="2"/>
        <v>0</v>
      </c>
      <c r="U52" s="5">
        <f t="shared" si="2"/>
        <v>0</v>
      </c>
      <c r="V52" s="5">
        <f t="shared" si="2"/>
        <v>0</v>
      </c>
      <c r="W52" s="5">
        <f t="shared" si="2"/>
        <v>0</v>
      </c>
      <c r="X52" s="5">
        <f t="shared" si="2"/>
        <v>0</v>
      </c>
      <c r="Y52" s="5">
        <f t="shared" si="2"/>
        <v>0</v>
      </c>
      <c r="Z52" s="5">
        <f t="shared" si="2"/>
        <v>0</v>
      </c>
      <c r="AA52" s="5">
        <f t="shared" si="2"/>
        <v>0</v>
      </c>
      <c r="AB52" s="5">
        <f t="shared" si="2"/>
        <v>0</v>
      </c>
      <c r="AC52" s="5">
        <f t="shared" si="2"/>
        <v>0</v>
      </c>
      <c r="AD52" s="5">
        <f t="shared" si="2"/>
        <v>0</v>
      </c>
      <c r="AE52" s="5">
        <f t="shared" si="2"/>
        <v>0</v>
      </c>
      <c r="AF52" s="5">
        <f t="shared" si="2"/>
        <v>0</v>
      </c>
      <c r="AG52" s="5">
        <f t="shared" si="2"/>
        <v>0</v>
      </c>
      <c r="AH52" s="5">
        <f t="shared" si="2"/>
        <v>0</v>
      </c>
      <c r="AI52" s="5">
        <f t="shared" si="2"/>
        <v>0</v>
      </c>
      <c r="AJ52" s="5">
        <f t="shared" si="2"/>
        <v>0</v>
      </c>
      <c r="AK52" s="5">
        <f t="shared" si="2"/>
        <v>0</v>
      </c>
      <c r="AL52" s="5">
        <f t="shared" si="2"/>
        <v>0</v>
      </c>
      <c r="AM52" s="5">
        <f t="shared" si="2"/>
        <v>0</v>
      </c>
      <c r="AN52" s="5">
        <f t="shared" si="2"/>
        <v>0</v>
      </c>
      <c r="AO52" s="5">
        <f t="shared" si="2"/>
        <v>0</v>
      </c>
      <c r="AP52" s="5">
        <f t="shared" si="2"/>
        <v>0</v>
      </c>
      <c r="AQ52" s="5">
        <f t="shared" si="2"/>
        <v>0</v>
      </c>
      <c r="AR52" s="5">
        <f t="shared" si="2"/>
        <v>0</v>
      </c>
      <c r="AS52" s="5">
        <f t="shared" si="2"/>
        <v>0</v>
      </c>
      <c r="AT52" s="5">
        <f t="shared" si="2"/>
        <v>0</v>
      </c>
      <c r="AU52" s="5">
        <f t="shared" si="2"/>
        <v>0</v>
      </c>
      <c r="AV52" s="5">
        <f t="shared" si="2"/>
        <v>0</v>
      </c>
      <c r="AW52" s="5">
        <f t="shared" si="2"/>
        <v>0</v>
      </c>
      <c r="AX52" s="5">
        <f t="shared" si="2"/>
        <v>0</v>
      </c>
      <c r="AY52" s="5">
        <f t="shared" si="2"/>
        <v>0</v>
      </c>
      <c r="AZ52" s="5">
        <f t="shared" si="2"/>
        <v>0</v>
      </c>
      <c r="BA52" s="5">
        <f t="shared" si="2"/>
        <v>0</v>
      </c>
      <c r="BB52" s="5">
        <f t="shared" si="2"/>
        <v>0</v>
      </c>
      <c r="BC52" s="5">
        <f t="shared" si="2"/>
        <v>0</v>
      </c>
      <c r="BD52" s="5">
        <f t="shared" si="2"/>
        <v>0</v>
      </c>
      <c r="BE52" s="5">
        <f t="shared" si="2"/>
        <v>0</v>
      </c>
      <c r="BF52" s="5">
        <f t="shared" si="2"/>
        <v>0</v>
      </c>
      <c r="BG52" s="5">
        <f t="shared" si="2"/>
        <v>0</v>
      </c>
    </row>
    <row r="53" spans="1:59" s="17" customFormat="1" ht="15.75" hidden="1" customHeight="1">
      <c r="A53" s="85"/>
      <c r="B53" s="87"/>
      <c r="C53" s="89"/>
      <c r="D53" s="91"/>
      <c r="E53" s="89"/>
      <c r="F53" s="89"/>
      <c r="G53" s="93"/>
      <c r="H53" s="90"/>
      <c r="I53" s="90"/>
      <c r="J53" s="90"/>
      <c r="K53" s="20"/>
      <c r="L53" s="20"/>
      <c r="M53" s="20"/>
      <c r="N53" s="97"/>
      <c r="O53" s="21"/>
      <c r="P53" s="27"/>
      <c r="Q53" s="99"/>
      <c r="R53" s="110"/>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5.75" hidden="1" customHeight="1">
      <c r="A54" s="86"/>
      <c r="B54" s="88"/>
      <c r="C54" s="90"/>
      <c r="D54" s="92"/>
      <c r="E54" s="90"/>
      <c r="F54" s="90"/>
      <c r="G54" s="94"/>
      <c r="H54" s="95"/>
      <c r="I54" s="95"/>
      <c r="J54" s="95"/>
      <c r="K54" s="22"/>
      <c r="L54" s="18"/>
      <c r="M54" s="18"/>
      <c r="N54" s="98"/>
      <c r="O54" s="19"/>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5.75" hidden="1" customHeight="1">
      <c r="A55" s="101"/>
      <c r="B55" s="114"/>
      <c r="C55" s="116"/>
      <c r="D55" s="118"/>
      <c r="E55" s="118"/>
      <c r="F55" s="116"/>
      <c r="G55" s="120"/>
      <c r="H55" s="90"/>
      <c r="I55" s="90"/>
      <c r="J55" s="90"/>
      <c r="K55" s="20"/>
      <c r="L55" s="20"/>
      <c r="M55" s="20"/>
      <c r="N55" s="97" t="e">
        <f>O56/L56</f>
        <v>#DIV/0!</v>
      </c>
      <c r="O55" s="21">
        <f t="shared" ref="O55:O62" si="3">L55-M55</f>
        <v>0</v>
      </c>
      <c r="P55" s="27"/>
      <c r="Q55" s="99">
        <f>+L56-P56</f>
        <v>0</v>
      </c>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102"/>
      <c r="B56" s="115"/>
      <c r="C56" s="117"/>
      <c r="D56" s="119"/>
      <c r="E56" s="119"/>
      <c r="F56" s="117"/>
      <c r="G56" s="121"/>
      <c r="H56" s="95"/>
      <c r="I56" s="95"/>
      <c r="J56" s="95"/>
      <c r="K56" s="22"/>
      <c r="L56" s="18"/>
      <c r="M56" s="18"/>
      <c r="N56" s="98"/>
      <c r="O56" s="19">
        <f t="shared" si="3"/>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si="3"/>
        <v>0</v>
      </c>
      <c r="P57" s="27"/>
      <c r="Q57" s="99">
        <f>+L58-P58</f>
        <v>0</v>
      </c>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90"/>
      <c r="I59" s="90"/>
      <c r="J59" s="90"/>
      <c r="K59" s="20"/>
      <c r="L59" s="20"/>
      <c r="M59" s="20"/>
      <c r="N59" s="97" t="e">
        <f>O60/L60</f>
        <v>#DIV/0!</v>
      </c>
      <c r="O59" s="21">
        <f t="shared" si="3"/>
        <v>0</v>
      </c>
      <c r="P59" s="27"/>
      <c r="Q59" s="99">
        <f>+L60-P60</f>
        <v>0</v>
      </c>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8"/>
      <c r="F61" s="116"/>
      <c r="G61" s="120"/>
      <c r="H61" s="109"/>
      <c r="I61" s="90"/>
      <c r="J61" s="90"/>
      <c r="K61" s="20"/>
      <c r="L61" s="20"/>
      <c r="M61" s="20"/>
      <c r="N61" s="97" t="e">
        <f>O62/L62</f>
        <v>#DIV/0!</v>
      </c>
      <c r="O61" s="21">
        <f t="shared" si="3"/>
        <v>0</v>
      </c>
      <c r="P61" s="27"/>
      <c r="Q61" s="99">
        <f>+L62-P62</f>
        <v>0</v>
      </c>
      <c r="R61" s="110"/>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9"/>
      <c r="F62" s="117"/>
      <c r="G62" s="121"/>
      <c r="H62" s="95"/>
      <c r="I62" s="95"/>
      <c r="J62" s="95"/>
      <c r="K62" s="22"/>
      <c r="L62" s="18"/>
      <c r="M62" s="18"/>
      <c r="N62" s="98"/>
      <c r="O62" s="19">
        <f t="shared" si="3"/>
        <v>0</v>
      </c>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s="17" customFormat="1" ht="15.75" hidden="1" customHeight="1">
      <c r="A63" s="101"/>
      <c r="B63" s="114"/>
      <c r="C63" s="116"/>
      <c r="D63" s="118"/>
      <c r="E63" s="116"/>
      <c r="F63" s="116"/>
      <c r="G63" s="120"/>
      <c r="H63" s="90"/>
      <c r="I63" s="90"/>
      <c r="J63" s="90"/>
      <c r="K63" s="20"/>
      <c r="L63" s="20"/>
      <c r="M63" s="20"/>
      <c r="N63" s="97" t="e">
        <f>O64/L64</f>
        <v>#DIV/0!</v>
      </c>
      <c r="O63" s="21"/>
      <c r="P63" s="27"/>
      <c r="Q63" s="99"/>
      <c r="R63" s="110"/>
      <c r="S63" s="96"/>
      <c r="T63" s="96"/>
      <c r="U63" s="96"/>
      <c r="V63" s="96"/>
      <c r="W63" s="96"/>
      <c r="X63" s="96"/>
      <c r="Y63" s="96"/>
      <c r="Z63" s="96"/>
      <c r="AA63" s="96"/>
      <c r="AB63" s="96"/>
      <c r="AC63" s="96"/>
      <c r="AD63" s="96"/>
      <c r="AE63" s="96"/>
      <c r="AF63" s="96"/>
      <c r="AG63" s="96"/>
      <c r="AH63" s="96"/>
      <c r="AI63" s="96"/>
      <c r="AJ63" s="96"/>
      <c r="AK63" s="96"/>
      <c r="AL63" s="96"/>
      <c r="AM63" s="103"/>
      <c r="AN63" s="103"/>
      <c r="AO63" s="103"/>
      <c r="AP63" s="103"/>
      <c r="AQ63" s="103"/>
      <c r="AR63" s="103"/>
      <c r="AS63" s="103"/>
      <c r="AT63" s="103"/>
      <c r="AU63" s="103"/>
      <c r="AV63" s="103"/>
      <c r="AW63" s="103"/>
      <c r="AX63" s="103"/>
      <c r="AY63" s="106"/>
      <c r="AZ63" s="106"/>
      <c r="BA63" s="106"/>
      <c r="BB63" s="106"/>
      <c r="BC63" s="106"/>
      <c r="BD63" s="106"/>
      <c r="BE63" s="103"/>
      <c r="BF63" s="104"/>
      <c r="BG63" s="104"/>
    </row>
    <row r="64" spans="1:59" s="17" customFormat="1" ht="15.75" hidden="1" customHeight="1">
      <c r="A64" s="102"/>
      <c r="B64" s="115"/>
      <c r="C64" s="117"/>
      <c r="D64" s="119"/>
      <c r="E64" s="117"/>
      <c r="F64" s="117"/>
      <c r="G64" s="121"/>
      <c r="H64" s="95"/>
      <c r="I64" s="95"/>
      <c r="J64" s="95"/>
      <c r="K64" s="22"/>
      <c r="L64" s="18"/>
      <c r="M64" s="18"/>
      <c r="N64" s="98"/>
      <c r="O64" s="19"/>
      <c r="P64" s="22"/>
      <c r="Q64" s="100"/>
      <c r="R64" s="102"/>
      <c r="S64" s="96"/>
      <c r="T64" s="96"/>
      <c r="U64" s="96"/>
      <c r="V64" s="96"/>
      <c r="W64" s="96"/>
      <c r="X64" s="96"/>
      <c r="Y64" s="96"/>
      <c r="Z64" s="96"/>
      <c r="AA64" s="96"/>
      <c r="AB64" s="96"/>
      <c r="AC64" s="96"/>
      <c r="AD64" s="96"/>
      <c r="AE64" s="96"/>
      <c r="AF64" s="96"/>
      <c r="AG64" s="96"/>
      <c r="AH64" s="96"/>
      <c r="AI64" s="96"/>
      <c r="AJ64" s="96"/>
      <c r="AK64" s="96"/>
      <c r="AL64" s="96"/>
      <c r="AM64" s="103"/>
      <c r="AN64" s="103"/>
      <c r="AO64" s="103"/>
      <c r="AP64" s="103"/>
      <c r="AQ64" s="103"/>
      <c r="AR64" s="103"/>
      <c r="AS64" s="103"/>
      <c r="AT64" s="103"/>
      <c r="AU64" s="103"/>
      <c r="AV64" s="103"/>
      <c r="AW64" s="103"/>
      <c r="AX64" s="103"/>
      <c r="AY64" s="107"/>
      <c r="AZ64" s="107"/>
      <c r="BA64" s="107"/>
      <c r="BB64" s="107"/>
      <c r="BC64" s="107"/>
      <c r="BD64" s="107"/>
      <c r="BE64" s="103"/>
      <c r="BF64" s="105"/>
      <c r="BG64" s="105"/>
    </row>
    <row r="65" spans="1:59" ht="24.75" hidden="1" customHeight="1">
      <c r="A65" s="111" t="s">
        <v>74</v>
      </c>
      <c r="B65" s="112"/>
      <c r="C65" s="112"/>
      <c r="D65" s="112"/>
      <c r="E65" s="112"/>
      <c r="F65" s="112"/>
      <c r="G65" s="112"/>
      <c r="H65" s="112"/>
      <c r="I65" s="113"/>
      <c r="J65" s="5">
        <f>+SUMPRODUCT(((MOD(ROW(J53:J64),2)=1)*(J53:J64)))</f>
        <v>0</v>
      </c>
      <c r="K65" s="5">
        <f>+SUMPRODUCT(((MOD(ROW(K53:K64),2)=1)*(K53:K64)))</f>
        <v>0</v>
      </c>
      <c r="L65" s="5">
        <f>+SUMPRODUCT(((MOD(ROW(L53:L64),2)=1)*(L53:L64)))</f>
        <v>0</v>
      </c>
      <c r="M65" s="5">
        <f>+SUMPRODUCT(((MOD(ROW(M53:M64),2)=1)*(M53:M64)))</f>
        <v>0</v>
      </c>
      <c r="N65" s="23" t="e">
        <f>O65/L65</f>
        <v>#DIV/0!</v>
      </c>
      <c r="O65" s="5">
        <f>+SUMPRODUCT(((MOD(ROW(O53:O64),2)=1)*(O53:O64)))</f>
        <v>0</v>
      </c>
      <c r="P65" s="5">
        <f>+SUMPRODUCT(((MOD(ROW(P53:P64),2)=1)*(P53:P64)))</f>
        <v>0</v>
      </c>
      <c r="Q65" s="29">
        <f>SUM(Q53:Q64)</f>
        <v>0</v>
      </c>
      <c r="R65" s="29"/>
      <c r="S65" s="5">
        <f t="shared" ref="S65:BG65" si="4">SUM(S53:S64)</f>
        <v>0</v>
      </c>
      <c r="T65" s="5">
        <f t="shared" si="4"/>
        <v>0</v>
      </c>
      <c r="U65" s="5">
        <f t="shared" si="4"/>
        <v>0</v>
      </c>
      <c r="V65" s="5">
        <f t="shared" si="4"/>
        <v>0</v>
      </c>
      <c r="W65" s="5">
        <f t="shared" si="4"/>
        <v>0</v>
      </c>
      <c r="X65" s="5">
        <f t="shared" si="4"/>
        <v>0</v>
      </c>
      <c r="Y65" s="5">
        <f t="shared" si="4"/>
        <v>0</v>
      </c>
      <c r="Z65" s="5">
        <f t="shared" si="4"/>
        <v>0</v>
      </c>
      <c r="AA65" s="5">
        <f t="shared" si="4"/>
        <v>0</v>
      </c>
      <c r="AB65" s="5">
        <f t="shared" si="4"/>
        <v>0</v>
      </c>
      <c r="AC65" s="5">
        <f t="shared" si="4"/>
        <v>0</v>
      </c>
      <c r="AD65" s="5">
        <f t="shared" si="4"/>
        <v>0</v>
      </c>
      <c r="AE65" s="5">
        <f t="shared" si="4"/>
        <v>0</v>
      </c>
      <c r="AF65" s="5">
        <f t="shared" si="4"/>
        <v>0</v>
      </c>
      <c r="AG65" s="5">
        <f t="shared" si="4"/>
        <v>0</v>
      </c>
      <c r="AH65" s="5">
        <f t="shared" si="4"/>
        <v>0</v>
      </c>
      <c r="AI65" s="5">
        <f t="shared" si="4"/>
        <v>0</v>
      </c>
      <c r="AJ65" s="5">
        <f t="shared" si="4"/>
        <v>0</v>
      </c>
      <c r="AK65" s="5">
        <f t="shared" si="4"/>
        <v>0</v>
      </c>
      <c r="AL65" s="5">
        <f t="shared" si="4"/>
        <v>0</v>
      </c>
      <c r="AM65" s="5">
        <f t="shared" si="4"/>
        <v>0</v>
      </c>
      <c r="AN65" s="5">
        <f t="shared" si="4"/>
        <v>0</v>
      </c>
      <c r="AO65" s="5">
        <f t="shared" si="4"/>
        <v>0</v>
      </c>
      <c r="AP65" s="5">
        <f t="shared" si="4"/>
        <v>0</v>
      </c>
      <c r="AQ65" s="5">
        <f t="shared" si="4"/>
        <v>0</v>
      </c>
      <c r="AR65" s="5">
        <f t="shared" si="4"/>
        <v>0</v>
      </c>
      <c r="AS65" s="5">
        <f t="shared" si="4"/>
        <v>0</v>
      </c>
      <c r="AT65" s="5">
        <f t="shared" si="4"/>
        <v>0</v>
      </c>
      <c r="AU65" s="5">
        <f t="shared" si="4"/>
        <v>0</v>
      </c>
      <c r="AV65" s="5">
        <f t="shared" si="4"/>
        <v>0</v>
      </c>
      <c r="AW65" s="5">
        <f t="shared" si="4"/>
        <v>0</v>
      </c>
      <c r="AX65" s="5">
        <f t="shared" si="4"/>
        <v>0</v>
      </c>
      <c r="AY65" s="5">
        <f t="shared" si="4"/>
        <v>0</v>
      </c>
      <c r="AZ65" s="5">
        <f t="shared" si="4"/>
        <v>0</v>
      </c>
      <c r="BA65" s="5">
        <f t="shared" si="4"/>
        <v>0</v>
      </c>
      <c r="BB65" s="5">
        <f t="shared" si="4"/>
        <v>0</v>
      </c>
      <c r="BC65" s="5">
        <f t="shared" si="4"/>
        <v>0</v>
      </c>
      <c r="BD65" s="5">
        <f t="shared" si="4"/>
        <v>0</v>
      </c>
      <c r="BE65" s="5">
        <f t="shared" si="4"/>
        <v>0</v>
      </c>
      <c r="BF65" s="5">
        <f t="shared" si="4"/>
        <v>0</v>
      </c>
      <c r="BG65" s="5">
        <f t="shared" si="4"/>
        <v>0</v>
      </c>
    </row>
    <row r="66" spans="1:59" ht="24.75" customHeight="1">
      <c r="A66" s="122" t="s">
        <v>5</v>
      </c>
      <c r="B66" s="122"/>
      <c r="C66" s="122"/>
      <c r="D66" s="122"/>
      <c r="E66" s="122"/>
      <c r="F66" s="122"/>
      <c r="G66" s="122"/>
      <c r="H66" s="122"/>
      <c r="I66" s="122"/>
      <c r="J66" s="30">
        <f>J45+J65+J52</f>
        <v>21110</v>
      </c>
      <c r="K66" s="45">
        <f>K45+K52+K65</f>
        <v>891</v>
      </c>
      <c r="L66" s="45">
        <f>L45+L52+L65</f>
        <v>1382</v>
      </c>
      <c r="M66" s="45">
        <f>M45+M52+M65</f>
        <v>438</v>
      </c>
      <c r="N66" s="32">
        <f>+O66/L66</f>
        <v>0.68306801736613598</v>
      </c>
      <c r="O66" s="45">
        <f>O45+O52+O65</f>
        <v>944</v>
      </c>
      <c r="P66" s="45">
        <f>P45+P52+P65</f>
        <v>1515</v>
      </c>
      <c r="Q66" s="45">
        <f>Q45+Q52+Q65</f>
        <v>2542</v>
      </c>
      <c r="R66" s="45"/>
      <c r="S66" s="45">
        <f t="shared" ref="S66:BG66" si="5">S45+S52+S65</f>
        <v>87</v>
      </c>
      <c r="T66" s="45">
        <f t="shared" si="5"/>
        <v>177</v>
      </c>
      <c r="U66" s="45">
        <f t="shared" si="5"/>
        <v>43</v>
      </c>
      <c r="V66" s="45">
        <f t="shared" si="5"/>
        <v>0</v>
      </c>
      <c r="W66" s="45">
        <f t="shared" si="5"/>
        <v>0</v>
      </c>
      <c r="X66" s="45">
        <f t="shared" si="5"/>
        <v>11</v>
      </c>
      <c r="Y66" s="45">
        <f t="shared" si="5"/>
        <v>0</v>
      </c>
      <c r="Z66" s="45">
        <f t="shared" si="5"/>
        <v>0</v>
      </c>
      <c r="AA66" s="45">
        <f t="shared" si="5"/>
        <v>0</v>
      </c>
      <c r="AB66" s="45">
        <f t="shared" si="5"/>
        <v>0</v>
      </c>
      <c r="AC66" s="45">
        <f t="shared" si="5"/>
        <v>154</v>
      </c>
      <c r="AD66" s="45">
        <f t="shared" si="5"/>
        <v>24</v>
      </c>
      <c r="AE66" s="45">
        <f t="shared" si="5"/>
        <v>48</v>
      </c>
      <c r="AF66" s="45">
        <f t="shared" si="5"/>
        <v>104</v>
      </c>
      <c r="AG66" s="45">
        <f t="shared" si="5"/>
        <v>90</v>
      </c>
      <c r="AH66" s="45">
        <f t="shared" si="5"/>
        <v>128</v>
      </c>
      <c r="AI66" s="45">
        <f t="shared" si="5"/>
        <v>0</v>
      </c>
      <c r="AJ66" s="45">
        <f t="shared" si="5"/>
        <v>1</v>
      </c>
      <c r="AK66" s="45">
        <f t="shared" si="5"/>
        <v>2</v>
      </c>
      <c r="AL66" s="45">
        <f t="shared" si="5"/>
        <v>75</v>
      </c>
      <c r="AM66" s="45">
        <f t="shared" si="5"/>
        <v>0</v>
      </c>
      <c r="AN66" s="45">
        <f t="shared" si="5"/>
        <v>0</v>
      </c>
      <c r="AO66" s="45">
        <f t="shared" si="5"/>
        <v>0</v>
      </c>
      <c r="AP66" s="45">
        <f t="shared" si="5"/>
        <v>0</v>
      </c>
      <c r="AQ66" s="45">
        <f t="shared" si="5"/>
        <v>0</v>
      </c>
      <c r="AR66" s="45">
        <f t="shared" si="5"/>
        <v>0</v>
      </c>
      <c r="AS66" s="45">
        <f t="shared" si="5"/>
        <v>0</v>
      </c>
      <c r="AT66" s="45">
        <f t="shared" si="5"/>
        <v>0</v>
      </c>
      <c r="AU66" s="45">
        <f t="shared" si="5"/>
        <v>0</v>
      </c>
      <c r="AV66" s="45">
        <f t="shared" si="5"/>
        <v>0</v>
      </c>
      <c r="AW66" s="45">
        <f t="shared" si="5"/>
        <v>0</v>
      </c>
      <c r="AX66" s="45">
        <f t="shared" si="5"/>
        <v>0</v>
      </c>
      <c r="AY66" s="45">
        <f t="shared" si="5"/>
        <v>0</v>
      </c>
      <c r="AZ66" s="45">
        <f t="shared" si="5"/>
        <v>0</v>
      </c>
      <c r="BA66" s="45">
        <f t="shared" si="5"/>
        <v>0</v>
      </c>
      <c r="BB66" s="45">
        <f t="shared" si="5"/>
        <v>0</v>
      </c>
      <c r="BC66" s="45">
        <f t="shared" si="5"/>
        <v>0</v>
      </c>
      <c r="BD66" s="45">
        <f t="shared" si="5"/>
        <v>0</v>
      </c>
      <c r="BE66" s="45">
        <f t="shared" si="5"/>
        <v>0</v>
      </c>
      <c r="BF66" s="45">
        <f t="shared" si="5"/>
        <v>0</v>
      </c>
      <c r="BG66" s="45">
        <f t="shared" si="5"/>
        <v>0</v>
      </c>
    </row>
    <row r="67" spans="1:59" ht="31.8">
      <c r="A67" s="81" t="s">
        <v>36</v>
      </c>
      <c r="B67" s="81"/>
      <c r="C67" s="81"/>
      <c r="D67" s="81"/>
      <c r="E67" s="81"/>
      <c r="F67" s="81"/>
      <c r="G67" s="81"/>
      <c r="H67" s="81"/>
      <c r="I67" s="81"/>
      <c r="J67" s="81"/>
      <c r="K67" s="81"/>
      <c r="L67" s="81"/>
      <c r="M67" s="81"/>
      <c r="N67" s="81"/>
      <c r="O67" s="81"/>
      <c r="P67" s="24"/>
      <c r="Q67" s="24"/>
      <c r="R67" s="24"/>
      <c r="AM67" s="34"/>
      <c r="AN67" s="34"/>
      <c r="AO67" s="34"/>
      <c r="AP67" s="34"/>
      <c r="AQ67" s="34"/>
      <c r="AR67" s="34"/>
      <c r="AS67" s="34"/>
      <c r="AT67" s="34"/>
      <c r="AU67" s="34"/>
      <c r="AV67" s="34"/>
      <c r="AW67" s="34"/>
      <c r="AX67" s="34"/>
      <c r="AY67" s="34"/>
      <c r="AZ67" s="34"/>
      <c r="BA67" s="34"/>
      <c r="BB67" s="34"/>
      <c r="BC67" s="34"/>
      <c r="BD67" s="34"/>
      <c r="BE67" s="34"/>
      <c r="BF67" s="34"/>
      <c r="BG67" s="34"/>
    </row>
    <row r="68" spans="1:59" ht="33.75" customHeight="1">
      <c r="A68" s="82" t="s">
        <v>13</v>
      </c>
      <c r="B68" s="82"/>
      <c r="C68" s="82"/>
      <c r="D68" s="82"/>
      <c r="E68" s="82"/>
      <c r="F68" s="82"/>
      <c r="G68" s="82"/>
      <c r="H68" s="82"/>
      <c r="I68" s="82"/>
      <c r="J68" s="82"/>
      <c r="K68" s="82"/>
      <c r="L68" s="82"/>
      <c r="M68" s="82"/>
      <c r="N68" s="82"/>
      <c r="O68" s="82"/>
      <c r="AM68" s="34"/>
      <c r="AN68" s="34"/>
      <c r="AO68" s="34"/>
      <c r="AP68" s="34"/>
      <c r="AQ68" s="34"/>
      <c r="AR68" s="34"/>
      <c r="AS68" s="34"/>
      <c r="AT68" s="34"/>
      <c r="AU68" s="34"/>
      <c r="AV68" s="34"/>
      <c r="AW68" s="34"/>
      <c r="AX68" s="34"/>
      <c r="AY68" s="34"/>
      <c r="AZ68" s="34"/>
      <c r="BA68" s="34"/>
      <c r="BB68" s="34"/>
      <c r="BC68" s="34"/>
      <c r="BD68" s="34"/>
      <c r="BE68" s="34"/>
      <c r="BF68" s="34"/>
      <c r="BG68" s="34"/>
    </row>
    <row r="69" spans="1:59" ht="62.4">
      <c r="A69" s="9" t="s">
        <v>0</v>
      </c>
      <c r="B69" s="10" t="s">
        <v>34</v>
      </c>
      <c r="C69" s="11" t="s">
        <v>7</v>
      </c>
      <c r="D69" s="12" t="s">
        <v>1</v>
      </c>
      <c r="E69" s="13" t="s">
        <v>4</v>
      </c>
      <c r="F69" s="13" t="s">
        <v>2</v>
      </c>
      <c r="G69" s="13" t="s">
        <v>3</v>
      </c>
      <c r="H69" s="11" t="s">
        <v>6</v>
      </c>
      <c r="I69" s="14" t="s">
        <v>8</v>
      </c>
      <c r="J69" s="14" t="s">
        <v>17</v>
      </c>
      <c r="K69" s="12" t="s">
        <v>9</v>
      </c>
      <c r="L69" s="15" t="s">
        <v>10</v>
      </c>
      <c r="M69" s="15" t="s">
        <v>11</v>
      </c>
      <c r="N69" s="15" t="s">
        <v>12</v>
      </c>
      <c r="O69" s="15" t="s">
        <v>14</v>
      </c>
      <c r="P69" s="26" t="s">
        <v>16</v>
      </c>
      <c r="Q69" s="15" t="s">
        <v>42</v>
      </c>
      <c r="R69" s="15" t="s">
        <v>44</v>
      </c>
      <c r="S69" s="83">
        <v>101</v>
      </c>
      <c r="T69" s="83">
        <v>102</v>
      </c>
      <c r="U69" s="80">
        <v>106</v>
      </c>
      <c r="V69" s="80">
        <v>108</v>
      </c>
      <c r="W69" s="80">
        <v>109</v>
      </c>
      <c r="X69" s="80">
        <v>113</v>
      </c>
      <c r="Y69" s="80">
        <v>114</v>
      </c>
      <c r="Z69" s="80">
        <v>115</v>
      </c>
      <c r="AA69" s="80">
        <v>116</v>
      </c>
      <c r="AB69" s="80">
        <v>199</v>
      </c>
      <c r="AC69" s="80">
        <v>201</v>
      </c>
      <c r="AD69" s="80">
        <v>202</v>
      </c>
      <c r="AE69" s="80">
        <v>203</v>
      </c>
      <c r="AF69" s="80">
        <v>205</v>
      </c>
      <c r="AG69" s="80">
        <v>206</v>
      </c>
      <c r="AH69" s="79">
        <v>209</v>
      </c>
      <c r="AI69" s="79">
        <v>212</v>
      </c>
      <c r="AJ69" s="79">
        <v>216</v>
      </c>
      <c r="AK69" s="79">
        <v>217</v>
      </c>
      <c r="AL69" s="79">
        <v>299</v>
      </c>
      <c r="AM69" s="79">
        <v>301</v>
      </c>
      <c r="AN69" s="79">
        <v>302</v>
      </c>
      <c r="AO69" s="79">
        <v>399</v>
      </c>
      <c r="AP69" s="79">
        <v>401</v>
      </c>
      <c r="AQ69" s="79">
        <v>402</v>
      </c>
      <c r="AR69" s="79">
        <v>411</v>
      </c>
      <c r="AS69" s="79">
        <v>412</v>
      </c>
      <c r="AT69" s="79">
        <v>413</v>
      </c>
      <c r="AU69" s="79">
        <v>499</v>
      </c>
      <c r="AV69" s="79">
        <v>501</v>
      </c>
      <c r="AW69" s="79">
        <v>502</v>
      </c>
      <c r="AX69" s="79">
        <v>599</v>
      </c>
      <c r="AY69" s="79">
        <v>604</v>
      </c>
      <c r="AZ69" s="79">
        <v>605</v>
      </c>
      <c r="BA69" s="79">
        <v>699</v>
      </c>
      <c r="BB69" s="79">
        <v>701</v>
      </c>
      <c r="BC69" s="79">
        <v>702</v>
      </c>
      <c r="BD69" s="79">
        <v>703</v>
      </c>
      <c r="BE69" s="79">
        <v>704</v>
      </c>
      <c r="BF69" s="79">
        <v>799</v>
      </c>
      <c r="BG69" s="84">
        <v>999</v>
      </c>
    </row>
    <row r="70" spans="1:59" ht="62.25" customHeight="1">
      <c r="A70" s="10" t="s">
        <v>18</v>
      </c>
      <c r="B70" s="10" t="s">
        <v>19</v>
      </c>
      <c r="C70" s="13" t="s">
        <v>20</v>
      </c>
      <c r="D70" s="12" t="s">
        <v>21</v>
      </c>
      <c r="E70" s="13" t="s">
        <v>22</v>
      </c>
      <c r="F70" s="13" t="s">
        <v>23</v>
      </c>
      <c r="G70" s="13" t="s">
        <v>25</v>
      </c>
      <c r="H70" s="13" t="s">
        <v>24</v>
      </c>
      <c r="I70" s="14" t="s">
        <v>26</v>
      </c>
      <c r="J70" s="14" t="s">
        <v>27</v>
      </c>
      <c r="K70" s="15" t="s">
        <v>28</v>
      </c>
      <c r="L70" s="15" t="s">
        <v>29</v>
      </c>
      <c r="M70" s="15" t="s">
        <v>30</v>
      </c>
      <c r="N70" s="15" t="s">
        <v>32</v>
      </c>
      <c r="O70" s="15" t="s">
        <v>31</v>
      </c>
      <c r="P70" s="26" t="s">
        <v>33</v>
      </c>
      <c r="Q70" s="15" t="s">
        <v>43</v>
      </c>
      <c r="R70" s="15" t="s">
        <v>45</v>
      </c>
      <c r="S70" s="83"/>
      <c r="T70" s="83"/>
      <c r="U70" s="80"/>
      <c r="V70" s="80"/>
      <c r="W70" s="80"/>
      <c r="X70" s="80"/>
      <c r="Y70" s="80"/>
      <c r="Z70" s="80"/>
      <c r="AA70" s="80"/>
      <c r="AB70" s="80"/>
      <c r="AC70" s="80"/>
      <c r="AD70" s="80"/>
      <c r="AE70" s="80"/>
      <c r="AF70" s="80"/>
      <c r="AG70" s="80"/>
      <c r="AH70" s="79"/>
      <c r="AI70" s="79"/>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84"/>
    </row>
    <row r="71" spans="1:59" s="17" customFormat="1" ht="15.75" hidden="1" customHeight="1">
      <c r="A71" s="108"/>
      <c r="B71" s="87"/>
      <c r="C71" s="89"/>
      <c r="D71" s="91"/>
      <c r="E71" s="89"/>
      <c r="F71" s="89"/>
      <c r="G71" s="93"/>
      <c r="H71" s="89"/>
      <c r="I71" s="89"/>
      <c r="J71" s="89"/>
      <c r="K71" s="20"/>
      <c r="L71" s="20"/>
      <c r="M71" s="20"/>
      <c r="N71" s="146" t="e">
        <f>O72/L72</f>
        <v>#DIV/0!</v>
      </c>
      <c r="O71" s="21">
        <f t="shared" ref="O71:O76" si="6">L71-M71</f>
        <v>0</v>
      </c>
      <c r="P71" s="27"/>
      <c r="Q71" s="99">
        <f>+L72-P72</f>
        <v>0</v>
      </c>
      <c r="R71" s="108"/>
      <c r="S71" s="149"/>
      <c r="T71" s="149"/>
      <c r="U71" s="149"/>
      <c r="V71" s="149"/>
      <c r="W71" s="149"/>
      <c r="X71" s="149"/>
      <c r="Y71" s="149"/>
      <c r="Z71" s="149"/>
      <c r="AA71" s="149"/>
      <c r="AB71" s="149"/>
      <c r="AC71" s="149"/>
      <c r="AD71" s="149"/>
      <c r="AE71" s="149"/>
      <c r="AF71" s="149"/>
      <c r="AG71" s="149"/>
      <c r="AH71" s="149"/>
      <c r="AI71" s="149"/>
      <c r="AJ71" s="149"/>
      <c r="AK71" s="149"/>
      <c r="AL71" s="149"/>
      <c r="AM71" s="163"/>
      <c r="AN71" s="163"/>
      <c r="AO71" s="163"/>
      <c r="AP71" s="163"/>
      <c r="AQ71" s="163"/>
      <c r="AR71" s="163"/>
      <c r="AS71" s="163"/>
      <c r="AT71" s="163"/>
      <c r="AU71" s="163"/>
      <c r="AV71" s="163"/>
      <c r="AW71" s="163"/>
      <c r="AX71" s="163"/>
      <c r="AY71" s="167"/>
      <c r="AZ71" s="167"/>
      <c r="BA71" s="167"/>
      <c r="BB71" s="167"/>
      <c r="BC71" s="167"/>
      <c r="BD71" s="161"/>
      <c r="BE71" s="163"/>
      <c r="BF71" s="165"/>
      <c r="BG71" s="165"/>
    </row>
    <row r="72" spans="1:59" s="17" customFormat="1" ht="15.75" hidden="1" customHeight="1">
      <c r="A72" s="85"/>
      <c r="B72" s="88"/>
      <c r="C72" s="90"/>
      <c r="D72" s="92"/>
      <c r="E72" s="90"/>
      <c r="F72" s="90"/>
      <c r="G72" s="94"/>
      <c r="H72" s="90"/>
      <c r="I72" s="90"/>
      <c r="J72" s="90"/>
      <c r="K72" s="22"/>
      <c r="L72" s="18"/>
      <c r="M72" s="18"/>
      <c r="N72" s="147"/>
      <c r="O72" s="19">
        <f t="shared" si="6"/>
        <v>0</v>
      </c>
      <c r="P72" s="22"/>
      <c r="Q72" s="100"/>
      <c r="R72" s="85"/>
      <c r="S72" s="150"/>
      <c r="T72" s="150"/>
      <c r="U72" s="150"/>
      <c r="V72" s="150"/>
      <c r="W72" s="150"/>
      <c r="X72" s="150"/>
      <c r="Y72" s="150"/>
      <c r="Z72" s="150"/>
      <c r="AA72" s="150"/>
      <c r="AB72" s="150"/>
      <c r="AC72" s="150"/>
      <c r="AD72" s="150"/>
      <c r="AE72" s="150"/>
      <c r="AF72" s="150"/>
      <c r="AG72" s="150"/>
      <c r="AH72" s="150"/>
      <c r="AI72" s="150"/>
      <c r="AJ72" s="150"/>
      <c r="AK72" s="150"/>
      <c r="AL72" s="150"/>
      <c r="AM72" s="164"/>
      <c r="AN72" s="164"/>
      <c r="AO72" s="164"/>
      <c r="AP72" s="164"/>
      <c r="AQ72" s="164"/>
      <c r="AR72" s="164"/>
      <c r="AS72" s="164"/>
      <c r="AT72" s="164"/>
      <c r="AU72" s="164"/>
      <c r="AV72" s="164"/>
      <c r="AW72" s="164"/>
      <c r="AX72" s="164"/>
      <c r="AY72" s="168"/>
      <c r="AZ72" s="168"/>
      <c r="BA72" s="168"/>
      <c r="BB72" s="168"/>
      <c r="BC72" s="168"/>
      <c r="BD72" s="162"/>
      <c r="BE72" s="164"/>
      <c r="BF72" s="166"/>
      <c r="BG72" s="166"/>
    </row>
    <row r="73" spans="1:59" s="17" customFormat="1" ht="18" customHeight="1">
      <c r="A73" s="108">
        <v>45268</v>
      </c>
      <c r="B73" s="138" t="s">
        <v>37</v>
      </c>
      <c r="C73" s="90" t="s">
        <v>56</v>
      </c>
      <c r="D73" s="91" t="s">
        <v>38</v>
      </c>
      <c r="E73" s="89">
        <v>84217</v>
      </c>
      <c r="F73" s="89" t="s">
        <v>49</v>
      </c>
      <c r="G73" s="137" t="s">
        <v>61</v>
      </c>
      <c r="H73" s="95" t="s">
        <v>39</v>
      </c>
      <c r="I73" s="90">
        <v>4497</v>
      </c>
      <c r="J73" s="90">
        <v>4097</v>
      </c>
      <c r="K73" s="20">
        <f>200+209</f>
        <v>409</v>
      </c>
      <c r="L73" s="20">
        <f>245+185</f>
        <v>430</v>
      </c>
      <c r="M73" s="20">
        <f>75+74</f>
        <v>149</v>
      </c>
      <c r="N73" s="97">
        <f>O74/L74</f>
        <v>0.61577825159914712</v>
      </c>
      <c r="O73" s="21">
        <f t="shared" si="6"/>
        <v>281</v>
      </c>
      <c r="P73" s="27">
        <f>190+144</f>
        <v>334</v>
      </c>
      <c r="Q73" s="99">
        <f>+L74-P74</f>
        <v>321</v>
      </c>
      <c r="R73" s="85"/>
      <c r="S73" s="96">
        <v>52</v>
      </c>
      <c r="T73" s="96"/>
      <c r="U73" s="96">
        <v>40</v>
      </c>
      <c r="V73" s="96"/>
      <c r="W73" s="96"/>
      <c r="X73" s="96"/>
      <c r="Y73" s="96"/>
      <c r="Z73" s="96"/>
      <c r="AA73" s="96"/>
      <c r="AB73" s="96"/>
      <c r="AC73" s="96">
        <f>29+21</f>
        <v>50</v>
      </c>
      <c r="AD73" s="96">
        <v>20</v>
      </c>
      <c r="AE73" s="96">
        <v>12</v>
      </c>
      <c r="AF73" s="96">
        <f>20+17</f>
        <v>37</v>
      </c>
      <c r="AG73" s="96"/>
      <c r="AH73" s="96">
        <v>44</v>
      </c>
      <c r="AI73" s="96"/>
      <c r="AJ73" s="96"/>
      <c r="AK73" s="96"/>
      <c r="AL73" s="96">
        <v>26</v>
      </c>
      <c r="AM73" s="103"/>
      <c r="AN73" s="103"/>
      <c r="AO73" s="103"/>
      <c r="AP73" s="103"/>
      <c r="AQ73" s="103"/>
      <c r="AR73" s="103"/>
      <c r="AS73" s="103"/>
      <c r="AT73" s="103"/>
      <c r="AU73" s="103"/>
      <c r="AV73" s="103"/>
      <c r="AW73" s="103"/>
      <c r="AX73" s="103"/>
      <c r="AY73" s="106"/>
      <c r="AZ73" s="106"/>
      <c r="BA73" s="106"/>
      <c r="BB73" s="106"/>
      <c r="BC73" s="106"/>
      <c r="BD73" s="106"/>
      <c r="BE73" s="103"/>
      <c r="BF73" s="104"/>
      <c r="BG73" s="104"/>
    </row>
    <row r="74" spans="1:59" s="17" customFormat="1" ht="17.25" customHeight="1">
      <c r="A74" s="85"/>
      <c r="B74" s="139"/>
      <c r="C74" s="95"/>
      <c r="D74" s="92"/>
      <c r="E74" s="90"/>
      <c r="F74" s="90"/>
      <c r="G74" s="95"/>
      <c r="H74" s="95"/>
      <c r="I74" s="95"/>
      <c r="J74" s="95"/>
      <c r="K74" s="18">
        <f>260+160+50+100+100+240+349+166+150+60+120+30+30+230+80+125+115+200+209</f>
        <v>2774</v>
      </c>
      <c r="L74" s="18">
        <f>260+160+50+100+140+100+240+150+60+370+60+150+75+245+185</f>
        <v>2345</v>
      </c>
      <c r="M74" s="18">
        <f>120+55+27+40+30+60+87+45+34+74+40+100+40+75+74</f>
        <v>901</v>
      </c>
      <c r="N74" s="98"/>
      <c r="O74" s="19">
        <f t="shared" si="6"/>
        <v>1444</v>
      </c>
      <c r="P74" s="22">
        <f>170+70+15+112+30+30+83+50+100+127+218+53+42+60+34+200+66+100+130+190+144</f>
        <v>2024</v>
      </c>
      <c r="Q74" s="100"/>
      <c r="R74" s="86"/>
      <c r="S74" s="96"/>
      <c r="T74" s="96"/>
      <c r="U74" s="96"/>
      <c r="V74" s="96"/>
      <c r="W74" s="96"/>
      <c r="X74" s="96"/>
      <c r="Y74" s="96"/>
      <c r="Z74" s="96"/>
      <c r="AA74" s="96"/>
      <c r="AB74" s="96"/>
      <c r="AC74" s="96"/>
      <c r="AD74" s="96"/>
      <c r="AE74" s="96"/>
      <c r="AF74" s="96"/>
      <c r="AG74" s="96"/>
      <c r="AH74" s="96"/>
      <c r="AI74" s="96"/>
      <c r="AJ74" s="96"/>
      <c r="AK74" s="96"/>
      <c r="AL74" s="96"/>
      <c r="AM74" s="103"/>
      <c r="AN74" s="103"/>
      <c r="AO74" s="103"/>
      <c r="AP74" s="103"/>
      <c r="AQ74" s="103"/>
      <c r="AR74" s="103"/>
      <c r="AS74" s="103"/>
      <c r="AT74" s="103"/>
      <c r="AU74" s="103"/>
      <c r="AV74" s="103"/>
      <c r="AW74" s="103"/>
      <c r="AX74" s="103"/>
      <c r="AY74" s="107"/>
      <c r="AZ74" s="107"/>
      <c r="BA74" s="107"/>
      <c r="BB74" s="107"/>
      <c r="BC74" s="107"/>
      <c r="BD74" s="107"/>
      <c r="BE74" s="103"/>
      <c r="BF74" s="105"/>
      <c r="BG74" s="105"/>
    </row>
    <row r="75" spans="1:59" s="17" customFormat="1" ht="18" hidden="1" customHeight="1">
      <c r="A75" s="101">
        <v>45217</v>
      </c>
      <c r="B75" s="132" t="s">
        <v>37</v>
      </c>
      <c r="C75" s="117"/>
      <c r="D75" s="118" t="s">
        <v>38</v>
      </c>
      <c r="E75" s="116">
        <v>84217</v>
      </c>
      <c r="F75" s="116" t="s">
        <v>49</v>
      </c>
      <c r="G75" s="141"/>
      <c r="H75" s="95"/>
      <c r="I75" s="90"/>
      <c r="J75" s="90"/>
      <c r="K75" s="20"/>
      <c r="L75" s="20"/>
      <c r="M75" s="20"/>
      <c r="N75" s="143" t="e">
        <f>O76/L76</f>
        <v>#DIV/0!</v>
      </c>
      <c r="O75" s="21">
        <f t="shared" si="6"/>
        <v>0</v>
      </c>
      <c r="P75" s="27"/>
      <c r="Q75" s="99">
        <f>+L76-P76</f>
        <v>0</v>
      </c>
      <c r="R75" s="101">
        <v>45023</v>
      </c>
      <c r="S75" s="96"/>
      <c r="T75" s="96"/>
      <c r="U75" s="96"/>
      <c r="V75" s="96"/>
      <c r="W75" s="96"/>
      <c r="X75" s="96"/>
      <c r="Y75" s="96"/>
      <c r="Z75" s="96"/>
      <c r="AA75" s="96"/>
      <c r="AB75" s="96"/>
      <c r="AC75" s="140"/>
      <c r="AD75" s="96"/>
      <c r="AE75" s="96"/>
      <c r="AF75" s="96"/>
      <c r="AG75" s="96"/>
      <c r="AH75" s="96"/>
      <c r="AI75" s="96"/>
      <c r="AJ75" s="96"/>
      <c r="AK75" s="96"/>
      <c r="AL75" s="96"/>
      <c r="AM75" s="96"/>
      <c r="AN75" s="96"/>
      <c r="AO75" s="96"/>
      <c r="AP75" s="96"/>
      <c r="AQ75" s="96"/>
      <c r="AR75" s="96"/>
      <c r="AS75" s="96"/>
      <c r="AT75" s="96"/>
      <c r="AU75" s="96"/>
      <c r="AV75" s="96"/>
      <c r="AW75" s="96"/>
      <c r="AX75" s="96"/>
      <c r="AY75" s="124"/>
      <c r="AZ75" s="123"/>
      <c r="BA75" s="123"/>
      <c r="BB75" s="123"/>
      <c r="BC75" s="123"/>
      <c r="BD75" s="123"/>
      <c r="BE75" s="123"/>
      <c r="BF75" s="123"/>
      <c r="BG75" s="123"/>
    </row>
    <row r="76" spans="1:59" s="17" customFormat="1" ht="17.25" hidden="1" customHeight="1">
      <c r="A76" s="102"/>
      <c r="B76" s="145"/>
      <c r="C76" s="142"/>
      <c r="D76" s="119"/>
      <c r="E76" s="117"/>
      <c r="F76" s="117"/>
      <c r="G76" s="142"/>
      <c r="H76" s="95"/>
      <c r="I76" s="95"/>
      <c r="J76" s="95"/>
      <c r="K76" s="3"/>
      <c r="L76" s="3"/>
      <c r="M76" s="3"/>
      <c r="N76" s="144"/>
      <c r="O76" s="7">
        <f t="shared" si="6"/>
        <v>0</v>
      </c>
      <c r="P76" s="28"/>
      <c r="Q76" s="100"/>
      <c r="R76" s="102"/>
      <c r="S76" s="96"/>
      <c r="T76" s="96"/>
      <c r="U76" s="96"/>
      <c r="V76" s="96"/>
      <c r="W76" s="96"/>
      <c r="X76" s="96"/>
      <c r="Y76" s="96"/>
      <c r="Z76" s="96"/>
      <c r="AA76" s="96"/>
      <c r="AB76" s="96"/>
      <c r="AC76" s="140"/>
      <c r="AD76" s="96"/>
      <c r="AE76" s="96"/>
      <c r="AF76" s="96"/>
      <c r="AG76" s="96"/>
      <c r="AH76" s="96"/>
      <c r="AI76" s="96"/>
      <c r="AJ76" s="96"/>
      <c r="AK76" s="96"/>
      <c r="AL76" s="96"/>
      <c r="AM76" s="96"/>
      <c r="AN76" s="96"/>
      <c r="AO76" s="96"/>
      <c r="AP76" s="96"/>
      <c r="AQ76" s="96"/>
      <c r="AR76" s="96"/>
      <c r="AS76" s="96"/>
      <c r="AT76" s="96"/>
      <c r="AU76" s="96"/>
      <c r="AV76" s="96"/>
      <c r="AW76" s="96"/>
      <c r="AX76" s="96"/>
      <c r="AY76" s="124"/>
      <c r="AZ76" s="124"/>
      <c r="BA76" s="124"/>
      <c r="BB76" s="124"/>
      <c r="BC76" s="124"/>
      <c r="BD76" s="124"/>
      <c r="BE76" s="124"/>
      <c r="BF76" s="124"/>
      <c r="BG76" s="124"/>
    </row>
    <row r="77" spans="1:59" ht="24.75" customHeight="1">
      <c r="A77" s="111" t="s">
        <v>15</v>
      </c>
      <c r="B77" s="112"/>
      <c r="C77" s="112"/>
      <c r="D77" s="112"/>
      <c r="E77" s="112"/>
      <c r="F77" s="112"/>
      <c r="G77" s="112"/>
      <c r="H77" s="112"/>
      <c r="I77" s="113"/>
      <c r="J77" s="5">
        <f>SUM(J71:J76)</f>
        <v>4097</v>
      </c>
      <c r="K77" s="5">
        <f>+K71++K73</f>
        <v>409</v>
      </c>
      <c r="L77" s="5">
        <f>+SUMPRODUCT(((MOD(ROW(L71:L76),2)=1)*(L71:L76)))</f>
        <v>430</v>
      </c>
      <c r="M77" s="5">
        <f>+SUMPRODUCT(((MOD(ROW(M71:M76),2)=1)*(M71:M76)))</f>
        <v>149</v>
      </c>
      <c r="N77" s="23">
        <f>O77/L77</f>
        <v>0.65348837209302324</v>
      </c>
      <c r="O77" s="5">
        <f>+SUMPRODUCT(((MOD(ROW(O71:O76),2)=1)*(O71:O76)))</f>
        <v>281</v>
      </c>
      <c r="P77" s="5">
        <f>+SUMPRODUCT(((MOD(ROW(P71:P76),2)=1)*(P71:P76)))</f>
        <v>334</v>
      </c>
      <c r="Q77" s="5">
        <f>+SUMPRODUCT(((MOD(ROW(Q71:Q76),2)=1)*(Q71:Q76)))</f>
        <v>321</v>
      </c>
      <c r="R77" s="5"/>
      <c r="S77" s="5">
        <f t="shared" ref="S77:BG77" si="7">SUM(S71:S76)</f>
        <v>52</v>
      </c>
      <c r="T77" s="5">
        <f t="shared" si="7"/>
        <v>0</v>
      </c>
      <c r="U77" s="5">
        <f t="shared" si="7"/>
        <v>40</v>
      </c>
      <c r="V77" s="5">
        <f t="shared" si="7"/>
        <v>0</v>
      </c>
      <c r="W77" s="5">
        <f t="shared" si="7"/>
        <v>0</v>
      </c>
      <c r="X77" s="5">
        <f t="shared" si="7"/>
        <v>0</v>
      </c>
      <c r="Y77" s="5">
        <f t="shared" si="7"/>
        <v>0</v>
      </c>
      <c r="Z77" s="5">
        <f t="shared" si="7"/>
        <v>0</v>
      </c>
      <c r="AA77" s="5">
        <f t="shared" si="7"/>
        <v>0</v>
      </c>
      <c r="AB77" s="5">
        <f t="shared" si="7"/>
        <v>0</v>
      </c>
      <c r="AC77" s="5">
        <f t="shared" si="7"/>
        <v>50</v>
      </c>
      <c r="AD77" s="5">
        <f t="shared" si="7"/>
        <v>20</v>
      </c>
      <c r="AE77" s="5">
        <f t="shared" si="7"/>
        <v>12</v>
      </c>
      <c r="AF77" s="5">
        <f t="shared" si="7"/>
        <v>37</v>
      </c>
      <c r="AG77" s="5">
        <f t="shared" si="7"/>
        <v>0</v>
      </c>
      <c r="AH77" s="5">
        <f t="shared" si="7"/>
        <v>44</v>
      </c>
      <c r="AI77" s="5">
        <f t="shared" si="7"/>
        <v>0</v>
      </c>
      <c r="AJ77" s="5">
        <f t="shared" si="7"/>
        <v>0</v>
      </c>
      <c r="AK77" s="5">
        <f t="shared" si="7"/>
        <v>0</v>
      </c>
      <c r="AL77" s="5">
        <f t="shared" si="7"/>
        <v>26</v>
      </c>
      <c r="AM77" s="5">
        <f t="shared" si="7"/>
        <v>0</v>
      </c>
      <c r="AN77" s="5">
        <f t="shared" si="7"/>
        <v>0</v>
      </c>
      <c r="AO77" s="5">
        <f t="shared" si="7"/>
        <v>0</v>
      </c>
      <c r="AP77" s="5">
        <f t="shared" si="7"/>
        <v>0</v>
      </c>
      <c r="AQ77" s="5">
        <f t="shared" si="7"/>
        <v>0</v>
      </c>
      <c r="AR77" s="5">
        <f t="shared" si="7"/>
        <v>0</v>
      </c>
      <c r="AS77" s="5">
        <f t="shared" si="7"/>
        <v>0</v>
      </c>
      <c r="AT77" s="5">
        <f t="shared" si="7"/>
        <v>0</v>
      </c>
      <c r="AU77" s="5">
        <f t="shared" si="7"/>
        <v>0</v>
      </c>
      <c r="AV77" s="5">
        <f t="shared" si="7"/>
        <v>0</v>
      </c>
      <c r="AW77" s="5">
        <f t="shared" si="7"/>
        <v>0</v>
      </c>
      <c r="AX77" s="5">
        <f t="shared" si="7"/>
        <v>0</v>
      </c>
      <c r="AY77" s="5">
        <f t="shared" si="7"/>
        <v>0</v>
      </c>
      <c r="AZ77" s="5">
        <f t="shared" si="7"/>
        <v>0</v>
      </c>
      <c r="BA77" s="5">
        <f t="shared" si="7"/>
        <v>0</v>
      </c>
      <c r="BB77" s="5">
        <f t="shared" si="7"/>
        <v>0</v>
      </c>
      <c r="BC77" s="5">
        <f t="shared" si="7"/>
        <v>0</v>
      </c>
      <c r="BD77" s="5">
        <f t="shared" si="7"/>
        <v>0</v>
      </c>
      <c r="BE77" s="5">
        <f t="shared" si="7"/>
        <v>0</v>
      </c>
      <c r="BF77" s="5">
        <f t="shared" si="7"/>
        <v>0</v>
      </c>
      <c r="BG77" s="5">
        <f t="shared" si="7"/>
        <v>0</v>
      </c>
    </row>
    <row r="78" spans="1:59" s="17" customFormat="1" ht="15.75" hidden="1" customHeight="1">
      <c r="A78" s="101"/>
      <c r="B78" s="114"/>
      <c r="C78" s="116"/>
      <c r="D78" s="118"/>
      <c r="E78" s="116"/>
      <c r="F78" s="116"/>
      <c r="G78" s="120"/>
      <c r="H78" s="151"/>
      <c r="I78" s="89"/>
      <c r="J78" s="89"/>
      <c r="K78" s="20"/>
      <c r="L78" s="20"/>
      <c r="M78" s="20"/>
      <c r="N78" s="146"/>
      <c r="O78" s="21"/>
      <c r="P78" s="27"/>
      <c r="Q78" s="99"/>
      <c r="R78" s="148"/>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52"/>
      <c r="AZ78" s="152"/>
      <c r="BA78" s="152"/>
      <c r="BB78" s="152"/>
      <c r="BC78" s="152"/>
      <c r="BD78" s="152"/>
      <c r="BE78" s="149"/>
      <c r="BF78" s="152"/>
      <c r="BG78" s="152"/>
    </row>
    <row r="79" spans="1:59" s="17" customFormat="1" ht="15.75" hidden="1" customHeight="1">
      <c r="A79" s="102"/>
      <c r="B79" s="115"/>
      <c r="C79" s="117"/>
      <c r="D79" s="119"/>
      <c r="E79" s="117"/>
      <c r="F79" s="117"/>
      <c r="G79" s="121"/>
      <c r="H79" s="90"/>
      <c r="I79" s="90"/>
      <c r="J79" s="90"/>
      <c r="K79" s="22"/>
      <c r="L79" s="18"/>
      <c r="M79" s="18"/>
      <c r="N79" s="147"/>
      <c r="O79" s="19"/>
      <c r="P79" s="22"/>
      <c r="Q79" s="100"/>
      <c r="R79" s="101"/>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3"/>
      <c r="AZ79" s="153"/>
      <c r="BA79" s="153"/>
      <c r="BB79" s="153"/>
      <c r="BC79" s="153"/>
      <c r="BD79" s="153"/>
      <c r="BE79" s="150"/>
      <c r="BF79" s="153"/>
      <c r="BG79" s="153"/>
    </row>
    <row r="80" spans="1:59" s="17" customFormat="1" ht="15.75" hidden="1" customHeight="1">
      <c r="A80" s="101"/>
      <c r="B80" s="114"/>
      <c r="C80" s="116"/>
      <c r="D80" s="118"/>
      <c r="E80" s="116"/>
      <c r="F80" s="116"/>
      <c r="G80" s="120"/>
      <c r="H80" s="151"/>
      <c r="I80" s="89"/>
      <c r="J80" s="89"/>
      <c r="K80" s="20"/>
      <c r="L80" s="20"/>
      <c r="M80" s="20"/>
      <c r="N80" s="146"/>
      <c r="O80" s="21"/>
      <c r="P80" s="27"/>
      <c r="Q80" s="99"/>
      <c r="R80" s="148"/>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52"/>
      <c r="AZ80" s="152"/>
      <c r="BA80" s="152"/>
      <c r="BB80" s="152"/>
      <c r="BC80" s="152"/>
      <c r="BD80" s="152"/>
      <c r="BE80" s="149"/>
      <c r="BF80" s="152"/>
      <c r="BG80" s="152"/>
    </row>
    <row r="81" spans="1:61" s="17" customFormat="1" ht="15.75" hidden="1" customHeight="1">
      <c r="A81" s="102"/>
      <c r="B81" s="115"/>
      <c r="C81" s="117"/>
      <c r="D81" s="119"/>
      <c r="E81" s="117"/>
      <c r="F81" s="117"/>
      <c r="G81" s="121"/>
      <c r="H81" s="90"/>
      <c r="I81" s="90"/>
      <c r="J81" s="90"/>
      <c r="K81" s="22"/>
      <c r="L81" s="18"/>
      <c r="M81" s="18"/>
      <c r="N81" s="147"/>
      <c r="O81" s="19"/>
      <c r="P81" s="22"/>
      <c r="Q81" s="100"/>
      <c r="R81" s="101"/>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3"/>
      <c r="AZ81" s="153"/>
      <c r="BA81" s="153"/>
      <c r="BB81" s="153"/>
      <c r="BC81" s="153"/>
      <c r="BD81" s="153"/>
      <c r="BE81" s="150"/>
      <c r="BF81" s="153"/>
      <c r="BG81" s="153"/>
    </row>
    <row r="82" spans="1:61" s="17" customFormat="1" ht="15.75" hidden="1" customHeight="1">
      <c r="A82" s="101"/>
      <c r="B82" s="114"/>
      <c r="C82" s="116"/>
      <c r="D82" s="118"/>
      <c r="E82" s="116"/>
      <c r="F82" s="116"/>
      <c r="G82" s="120"/>
      <c r="H82" s="109"/>
      <c r="I82" s="90"/>
      <c r="J82" s="90"/>
      <c r="K82" s="20"/>
      <c r="L82" s="20"/>
      <c r="M82" s="20"/>
      <c r="N82" s="97"/>
      <c r="O82" s="21"/>
      <c r="P82" s="27"/>
      <c r="Q82" s="99"/>
      <c r="R82" s="154"/>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5"/>
      <c r="AZ82" s="155"/>
      <c r="BA82" s="155"/>
      <c r="BB82" s="155"/>
      <c r="BC82" s="155"/>
      <c r="BD82" s="155"/>
      <c r="BE82" s="96"/>
      <c r="BF82" s="155"/>
      <c r="BG82" s="155"/>
    </row>
    <row r="83" spans="1:61" s="17" customFormat="1" ht="15.75" hidden="1" customHeight="1">
      <c r="A83" s="102"/>
      <c r="B83" s="115"/>
      <c r="C83" s="117"/>
      <c r="D83" s="119"/>
      <c r="E83" s="117"/>
      <c r="F83" s="117"/>
      <c r="G83" s="121"/>
      <c r="H83" s="95"/>
      <c r="I83" s="95"/>
      <c r="J83" s="95"/>
      <c r="K83" s="22"/>
      <c r="L83" s="18"/>
      <c r="M83" s="18"/>
      <c r="N83" s="98"/>
      <c r="O83" s="19"/>
      <c r="P83" s="22"/>
      <c r="Q83" s="100"/>
      <c r="R83" s="101"/>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6"/>
      <c r="AZ83" s="156"/>
      <c r="BA83" s="156"/>
      <c r="BB83" s="156"/>
      <c r="BC83" s="156"/>
      <c r="BD83" s="156"/>
      <c r="BE83" s="96"/>
      <c r="BF83" s="156"/>
      <c r="BG83" s="156"/>
    </row>
    <row r="84" spans="1:61" s="17" customFormat="1" ht="15.75" hidden="1" customHeight="1">
      <c r="A84" s="101"/>
      <c r="B84" s="114"/>
      <c r="C84" s="116"/>
      <c r="D84" s="118"/>
      <c r="E84" s="116"/>
      <c r="F84" s="116"/>
      <c r="G84" s="120"/>
      <c r="H84" s="109"/>
      <c r="I84" s="90"/>
      <c r="J84" s="90"/>
      <c r="K84" s="20"/>
      <c r="L84" s="20"/>
      <c r="M84" s="20"/>
      <c r="N84" s="97"/>
      <c r="O84" s="21"/>
      <c r="P84" s="27"/>
      <c r="Q84" s="99"/>
      <c r="R84" s="148"/>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1"/>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s="17" customFormat="1" ht="15.75" hidden="1" customHeight="1">
      <c r="A86" s="101">
        <v>45084</v>
      </c>
      <c r="B86" s="114" t="s">
        <v>37</v>
      </c>
      <c r="C86" s="116"/>
      <c r="D86" s="118"/>
      <c r="E86" s="116"/>
      <c r="F86" s="116"/>
      <c r="G86" s="120"/>
      <c r="H86" s="109"/>
      <c r="I86" s="90"/>
      <c r="J86" s="90"/>
      <c r="K86" s="20"/>
      <c r="L86" s="20"/>
      <c r="M86" s="20"/>
      <c r="N86" s="97" t="e">
        <f>O87/L87</f>
        <v>#DIV/0!</v>
      </c>
      <c r="O86" s="21"/>
      <c r="P86" s="27"/>
      <c r="Q86" s="99">
        <f>+L87-P87</f>
        <v>0</v>
      </c>
      <c r="R86" s="101"/>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2"/>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ht="24.75" hidden="1" customHeight="1">
      <c r="A88" s="111" t="s">
        <v>40</v>
      </c>
      <c r="B88" s="112"/>
      <c r="C88" s="112"/>
      <c r="D88" s="112"/>
      <c r="E88" s="112"/>
      <c r="F88" s="112"/>
      <c r="G88" s="112"/>
      <c r="H88" s="112"/>
      <c r="I88" s="113"/>
      <c r="J88" s="5">
        <f>SUM(J78:J87)</f>
        <v>0</v>
      </c>
      <c r="K88" s="5">
        <f>+SUMPRODUCT(((MOD(ROW(K78:K85),2)=0)*(K78:K85)))</f>
        <v>0</v>
      </c>
      <c r="L88" s="5">
        <f>+SUMPRODUCT(((MOD(ROW(L78:L85),2)=0)*(L78:L85)))</f>
        <v>0</v>
      </c>
      <c r="M88" s="5">
        <f>+SUMPRODUCT(((MOD(ROW(M78:M85),2)=0)*(M78:M85)))</f>
        <v>0</v>
      </c>
      <c r="N88" s="6" t="e">
        <f>O88/L88</f>
        <v>#DIV/0!</v>
      </c>
      <c r="O88" s="5">
        <f>+SUMPRODUCT(((MOD(ROW(O78:O85),2)=0)*(O78:O85)))</f>
        <v>0</v>
      </c>
      <c r="P88" s="5">
        <f>+SUMPRODUCT(((MOD(ROW(P78:P85),2)=0)*(P78:P85)))</f>
        <v>0</v>
      </c>
      <c r="Q88" s="29">
        <f>SUM(Q78:Q87)</f>
        <v>0</v>
      </c>
      <c r="R88" s="29"/>
      <c r="S88" s="29">
        <f t="shared" ref="S88:BG88" si="8">SUM(S78:S87)</f>
        <v>0</v>
      </c>
      <c r="T88" s="29">
        <f t="shared" si="8"/>
        <v>0</v>
      </c>
      <c r="U88" s="29">
        <f t="shared" si="8"/>
        <v>0</v>
      </c>
      <c r="V88" s="29">
        <f t="shared" si="8"/>
        <v>0</v>
      </c>
      <c r="W88" s="29">
        <f t="shared" si="8"/>
        <v>0</v>
      </c>
      <c r="X88" s="29">
        <f t="shared" si="8"/>
        <v>0</v>
      </c>
      <c r="Y88" s="29">
        <f t="shared" si="8"/>
        <v>0</v>
      </c>
      <c r="Z88" s="29">
        <f t="shared" si="8"/>
        <v>0</v>
      </c>
      <c r="AA88" s="29">
        <f t="shared" si="8"/>
        <v>0</v>
      </c>
      <c r="AB88" s="29">
        <f t="shared" si="8"/>
        <v>0</v>
      </c>
      <c r="AC88" s="29">
        <f t="shared" si="8"/>
        <v>0</v>
      </c>
      <c r="AD88" s="29">
        <f t="shared" si="8"/>
        <v>0</v>
      </c>
      <c r="AE88" s="29">
        <f t="shared" si="8"/>
        <v>0</v>
      </c>
      <c r="AF88" s="29">
        <f t="shared" si="8"/>
        <v>0</v>
      </c>
      <c r="AG88" s="29">
        <f t="shared" si="8"/>
        <v>0</v>
      </c>
      <c r="AH88" s="29">
        <f t="shared" si="8"/>
        <v>0</v>
      </c>
      <c r="AI88" s="29">
        <f t="shared" si="8"/>
        <v>0</v>
      </c>
      <c r="AJ88" s="29">
        <f t="shared" si="8"/>
        <v>0</v>
      </c>
      <c r="AK88" s="29">
        <f t="shared" si="8"/>
        <v>0</v>
      </c>
      <c r="AL88" s="29">
        <f t="shared" si="8"/>
        <v>0</v>
      </c>
      <c r="AM88" s="29">
        <f t="shared" si="8"/>
        <v>0</v>
      </c>
      <c r="AN88" s="29">
        <f t="shared" si="8"/>
        <v>0</v>
      </c>
      <c r="AO88" s="29">
        <f t="shared" si="8"/>
        <v>0</v>
      </c>
      <c r="AP88" s="29">
        <f t="shared" si="8"/>
        <v>0</v>
      </c>
      <c r="AQ88" s="29">
        <f t="shared" si="8"/>
        <v>0</v>
      </c>
      <c r="AR88" s="29">
        <f t="shared" si="8"/>
        <v>0</v>
      </c>
      <c r="AS88" s="29">
        <f t="shared" si="8"/>
        <v>0</v>
      </c>
      <c r="AT88" s="29">
        <f t="shared" si="8"/>
        <v>0</v>
      </c>
      <c r="AU88" s="29">
        <f t="shared" si="8"/>
        <v>0</v>
      </c>
      <c r="AV88" s="29">
        <f t="shared" si="8"/>
        <v>0</v>
      </c>
      <c r="AW88" s="29">
        <f t="shared" si="8"/>
        <v>0</v>
      </c>
      <c r="AX88" s="29">
        <f t="shared" si="8"/>
        <v>0</v>
      </c>
      <c r="AY88" s="29">
        <f t="shared" si="8"/>
        <v>0</v>
      </c>
      <c r="AZ88" s="29">
        <f t="shared" si="8"/>
        <v>0</v>
      </c>
      <c r="BA88" s="29">
        <f t="shared" si="8"/>
        <v>0</v>
      </c>
      <c r="BB88" s="29">
        <f t="shared" si="8"/>
        <v>0</v>
      </c>
      <c r="BC88" s="29">
        <f t="shared" si="8"/>
        <v>0</v>
      </c>
      <c r="BD88" s="29">
        <f t="shared" si="8"/>
        <v>0</v>
      </c>
      <c r="BE88" s="29">
        <f t="shared" si="8"/>
        <v>0</v>
      </c>
      <c r="BF88" s="29">
        <f t="shared" si="8"/>
        <v>0</v>
      </c>
      <c r="BG88" s="29">
        <f t="shared" si="8"/>
        <v>0</v>
      </c>
      <c r="BH88" s="17"/>
      <c r="BI88" s="17"/>
    </row>
    <row r="89" spans="1:61" s="17" customFormat="1" ht="15.75" hidden="1" customHeight="1">
      <c r="A89" s="101"/>
      <c r="B89" s="114"/>
      <c r="C89" s="116"/>
      <c r="D89" s="118"/>
      <c r="E89" s="116"/>
      <c r="F89" s="116"/>
      <c r="G89" s="120"/>
      <c r="H89" s="109"/>
      <c r="I89" s="90"/>
      <c r="J89" s="90"/>
      <c r="K89" s="20"/>
      <c r="L89" s="20"/>
      <c r="M89" s="20"/>
      <c r="N89" s="97"/>
      <c r="O89" s="21"/>
      <c r="P89" s="27"/>
      <c r="Q89" s="99"/>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row>
    <row r="91" spans="1:61" s="17" customFormat="1" ht="15.75" hidden="1" customHeight="1">
      <c r="A91" s="101"/>
      <c r="B91" s="114"/>
      <c r="C91" s="116"/>
      <c r="D91" s="118"/>
      <c r="E91" s="116"/>
      <c r="F91" s="116"/>
      <c r="G91" s="120"/>
      <c r="H91" s="90"/>
      <c r="I91" s="90"/>
      <c r="J91" s="90"/>
      <c r="K91" s="20"/>
      <c r="L91" s="20"/>
      <c r="M91" s="20"/>
      <c r="N91" s="97"/>
      <c r="O91" s="21"/>
      <c r="P91" s="27"/>
      <c r="Q91" s="99"/>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v>45163</v>
      </c>
      <c r="B93" s="114" t="s">
        <v>37</v>
      </c>
      <c r="C93" s="116"/>
      <c r="D93" s="118"/>
      <c r="E93" s="116"/>
      <c r="F93" s="116"/>
      <c r="G93" s="120"/>
      <c r="H93" s="90"/>
      <c r="I93" s="90"/>
      <c r="J93" s="90"/>
      <c r="K93" s="20"/>
      <c r="L93" s="20"/>
      <c r="M93" s="20"/>
      <c r="N93" s="97" t="e">
        <f>O94/L94</f>
        <v>#DIV/0!</v>
      </c>
      <c r="O93" s="21">
        <f>L93-M93</f>
        <v>0</v>
      </c>
      <c r="P93" s="27"/>
      <c r="Q93" s="99">
        <f>+L94-P94</f>
        <v>0</v>
      </c>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f>L94-M94</f>
        <v>0</v>
      </c>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v>45163</v>
      </c>
      <c r="B95" s="114" t="s">
        <v>37</v>
      </c>
      <c r="C95" s="116"/>
      <c r="D95" s="118"/>
      <c r="E95" s="116"/>
      <c r="F95" s="116"/>
      <c r="G95" s="120"/>
      <c r="H95" s="90"/>
      <c r="I95" s="90"/>
      <c r="J95" s="90"/>
      <c r="K95" s="20"/>
      <c r="L95" s="20"/>
      <c r="M95" s="20"/>
      <c r="N95" s="97" t="e">
        <f>O96/L96</f>
        <v>#DIV/0!</v>
      </c>
      <c r="O95" s="21">
        <f>L95-M95</f>
        <v>0</v>
      </c>
      <c r="P95" s="27"/>
      <c r="Q95" s="99">
        <f>+L96-P96</f>
        <v>0</v>
      </c>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f>L96-M96</f>
        <v>0</v>
      </c>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c r="BH96" s="1"/>
      <c r="BI96" s="1"/>
    </row>
    <row r="97" spans="1:61" ht="24.75" hidden="1" customHeight="1">
      <c r="A97" s="111" t="s">
        <v>48</v>
      </c>
      <c r="B97" s="112"/>
      <c r="C97" s="112"/>
      <c r="D97" s="112"/>
      <c r="E97" s="112"/>
      <c r="F97" s="112"/>
      <c r="G97" s="112"/>
      <c r="H97" s="112"/>
      <c r="I97" s="113"/>
      <c r="J97" s="5">
        <f>SUM(J89:J96)</f>
        <v>0</v>
      </c>
      <c r="K97" s="5">
        <f>+SUMPRODUCT(((MOD(ROW(K89:K96),2)=0)*(K89:K96)))</f>
        <v>0</v>
      </c>
      <c r="L97" s="5">
        <f>+SUMPRODUCT(((MOD(ROW(L89:L96),2)=0)*(L89:L96)))</f>
        <v>0</v>
      </c>
      <c r="M97" s="5">
        <f>+SUMPRODUCT(((MOD(ROW(M89:M96),2)=0)*(M89:M96)))</f>
        <v>0</v>
      </c>
      <c r="N97" s="6" t="e">
        <f>O97/L97</f>
        <v>#DIV/0!</v>
      </c>
      <c r="O97" s="5">
        <f>+SUMPRODUCT(((MOD(ROW(O89:O96),2)=0)*(O89:O96)))</f>
        <v>0</v>
      </c>
      <c r="P97" s="5">
        <f>+SUMPRODUCT(((MOD(ROW(P89:P96),2)=0)*(P89:P96)))</f>
        <v>0</v>
      </c>
      <c r="Q97" s="29">
        <f>SUM(Q89:Q96)</f>
        <v>0</v>
      </c>
      <c r="R97" s="29"/>
      <c r="S97" s="29">
        <f t="shared" ref="S97:BG97" si="9">SUM(S89:S96)</f>
        <v>0</v>
      </c>
      <c r="T97" s="29">
        <f t="shared" si="9"/>
        <v>0</v>
      </c>
      <c r="U97" s="29">
        <f t="shared" si="9"/>
        <v>0</v>
      </c>
      <c r="V97" s="29">
        <f t="shared" si="9"/>
        <v>0</v>
      </c>
      <c r="W97" s="29">
        <f t="shared" si="9"/>
        <v>0</v>
      </c>
      <c r="X97" s="29">
        <f t="shared" si="9"/>
        <v>0</v>
      </c>
      <c r="Y97" s="29">
        <f t="shared" si="9"/>
        <v>0</v>
      </c>
      <c r="Z97" s="29">
        <f t="shared" si="9"/>
        <v>0</v>
      </c>
      <c r="AA97" s="29">
        <f t="shared" si="9"/>
        <v>0</v>
      </c>
      <c r="AB97" s="29">
        <f t="shared" si="9"/>
        <v>0</v>
      </c>
      <c r="AC97" s="29">
        <f t="shared" si="9"/>
        <v>0</v>
      </c>
      <c r="AD97" s="29">
        <f t="shared" si="9"/>
        <v>0</v>
      </c>
      <c r="AE97" s="29">
        <f t="shared" si="9"/>
        <v>0</v>
      </c>
      <c r="AF97" s="29">
        <f t="shared" si="9"/>
        <v>0</v>
      </c>
      <c r="AG97" s="29">
        <f t="shared" si="9"/>
        <v>0</v>
      </c>
      <c r="AH97" s="29">
        <f t="shared" si="9"/>
        <v>0</v>
      </c>
      <c r="AI97" s="29">
        <f t="shared" si="9"/>
        <v>0</v>
      </c>
      <c r="AJ97" s="29">
        <f t="shared" si="9"/>
        <v>0</v>
      </c>
      <c r="AK97" s="29">
        <f t="shared" si="9"/>
        <v>0</v>
      </c>
      <c r="AL97" s="29">
        <f t="shared" si="9"/>
        <v>0</v>
      </c>
      <c r="AM97" s="29">
        <f t="shared" si="9"/>
        <v>0</v>
      </c>
      <c r="AN97" s="29">
        <f t="shared" si="9"/>
        <v>0</v>
      </c>
      <c r="AO97" s="29">
        <f t="shared" si="9"/>
        <v>0</v>
      </c>
      <c r="AP97" s="29">
        <f t="shared" si="9"/>
        <v>0</v>
      </c>
      <c r="AQ97" s="29">
        <f t="shared" si="9"/>
        <v>0</v>
      </c>
      <c r="AR97" s="29">
        <f t="shared" si="9"/>
        <v>0</v>
      </c>
      <c r="AS97" s="29">
        <f t="shared" si="9"/>
        <v>0</v>
      </c>
      <c r="AT97" s="29">
        <f t="shared" si="9"/>
        <v>0</v>
      </c>
      <c r="AU97" s="29">
        <f t="shared" si="9"/>
        <v>0</v>
      </c>
      <c r="AV97" s="29">
        <f t="shared" si="9"/>
        <v>0</v>
      </c>
      <c r="AW97" s="29">
        <f t="shared" si="9"/>
        <v>0</v>
      </c>
      <c r="AX97" s="29">
        <f t="shared" si="9"/>
        <v>0</v>
      </c>
      <c r="AY97" s="29">
        <f t="shared" si="9"/>
        <v>0</v>
      </c>
      <c r="AZ97" s="29">
        <f t="shared" si="9"/>
        <v>0</v>
      </c>
      <c r="BA97" s="29">
        <f t="shared" si="9"/>
        <v>0</v>
      </c>
      <c r="BB97" s="29">
        <f t="shared" si="9"/>
        <v>0</v>
      </c>
      <c r="BC97" s="29">
        <f t="shared" si="9"/>
        <v>0</v>
      </c>
      <c r="BD97" s="29">
        <f t="shared" si="9"/>
        <v>0</v>
      </c>
      <c r="BE97" s="29">
        <f t="shared" si="9"/>
        <v>0</v>
      </c>
      <c r="BF97" s="29">
        <f t="shared" si="9"/>
        <v>0</v>
      </c>
      <c r="BG97" s="29">
        <f t="shared" si="9"/>
        <v>0</v>
      </c>
      <c r="BH97" s="17"/>
      <c r="BI97" s="17"/>
    </row>
    <row r="98" spans="1:61" s="17" customFormat="1" ht="15.75" hidden="1" customHeight="1">
      <c r="A98" s="101"/>
      <c r="B98" s="114"/>
      <c r="C98" s="116"/>
      <c r="D98" s="118"/>
      <c r="E98" s="157"/>
      <c r="F98" s="116"/>
      <c r="G98" s="120"/>
      <c r="H98" s="109"/>
      <c r="I98" s="90"/>
      <c r="J98" s="90"/>
      <c r="K98" s="20"/>
      <c r="L98" s="20"/>
      <c r="M98" s="20"/>
      <c r="N98" s="97"/>
      <c r="O98" s="21"/>
      <c r="P98" s="27"/>
      <c r="Q98" s="99"/>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row>
    <row r="100" spans="1:61" s="17" customFormat="1" ht="15.75" hidden="1" customHeight="1">
      <c r="A100" s="101">
        <v>45061</v>
      </c>
      <c r="B100" s="114" t="s">
        <v>37</v>
      </c>
      <c r="C100" s="116"/>
      <c r="D100" s="118"/>
      <c r="E100" s="157"/>
      <c r="F100" s="116"/>
      <c r="G100" s="120"/>
      <c r="H100" s="90"/>
      <c r="I100" s="90"/>
      <c r="J100" s="90"/>
      <c r="K100" s="20"/>
      <c r="L100" s="20"/>
      <c r="M100" s="20"/>
      <c r="N100" s="97" t="e">
        <f>O101/L101</f>
        <v>#DIV/0!</v>
      </c>
      <c r="O100" s="21">
        <f t="shared" ref="O100:O105" si="10">L100-M100</f>
        <v>0</v>
      </c>
      <c r="P100" s="27"/>
      <c r="Q100" s="99">
        <f>+L101-P101</f>
        <v>0</v>
      </c>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f t="shared" si="10"/>
        <v>0</v>
      </c>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44990</v>
      </c>
      <c r="B102" s="114" t="s">
        <v>37</v>
      </c>
      <c r="C102" s="116"/>
      <c r="D102" s="118"/>
      <c r="E102" s="116"/>
      <c r="F102" s="116"/>
      <c r="G102" s="120"/>
      <c r="H102" s="90"/>
      <c r="I102" s="90"/>
      <c r="J102" s="90"/>
      <c r="K102" s="20"/>
      <c r="L102" s="20"/>
      <c r="M102" s="20"/>
      <c r="N102" s="97" t="e">
        <f>O103/L103</f>
        <v>#DIV/0!</v>
      </c>
      <c r="O102" s="21">
        <f t="shared" si="10"/>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44990</v>
      </c>
      <c r="B104" s="114" t="s">
        <v>37</v>
      </c>
      <c r="C104" s="116"/>
      <c r="D104" s="118"/>
      <c r="E104" s="116"/>
      <c r="F104" s="116"/>
      <c r="G104" s="120"/>
      <c r="H104" s="90"/>
      <c r="I104" s="90"/>
      <c r="J104" s="90"/>
      <c r="K104" s="20"/>
      <c r="L104" s="20"/>
      <c r="M104" s="20"/>
      <c r="N104" s="97" t="e">
        <f>O105/L105</f>
        <v>#DIV/0!</v>
      </c>
      <c r="O104" s="21">
        <f t="shared" si="10"/>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10"/>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c r="BH105" s="1"/>
      <c r="BI105" s="1"/>
    </row>
    <row r="106" spans="1:61" ht="24.75" hidden="1" customHeight="1">
      <c r="A106" s="111" t="s">
        <v>46</v>
      </c>
      <c r="B106" s="112"/>
      <c r="C106" s="112"/>
      <c r="D106" s="112"/>
      <c r="E106" s="112"/>
      <c r="F106" s="112"/>
      <c r="G106" s="112"/>
      <c r="H106" s="112"/>
      <c r="I106" s="113"/>
      <c r="J106" s="5">
        <f>SUM(J98:J105)</f>
        <v>0</v>
      </c>
      <c r="K106" s="5">
        <f>+SUMPRODUCT(((MOD(ROW(K98:K105),2)=0)*(K98:K105)))</f>
        <v>0</v>
      </c>
      <c r="L106" s="5">
        <f>+SUMPRODUCT(((MOD(ROW(L98:L105),2)=0)*(L98:L105)))</f>
        <v>0</v>
      </c>
      <c r="M106" s="5">
        <f>+SUMPRODUCT(((MOD(ROW(M98:M105),2)=0)*(M98:M105)))</f>
        <v>0</v>
      </c>
      <c r="N106" s="6" t="e">
        <f>O106/L106</f>
        <v>#DIV/0!</v>
      </c>
      <c r="O106" s="5">
        <f>+SUMPRODUCT(((MOD(ROW(O98:O105),2)=0)*(O98:O105)))</f>
        <v>0</v>
      </c>
      <c r="P106" s="5">
        <f>+SUMPRODUCT(((MOD(ROW(P98:P105),2)=0)*(P98:P105)))</f>
        <v>0</v>
      </c>
      <c r="Q106" s="29">
        <f>SUM(Q98:Q105)</f>
        <v>0</v>
      </c>
      <c r="R106" s="29"/>
      <c r="S106" s="29">
        <f t="shared" ref="S106:BG106" si="11">SUM(S98:S105)</f>
        <v>0</v>
      </c>
      <c r="T106" s="29">
        <f t="shared" si="11"/>
        <v>0</v>
      </c>
      <c r="U106" s="29">
        <f t="shared" si="11"/>
        <v>0</v>
      </c>
      <c r="V106" s="29">
        <f t="shared" si="11"/>
        <v>0</v>
      </c>
      <c r="W106" s="29">
        <f t="shared" si="11"/>
        <v>0</v>
      </c>
      <c r="X106" s="29">
        <f t="shared" si="11"/>
        <v>0</v>
      </c>
      <c r="Y106" s="29">
        <f t="shared" si="11"/>
        <v>0</v>
      </c>
      <c r="Z106" s="29">
        <f t="shared" si="11"/>
        <v>0</v>
      </c>
      <c r="AA106" s="29">
        <f t="shared" si="11"/>
        <v>0</v>
      </c>
      <c r="AB106" s="29">
        <f t="shared" si="11"/>
        <v>0</v>
      </c>
      <c r="AC106" s="29">
        <f t="shared" si="11"/>
        <v>0</v>
      </c>
      <c r="AD106" s="29">
        <f t="shared" si="11"/>
        <v>0</v>
      </c>
      <c r="AE106" s="29">
        <f t="shared" si="11"/>
        <v>0</v>
      </c>
      <c r="AF106" s="29">
        <f t="shared" si="11"/>
        <v>0</v>
      </c>
      <c r="AG106" s="29">
        <f t="shared" si="11"/>
        <v>0</v>
      </c>
      <c r="AH106" s="29">
        <f t="shared" si="11"/>
        <v>0</v>
      </c>
      <c r="AI106" s="29">
        <f t="shared" si="11"/>
        <v>0</v>
      </c>
      <c r="AJ106" s="29">
        <f t="shared" si="11"/>
        <v>0</v>
      </c>
      <c r="AK106" s="29">
        <f t="shared" si="11"/>
        <v>0</v>
      </c>
      <c r="AL106" s="29">
        <f t="shared" si="11"/>
        <v>0</v>
      </c>
      <c r="AM106" s="29">
        <f t="shared" si="11"/>
        <v>0</v>
      </c>
      <c r="AN106" s="29">
        <f t="shared" si="11"/>
        <v>0</v>
      </c>
      <c r="AO106" s="29">
        <f t="shared" si="11"/>
        <v>0</v>
      </c>
      <c r="AP106" s="29">
        <f t="shared" si="11"/>
        <v>0</v>
      </c>
      <c r="AQ106" s="29">
        <f t="shared" si="11"/>
        <v>0</v>
      </c>
      <c r="AR106" s="29">
        <f t="shared" si="11"/>
        <v>0</v>
      </c>
      <c r="AS106" s="29">
        <f t="shared" si="11"/>
        <v>0</v>
      </c>
      <c r="AT106" s="29">
        <f t="shared" si="11"/>
        <v>0</v>
      </c>
      <c r="AU106" s="29">
        <f t="shared" si="11"/>
        <v>0</v>
      </c>
      <c r="AV106" s="29">
        <f t="shared" si="11"/>
        <v>0</v>
      </c>
      <c r="AW106" s="29">
        <f t="shared" si="11"/>
        <v>0</v>
      </c>
      <c r="AX106" s="29">
        <f t="shared" si="11"/>
        <v>0</v>
      </c>
      <c r="AY106" s="29">
        <f t="shared" si="11"/>
        <v>0</v>
      </c>
      <c r="AZ106" s="29">
        <f t="shared" si="11"/>
        <v>0</v>
      </c>
      <c r="BA106" s="29">
        <f t="shared" si="11"/>
        <v>0</v>
      </c>
      <c r="BB106" s="29">
        <f t="shared" si="11"/>
        <v>0</v>
      </c>
      <c r="BC106" s="29">
        <f t="shared" si="11"/>
        <v>0</v>
      </c>
      <c r="BD106" s="29">
        <f t="shared" si="11"/>
        <v>0</v>
      </c>
      <c r="BE106" s="29">
        <f t="shared" si="11"/>
        <v>0</v>
      </c>
      <c r="BF106" s="29">
        <f t="shared" si="11"/>
        <v>0</v>
      </c>
      <c r="BG106" s="29">
        <f t="shared" si="11"/>
        <v>0</v>
      </c>
    </row>
    <row r="107" spans="1:61" ht="24.75" customHeight="1">
      <c r="A107" s="122" t="s">
        <v>5</v>
      </c>
      <c r="B107" s="122"/>
      <c r="C107" s="122"/>
      <c r="D107" s="122"/>
      <c r="E107" s="122"/>
      <c r="F107" s="122"/>
      <c r="G107" s="122"/>
      <c r="H107" s="122"/>
      <c r="I107" s="122"/>
      <c r="J107" s="4">
        <f>J77+J88+J97+J106</f>
        <v>4097</v>
      </c>
      <c r="K107" s="4">
        <f>K77+K88+K97+K106</f>
        <v>409</v>
      </c>
      <c r="L107" s="4">
        <f>L77+L88+L97+L106</f>
        <v>430</v>
      </c>
      <c r="M107" s="4">
        <f>M77+M88+M97+M106</f>
        <v>149</v>
      </c>
      <c r="N107" s="33">
        <f>O107/L107</f>
        <v>0.65348837209302324</v>
      </c>
      <c r="O107" s="4">
        <f>O77+O88+O97+O106</f>
        <v>281</v>
      </c>
      <c r="P107" s="31">
        <f>P77+P88+P97+P106</f>
        <v>334</v>
      </c>
      <c r="Q107" s="31">
        <f>Q77+Q88+Q97+Q106</f>
        <v>321</v>
      </c>
      <c r="R107" s="4"/>
      <c r="S107" s="31">
        <f t="shared" ref="S107:BG107" si="12">S77+S88+S97+S106</f>
        <v>52</v>
      </c>
      <c r="T107" s="31">
        <f t="shared" si="12"/>
        <v>0</v>
      </c>
      <c r="U107" s="31">
        <f t="shared" si="12"/>
        <v>40</v>
      </c>
      <c r="V107" s="31">
        <f t="shared" si="12"/>
        <v>0</v>
      </c>
      <c r="W107" s="31">
        <f t="shared" si="12"/>
        <v>0</v>
      </c>
      <c r="X107" s="31">
        <f t="shared" si="12"/>
        <v>0</v>
      </c>
      <c r="Y107" s="31">
        <f t="shared" si="12"/>
        <v>0</v>
      </c>
      <c r="Z107" s="31">
        <f t="shared" si="12"/>
        <v>0</v>
      </c>
      <c r="AA107" s="31">
        <f t="shared" si="12"/>
        <v>0</v>
      </c>
      <c r="AB107" s="31">
        <f t="shared" si="12"/>
        <v>0</v>
      </c>
      <c r="AC107" s="31">
        <f t="shared" si="12"/>
        <v>50</v>
      </c>
      <c r="AD107" s="31">
        <f t="shared" si="12"/>
        <v>20</v>
      </c>
      <c r="AE107" s="31">
        <f t="shared" si="12"/>
        <v>12</v>
      </c>
      <c r="AF107" s="31">
        <f t="shared" si="12"/>
        <v>37</v>
      </c>
      <c r="AG107" s="31">
        <f t="shared" si="12"/>
        <v>0</v>
      </c>
      <c r="AH107" s="31">
        <f t="shared" si="12"/>
        <v>44</v>
      </c>
      <c r="AI107" s="31">
        <f t="shared" si="12"/>
        <v>0</v>
      </c>
      <c r="AJ107" s="31">
        <f t="shared" si="12"/>
        <v>0</v>
      </c>
      <c r="AK107" s="31">
        <f t="shared" si="12"/>
        <v>0</v>
      </c>
      <c r="AL107" s="31">
        <f t="shared" si="12"/>
        <v>26</v>
      </c>
      <c r="AM107" s="31">
        <f t="shared" si="12"/>
        <v>0</v>
      </c>
      <c r="AN107" s="31">
        <f t="shared" si="12"/>
        <v>0</v>
      </c>
      <c r="AO107" s="31">
        <f t="shared" si="12"/>
        <v>0</v>
      </c>
      <c r="AP107" s="31">
        <f t="shared" si="12"/>
        <v>0</v>
      </c>
      <c r="AQ107" s="31">
        <f t="shared" si="12"/>
        <v>0</v>
      </c>
      <c r="AR107" s="31">
        <f t="shared" si="12"/>
        <v>0</v>
      </c>
      <c r="AS107" s="31">
        <f t="shared" si="12"/>
        <v>0</v>
      </c>
      <c r="AT107" s="31">
        <f t="shared" si="12"/>
        <v>0</v>
      </c>
      <c r="AU107" s="31">
        <f t="shared" si="12"/>
        <v>0</v>
      </c>
      <c r="AV107" s="31">
        <f t="shared" si="12"/>
        <v>0</v>
      </c>
      <c r="AW107" s="31">
        <f t="shared" si="12"/>
        <v>0</v>
      </c>
      <c r="AX107" s="31">
        <f t="shared" si="12"/>
        <v>0</v>
      </c>
      <c r="AY107" s="31">
        <f t="shared" si="12"/>
        <v>0</v>
      </c>
      <c r="AZ107" s="31">
        <f t="shared" si="12"/>
        <v>0</v>
      </c>
      <c r="BA107" s="31">
        <f t="shared" si="12"/>
        <v>0</v>
      </c>
      <c r="BB107" s="31">
        <f t="shared" si="12"/>
        <v>0</v>
      </c>
      <c r="BC107" s="31">
        <f t="shared" si="12"/>
        <v>0</v>
      </c>
      <c r="BD107" s="31">
        <f t="shared" si="12"/>
        <v>0</v>
      </c>
      <c r="BE107" s="31">
        <f t="shared" si="12"/>
        <v>0</v>
      </c>
      <c r="BF107" s="31">
        <f t="shared" si="12"/>
        <v>0</v>
      </c>
      <c r="BG107" s="31">
        <f t="shared" si="12"/>
        <v>0</v>
      </c>
    </row>
    <row r="110" spans="1:61" s="25" customFormat="1" ht="35.25" customHeight="1">
      <c r="A110" s="2"/>
      <c r="B110" s="2"/>
      <c r="C110" s="2"/>
      <c r="D110" s="1"/>
      <c r="E110" s="1"/>
      <c r="F110" s="1"/>
      <c r="G110" s="1"/>
      <c r="H110" s="1"/>
      <c r="I110" s="1"/>
      <c r="J110" s="1"/>
      <c r="K110" s="35"/>
      <c r="L110" s="35"/>
      <c r="M110" s="35"/>
      <c r="N110" s="35"/>
      <c r="O110" s="35"/>
      <c r="P110" s="35"/>
      <c r="Q110" s="36"/>
      <c r="S110" s="8"/>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row>
    <row r="113" spans="1:61" s="25" customFormat="1" ht="33" customHeight="1">
      <c r="A113" s="2"/>
      <c r="B113" s="2"/>
      <c r="C113" s="2"/>
      <c r="D113" s="1"/>
      <c r="E113" s="1"/>
      <c r="F113" s="1"/>
      <c r="G113" s="1"/>
      <c r="H113" s="1"/>
      <c r="I113" s="1"/>
      <c r="J113" s="1"/>
      <c r="K113" s="1"/>
      <c r="L113" s="1"/>
      <c r="M113" s="1"/>
      <c r="N113" s="1"/>
      <c r="O113" s="1"/>
      <c r="S113" s="8"/>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row>
  </sheetData>
  <mergeCells count="2525">
    <mergeCell ref="BE104:BE105"/>
    <mergeCell ref="BF104:BF105"/>
    <mergeCell ref="BG104:BG105"/>
    <mergeCell ref="A106:I106"/>
    <mergeCell ref="A107:I107"/>
    <mergeCell ref="AY104:AY105"/>
    <mergeCell ref="AZ104:AZ105"/>
    <mergeCell ref="BA104:BA105"/>
    <mergeCell ref="BB104:BB105"/>
    <mergeCell ref="BE102:BE103"/>
    <mergeCell ref="BF102:BF103"/>
    <mergeCell ref="BG102:BG103"/>
    <mergeCell ref="A104:A105"/>
    <mergeCell ref="B104:B105"/>
    <mergeCell ref="C104:C105"/>
    <mergeCell ref="D104:D105"/>
    <mergeCell ref="E104:E105"/>
    <mergeCell ref="F104:F105"/>
    <mergeCell ref="G104:G105"/>
    <mergeCell ref="H104:H105"/>
    <mergeCell ref="I104:I105"/>
    <mergeCell ref="J104:J105"/>
    <mergeCell ref="N104:N105"/>
    <mergeCell ref="Q104:Q105"/>
    <mergeCell ref="R104:R105"/>
    <mergeCell ref="S104:S105"/>
    <mergeCell ref="T104:T105"/>
    <mergeCell ref="AB104:AB105"/>
    <mergeCell ref="U104:U105"/>
    <mergeCell ref="V104:V105"/>
    <mergeCell ref="W104:W105"/>
    <mergeCell ref="X104:X105"/>
    <mergeCell ref="Y104:Y105"/>
    <mergeCell ref="Z104:Z105"/>
    <mergeCell ref="AA104:AA105"/>
    <mergeCell ref="AT102:AT103"/>
    <mergeCell ref="AI102:AI103"/>
    <mergeCell ref="BC104:BC105"/>
    <mergeCell ref="BD104:BD105"/>
    <mergeCell ref="AS104:AS105"/>
    <mergeCell ref="AT104:AT105"/>
    <mergeCell ref="AC104:AC105"/>
    <mergeCell ref="AG104:AG105"/>
    <mergeCell ref="AH104:AH105"/>
    <mergeCell ref="AI104:AI105"/>
    <mergeCell ref="AJ104:AJ105"/>
    <mergeCell ref="AK104:AK105"/>
    <mergeCell ref="AL104:AL105"/>
    <mergeCell ref="AM104:AM105"/>
    <mergeCell ref="AN104:AN105"/>
    <mergeCell ref="AO104:AO105"/>
    <mergeCell ref="AP104:AP105"/>
    <mergeCell ref="AQ104:AQ105"/>
    <mergeCell ref="AR104:AR105"/>
    <mergeCell ref="BA102:BA103"/>
    <mergeCell ref="BB102:BB103"/>
    <mergeCell ref="BC102:BC103"/>
    <mergeCell ref="BD102:BD103"/>
    <mergeCell ref="AU104:AU105"/>
    <mergeCell ref="AV104:AV105"/>
    <mergeCell ref="AW104:AW105"/>
    <mergeCell ref="AX104:AX105"/>
    <mergeCell ref="AD104:AD105"/>
    <mergeCell ref="AE104:AE105"/>
    <mergeCell ref="AF104:AF105"/>
    <mergeCell ref="AY102:AY103"/>
    <mergeCell ref="AZ102:AZ103"/>
    <mergeCell ref="AO102:AO103"/>
    <mergeCell ref="AP102:AP103"/>
    <mergeCell ref="AQ102:AQ103"/>
    <mergeCell ref="AR102:AR103"/>
    <mergeCell ref="AS102:AS103"/>
    <mergeCell ref="Q102:Q103"/>
    <mergeCell ref="R102:R103"/>
    <mergeCell ref="S102:S103"/>
    <mergeCell ref="T102:T103"/>
    <mergeCell ref="U102:U103"/>
    <mergeCell ref="V102:V103"/>
    <mergeCell ref="W102:W103"/>
    <mergeCell ref="X102:X103"/>
    <mergeCell ref="Y102:Y103"/>
    <mergeCell ref="Z102:Z103"/>
    <mergeCell ref="AA102:AA103"/>
    <mergeCell ref="AB102:AB103"/>
    <mergeCell ref="AE102:AE103"/>
    <mergeCell ref="AF102:AF103"/>
    <mergeCell ref="AG102:AG103"/>
    <mergeCell ref="AH102:AH103"/>
    <mergeCell ref="AJ102:AJ103"/>
    <mergeCell ref="AK102:AK103"/>
    <mergeCell ref="AL102:AL103"/>
    <mergeCell ref="AM102:AM103"/>
    <mergeCell ref="AN102:AN103"/>
    <mergeCell ref="AV102:AV103"/>
    <mergeCell ref="AW102:AW103"/>
    <mergeCell ref="AX102:AX103"/>
    <mergeCell ref="AU102:AU103"/>
    <mergeCell ref="Y100:Y101"/>
    <mergeCell ref="Z100:Z101"/>
    <mergeCell ref="AA100:AA101"/>
    <mergeCell ref="AB100:AB101"/>
    <mergeCell ref="AC100:AC101"/>
    <mergeCell ref="AK100:AK101"/>
    <mergeCell ref="AL100:AL101"/>
    <mergeCell ref="AM100:AM101"/>
    <mergeCell ref="AN100:AN101"/>
    <mergeCell ref="AC102:AC103"/>
    <mergeCell ref="AD102:AD103"/>
    <mergeCell ref="AO100:AO101"/>
    <mergeCell ref="AP100:AP101"/>
    <mergeCell ref="AQ100:AQ101"/>
    <mergeCell ref="AR100:AR101"/>
    <mergeCell ref="AS100:AS101"/>
    <mergeCell ref="AT100:AT101"/>
    <mergeCell ref="AD100:AD101"/>
    <mergeCell ref="AE100:AE101"/>
    <mergeCell ref="AF100:AF101"/>
    <mergeCell ref="AG100:AG101"/>
    <mergeCell ref="AH100:AH101"/>
    <mergeCell ref="AI100:AI101"/>
    <mergeCell ref="AJ100:AJ101"/>
    <mergeCell ref="A102:A103"/>
    <mergeCell ref="B102:B103"/>
    <mergeCell ref="C102:C103"/>
    <mergeCell ref="D102:D103"/>
    <mergeCell ref="E102:E103"/>
    <mergeCell ref="F102:F103"/>
    <mergeCell ref="G102:G103"/>
    <mergeCell ref="H102:H103"/>
    <mergeCell ref="I102:I103"/>
    <mergeCell ref="J102:J103"/>
    <mergeCell ref="N102:N103"/>
    <mergeCell ref="S100:S101"/>
    <mergeCell ref="T100:T101"/>
    <mergeCell ref="U100:U101"/>
    <mergeCell ref="V100:V101"/>
    <mergeCell ref="W100:W101"/>
    <mergeCell ref="X100:X101"/>
    <mergeCell ref="AT98:AT99"/>
    <mergeCell ref="AU98:AU99"/>
    <mergeCell ref="AV98:AV99"/>
    <mergeCell ref="AW98:AW99"/>
    <mergeCell ref="AX98:AX99"/>
    <mergeCell ref="AY98:AY99"/>
    <mergeCell ref="AZ98:AZ99"/>
    <mergeCell ref="BA98:BA99"/>
    <mergeCell ref="BB98:BB99"/>
    <mergeCell ref="BC98:BC99"/>
    <mergeCell ref="AX100:AX101"/>
    <mergeCell ref="AY100:AY101"/>
    <mergeCell ref="AZ100:AZ101"/>
    <mergeCell ref="BA100:BA101"/>
    <mergeCell ref="BB100:BB101"/>
    <mergeCell ref="BC100:BC101"/>
    <mergeCell ref="BG100:BG101"/>
    <mergeCell ref="AU100:AU101"/>
    <mergeCell ref="AV100:AV101"/>
    <mergeCell ref="AW100:AW101"/>
    <mergeCell ref="BD100:BD101"/>
    <mergeCell ref="BE100:BE101"/>
    <mergeCell ref="BF100:BF101"/>
    <mergeCell ref="BB95:BB96"/>
    <mergeCell ref="AJ95:AJ96"/>
    <mergeCell ref="AK95:AK96"/>
    <mergeCell ref="AL95:AL96"/>
    <mergeCell ref="AM95:AM96"/>
    <mergeCell ref="AN95:AN96"/>
    <mergeCell ref="AO95:AO96"/>
    <mergeCell ref="BD98:BD99"/>
    <mergeCell ref="BE98:BE99"/>
    <mergeCell ref="BF98:BF99"/>
    <mergeCell ref="BG98:BG99"/>
    <mergeCell ref="A100:A101"/>
    <mergeCell ref="B100:B101"/>
    <mergeCell ref="C100:C101"/>
    <mergeCell ref="D100:D101"/>
    <mergeCell ref="E100:E101"/>
    <mergeCell ref="F100:F101"/>
    <mergeCell ref="G100:G101"/>
    <mergeCell ref="H100:H101"/>
    <mergeCell ref="I100:I101"/>
    <mergeCell ref="J100:J101"/>
    <mergeCell ref="N100:N101"/>
    <mergeCell ref="Q100:Q101"/>
    <mergeCell ref="R100:R101"/>
    <mergeCell ref="U98:U99"/>
    <mergeCell ref="V98:V99"/>
    <mergeCell ref="W98:W99"/>
    <mergeCell ref="X98:X99"/>
    <mergeCell ref="Y98:Y99"/>
    <mergeCell ref="Z98:Z99"/>
    <mergeCell ref="AA98:AA99"/>
    <mergeCell ref="AB98:AB99"/>
    <mergeCell ref="BA95:BA96"/>
    <mergeCell ref="AP95:AP96"/>
    <mergeCell ref="AQ95:AQ96"/>
    <mergeCell ref="AR95:AR96"/>
    <mergeCell ref="AS95:AS96"/>
    <mergeCell ref="AT95:AT96"/>
    <mergeCell ref="AU95:AU96"/>
    <mergeCell ref="Y95:Y96"/>
    <mergeCell ref="Z95:Z96"/>
    <mergeCell ref="AQ98:AQ99"/>
    <mergeCell ref="AR98:AR99"/>
    <mergeCell ref="AG98:AG99"/>
    <mergeCell ref="AH98:AH99"/>
    <mergeCell ref="AI98:AI99"/>
    <mergeCell ref="AJ98:AJ99"/>
    <mergeCell ref="AK98:AK99"/>
    <mergeCell ref="AL98:AL99"/>
    <mergeCell ref="AD95:AD96"/>
    <mergeCell ref="AE95:AE96"/>
    <mergeCell ref="AF95:AF96"/>
    <mergeCell ref="AG95:AG96"/>
    <mergeCell ref="AH95:AH96"/>
    <mergeCell ref="AI95:AI96"/>
    <mergeCell ref="AC98:AC99"/>
    <mergeCell ref="AD98:AD99"/>
    <mergeCell ref="AE98:AE99"/>
    <mergeCell ref="AF98:AF99"/>
    <mergeCell ref="AM98:AM99"/>
    <mergeCell ref="AN98:AN99"/>
    <mergeCell ref="AO98:AO99"/>
    <mergeCell ref="AP98:AP99"/>
    <mergeCell ref="AS98:AS99"/>
    <mergeCell ref="X95:X96"/>
    <mergeCell ref="A97:I97"/>
    <mergeCell ref="A98:A99"/>
    <mergeCell ref="B98:B99"/>
    <mergeCell ref="C98:C99"/>
    <mergeCell ref="D98:D99"/>
    <mergeCell ref="E98:E99"/>
    <mergeCell ref="F98:F99"/>
    <mergeCell ref="G98:G99"/>
    <mergeCell ref="H98:H99"/>
    <mergeCell ref="I98:I99"/>
    <mergeCell ref="J98:J99"/>
    <mergeCell ref="N98:N99"/>
    <mergeCell ref="Q98:Q99"/>
    <mergeCell ref="R98:R99"/>
    <mergeCell ref="S98:S99"/>
    <mergeCell ref="T98:T99"/>
    <mergeCell ref="BF93:BF94"/>
    <mergeCell ref="BC95:BC96"/>
    <mergeCell ref="BD95:BD96"/>
    <mergeCell ref="BE95:BE96"/>
    <mergeCell ref="BF95:BF96"/>
    <mergeCell ref="BG95:BG96"/>
    <mergeCell ref="AV95:AV96"/>
    <mergeCell ref="AW95:AW96"/>
    <mergeCell ref="AX95:AX96"/>
    <mergeCell ref="AY95:AY96"/>
    <mergeCell ref="AZ95:AZ96"/>
    <mergeCell ref="A95:A96"/>
    <mergeCell ref="B95:B96"/>
    <mergeCell ref="C95:C96"/>
    <mergeCell ref="D95:D96"/>
    <mergeCell ref="E95:E96"/>
    <mergeCell ref="F95:F96"/>
    <mergeCell ref="G95:G96"/>
    <mergeCell ref="H95:H96"/>
    <mergeCell ref="I95:I96"/>
    <mergeCell ref="J95:J96"/>
    <mergeCell ref="N95:N96"/>
    <mergeCell ref="Q95:Q96"/>
    <mergeCell ref="AA95:AA96"/>
    <mergeCell ref="AB95:AB96"/>
    <mergeCell ref="AC95:AC96"/>
    <mergeCell ref="R95:R96"/>
    <mergeCell ref="S95:S96"/>
    <mergeCell ref="T95:T96"/>
    <mergeCell ref="U95:U96"/>
    <mergeCell ref="V95:V96"/>
    <mergeCell ref="W95:W96"/>
    <mergeCell ref="BG93:BG94"/>
    <mergeCell ref="X93:X94"/>
    <mergeCell ref="Y93:Y94"/>
    <mergeCell ref="Z93:Z94"/>
    <mergeCell ref="AA93:AA94"/>
    <mergeCell ref="AB93:AB94"/>
    <mergeCell ref="AC93:AC94"/>
    <mergeCell ref="AD93:AD94"/>
    <mergeCell ref="AE93:AE94"/>
    <mergeCell ref="AF93:AF94"/>
    <mergeCell ref="AG93:AG94"/>
    <mergeCell ref="AH93:AH94"/>
    <mergeCell ref="AI93:AI94"/>
    <mergeCell ref="AJ93:AJ94"/>
    <mergeCell ref="AK93:AK94"/>
    <mergeCell ref="AL93:AL94"/>
    <mergeCell ref="AM93:AM94"/>
    <mergeCell ref="AN93:AN94"/>
    <mergeCell ref="AO93:AO94"/>
    <mergeCell ref="AP93:AP94"/>
    <mergeCell ref="AQ93:AQ94"/>
    <mergeCell ref="AR93:AR94"/>
    <mergeCell ref="AS93:AS94"/>
    <mergeCell ref="AT93:AT94"/>
    <mergeCell ref="AU93:AU94"/>
    <mergeCell ref="AV93:AV94"/>
    <mergeCell ref="AW93:AW94"/>
    <mergeCell ref="AX93:AX94"/>
    <mergeCell ref="AY93:AY94"/>
    <mergeCell ref="AZ93:AZ94"/>
    <mergeCell ref="BA93:BA94"/>
    <mergeCell ref="BB93:BB94"/>
    <mergeCell ref="A93:A94"/>
    <mergeCell ref="B93:B94"/>
    <mergeCell ref="C93:C94"/>
    <mergeCell ref="D93:D94"/>
    <mergeCell ref="E93:E94"/>
    <mergeCell ref="F93:F94"/>
    <mergeCell ref="G93:G94"/>
    <mergeCell ref="H93:H94"/>
    <mergeCell ref="I93:I94"/>
    <mergeCell ref="J93:J94"/>
    <mergeCell ref="N93:N94"/>
    <mergeCell ref="Q93:Q94"/>
    <mergeCell ref="R93:R94"/>
    <mergeCell ref="S93:S94"/>
    <mergeCell ref="T93:T94"/>
    <mergeCell ref="U93:U94"/>
    <mergeCell ref="V93:V94"/>
    <mergeCell ref="W93:W94"/>
    <mergeCell ref="AP91:AP92"/>
    <mergeCell ref="AQ91:AQ92"/>
    <mergeCell ref="AR91:AR92"/>
    <mergeCell ref="AS91:AS92"/>
    <mergeCell ref="AT91:AT92"/>
    <mergeCell ref="AU91:AU92"/>
    <mergeCell ref="AV91:AV92"/>
    <mergeCell ref="AW91:AW92"/>
    <mergeCell ref="AX91:AX92"/>
    <mergeCell ref="AY91:AY92"/>
    <mergeCell ref="AZ91:AZ92"/>
    <mergeCell ref="BA91:BA92"/>
    <mergeCell ref="BB91:BB92"/>
    <mergeCell ref="BC91:BC92"/>
    <mergeCell ref="BD91:BD92"/>
    <mergeCell ref="BE91:BE92"/>
    <mergeCell ref="BC93:BC94"/>
    <mergeCell ref="BD93:BD94"/>
    <mergeCell ref="BE93:BE94"/>
    <mergeCell ref="BF91:BF92"/>
    <mergeCell ref="BG91:BG92"/>
    <mergeCell ref="X91:X92"/>
    <mergeCell ref="Y91:Y92"/>
    <mergeCell ref="Z91:Z92"/>
    <mergeCell ref="AA91:AA92"/>
    <mergeCell ref="AB91:AB92"/>
    <mergeCell ref="AC91:AC92"/>
    <mergeCell ref="AL91:AL92"/>
    <mergeCell ref="AM91:AM92"/>
    <mergeCell ref="AN91:AN92"/>
    <mergeCell ref="AO91:AO92"/>
    <mergeCell ref="AD91:AD92"/>
    <mergeCell ref="AE91:AE92"/>
    <mergeCell ref="AF91:AF92"/>
    <mergeCell ref="AG91:AG92"/>
    <mergeCell ref="AH91:AH92"/>
    <mergeCell ref="AI91:AI92"/>
    <mergeCell ref="A91:A92"/>
    <mergeCell ref="B91:B92"/>
    <mergeCell ref="C91:C92"/>
    <mergeCell ref="D91:D92"/>
    <mergeCell ref="E91:E92"/>
    <mergeCell ref="F91:F92"/>
    <mergeCell ref="G91:G92"/>
    <mergeCell ref="H91:H92"/>
    <mergeCell ref="I91:I92"/>
    <mergeCell ref="J91:J92"/>
    <mergeCell ref="N91:N92"/>
    <mergeCell ref="Q91:Q92"/>
    <mergeCell ref="AT89:AT90"/>
    <mergeCell ref="AU89:AU90"/>
    <mergeCell ref="R91:R92"/>
    <mergeCell ref="S91:S92"/>
    <mergeCell ref="T91:T92"/>
    <mergeCell ref="U91:U92"/>
    <mergeCell ref="V91:V92"/>
    <mergeCell ref="W91:W92"/>
    <mergeCell ref="AJ91:AJ92"/>
    <mergeCell ref="AK91:AK92"/>
    <mergeCell ref="A89:A90"/>
    <mergeCell ref="B89:B90"/>
    <mergeCell ref="C89:C90"/>
    <mergeCell ref="D89:D90"/>
    <mergeCell ref="E89:E90"/>
    <mergeCell ref="F89:F90"/>
    <mergeCell ref="G89:G90"/>
    <mergeCell ref="H89:H90"/>
    <mergeCell ref="I89:I90"/>
    <mergeCell ref="J89:J90"/>
    <mergeCell ref="BD89:BD90"/>
    <mergeCell ref="BE89:BE90"/>
    <mergeCell ref="BF89:BF90"/>
    <mergeCell ref="BG89:BG90"/>
    <mergeCell ref="AV89:AV90"/>
    <mergeCell ref="AW89:AW90"/>
    <mergeCell ref="AX89:AX90"/>
    <mergeCell ref="AY89:AY90"/>
    <mergeCell ref="AZ89:AZ90"/>
    <mergeCell ref="BA89:BA90"/>
    <mergeCell ref="Z89:Z90"/>
    <mergeCell ref="AA89:AA90"/>
    <mergeCell ref="AB89:AB90"/>
    <mergeCell ref="AC89:AC90"/>
    <mergeCell ref="BB89:BB90"/>
    <mergeCell ref="BC89:BC90"/>
    <mergeCell ref="AP89:AP90"/>
    <mergeCell ref="AQ89:AQ90"/>
    <mergeCell ref="AR89:AR90"/>
    <mergeCell ref="AS89:AS90"/>
    <mergeCell ref="AD89:AD90"/>
    <mergeCell ref="AE89:AE90"/>
    <mergeCell ref="AF89:AF90"/>
    <mergeCell ref="AG89:AG90"/>
    <mergeCell ref="AH89:AH90"/>
    <mergeCell ref="AI89:AI90"/>
    <mergeCell ref="AJ89:AJ90"/>
    <mergeCell ref="AK89:AK90"/>
    <mergeCell ref="AL89:AL90"/>
    <mergeCell ref="AM89:AM90"/>
    <mergeCell ref="AN89:AN90"/>
    <mergeCell ref="AO89:AO90"/>
    <mergeCell ref="N89:N90"/>
    <mergeCell ref="Q89:Q90"/>
    <mergeCell ref="Y86:Y87"/>
    <mergeCell ref="Z86:Z87"/>
    <mergeCell ref="R89:R90"/>
    <mergeCell ref="S89:S90"/>
    <mergeCell ref="T89:T90"/>
    <mergeCell ref="U89:U90"/>
    <mergeCell ref="V89:V90"/>
    <mergeCell ref="W89:W90"/>
    <mergeCell ref="X89:X90"/>
    <mergeCell ref="Y89:Y90"/>
    <mergeCell ref="AE86:AE87"/>
    <mergeCell ref="AF86:AF87"/>
    <mergeCell ref="AG86:AG87"/>
    <mergeCell ref="AH86:AH87"/>
    <mergeCell ref="AI86:AI87"/>
    <mergeCell ref="BG86:BG87"/>
    <mergeCell ref="A88:I88"/>
    <mergeCell ref="AW86:AW87"/>
    <mergeCell ref="AX86:AX87"/>
    <mergeCell ref="AY86:AY87"/>
    <mergeCell ref="AZ86:AZ87"/>
    <mergeCell ref="BA86:BA87"/>
    <mergeCell ref="BB86:BB87"/>
    <mergeCell ref="AQ86:AQ87"/>
    <mergeCell ref="AR86:AR87"/>
    <mergeCell ref="H86:H87"/>
    <mergeCell ref="I86:I87"/>
    <mergeCell ref="S86:S87"/>
    <mergeCell ref="T86:T87"/>
    <mergeCell ref="U86:U87"/>
    <mergeCell ref="V86:V87"/>
    <mergeCell ref="W86:W87"/>
    <mergeCell ref="X86:X87"/>
    <mergeCell ref="BE86:BE87"/>
    <mergeCell ref="BF86:BF87"/>
    <mergeCell ref="AS86:AS87"/>
    <mergeCell ref="AT86:AT87"/>
    <mergeCell ref="AU86:AU87"/>
    <mergeCell ref="AV86:AV87"/>
    <mergeCell ref="BD86:BD87"/>
    <mergeCell ref="G86:G87"/>
    <mergeCell ref="BE84:BE85"/>
    <mergeCell ref="AL84:AL85"/>
    <mergeCell ref="AA84:AA85"/>
    <mergeCell ref="AB84:AB85"/>
    <mergeCell ref="AC84:AC85"/>
    <mergeCell ref="AD84:AD85"/>
    <mergeCell ref="AE84:AE85"/>
    <mergeCell ref="AF84:AF85"/>
    <mergeCell ref="AA86:AA87"/>
    <mergeCell ref="AB86:AB87"/>
    <mergeCell ref="AC86:AC87"/>
    <mergeCell ref="AD86:AD87"/>
    <mergeCell ref="AJ86:AJ87"/>
    <mergeCell ref="AK86:AK87"/>
    <mergeCell ref="AL86:AL87"/>
    <mergeCell ref="AM86:AM87"/>
    <mergeCell ref="AN86:AN87"/>
    <mergeCell ref="AO86:AO87"/>
    <mergeCell ref="AP86:AP87"/>
    <mergeCell ref="AG84:AG85"/>
    <mergeCell ref="AH84:AH85"/>
    <mergeCell ref="AI84:AI85"/>
    <mergeCell ref="AJ84:AJ85"/>
    <mergeCell ref="AK84:AK85"/>
    <mergeCell ref="BD84:BD85"/>
    <mergeCell ref="AS84:AS85"/>
    <mergeCell ref="AT84:AT85"/>
    <mergeCell ref="AU84:AU85"/>
    <mergeCell ref="AV84:AV85"/>
    <mergeCell ref="AW84:AW85"/>
    <mergeCell ref="AX84:AX85"/>
    <mergeCell ref="AY84:AY85"/>
    <mergeCell ref="AZ84:AZ85"/>
    <mergeCell ref="BA84:BA85"/>
    <mergeCell ref="BB84:BB85"/>
    <mergeCell ref="BC84:BC85"/>
    <mergeCell ref="AM84:AM85"/>
    <mergeCell ref="AN84:AN85"/>
    <mergeCell ref="AO84:AO85"/>
    <mergeCell ref="AP84:AP85"/>
    <mergeCell ref="S84:S85"/>
    <mergeCell ref="T84:T85"/>
    <mergeCell ref="J84:J85"/>
    <mergeCell ref="N84:N85"/>
    <mergeCell ref="BC86:BC87"/>
    <mergeCell ref="J86:J87"/>
    <mergeCell ref="N86:N87"/>
    <mergeCell ref="Q86:Q87"/>
    <mergeCell ref="R86:R87"/>
    <mergeCell ref="U84:U85"/>
    <mergeCell ref="V84:V85"/>
    <mergeCell ref="W84:W85"/>
    <mergeCell ref="X84:X85"/>
    <mergeCell ref="Y84:Y85"/>
    <mergeCell ref="Z84:Z85"/>
    <mergeCell ref="BF84:BF85"/>
    <mergeCell ref="BG84:BG85"/>
    <mergeCell ref="A86:A87"/>
    <mergeCell ref="B86:B87"/>
    <mergeCell ref="C86:C87"/>
    <mergeCell ref="D86:D87"/>
    <mergeCell ref="E86:E87"/>
    <mergeCell ref="F86:F87"/>
    <mergeCell ref="BC82:BC83"/>
    <mergeCell ref="BD82:BD83"/>
    <mergeCell ref="BE82:BE83"/>
    <mergeCell ref="BF82:BF83"/>
    <mergeCell ref="AU82:AU83"/>
    <mergeCell ref="AV82:AV83"/>
    <mergeCell ref="AW82:AW83"/>
    <mergeCell ref="AX82:AX83"/>
    <mergeCell ref="AY82:AY83"/>
    <mergeCell ref="AZ82:AZ83"/>
    <mergeCell ref="F84:F85"/>
    <mergeCell ref="G84:G85"/>
    <mergeCell ref="H84:H85"/>
    <mergeCell ref="I84:I85"/>
    <mergeCell ref="BA82:BA83"/>
    <mergeCell ref="BB82:BB83"/>
    <mergeCell ref="AO82:AO83"/>
    <mergeCell ref="AP82:AP83"/>
    <mergeCell ref="AQ82:AQ83"/>
    <mergeCell ref="AR82:AR83"/>
    <mergeCell ref="Q84:Q85"/>
    <mergeCell ref="R84:R85"/>
    <mergeCell ref="AQ84:AQ85"/>
    <mergeCell ref="AR84:AR85"/>
    <mergeCell ref="BG82:BG83"/>
    <mergeCell ref="A84:A85"/>
    <mergeCell ref="B84:B85"/>
    <mergeCell ref="C84:C85"/>
    <mergeCell ref="D84:D85"/>
    <mergeCell ref="E84:E85"/>
    <mergeCell ref="W82:W83"/>
    <mergeCell ref="X82:X83"/>
    <mergeCell ref="Y82:Y83"/>
    <mergeCell ref="Z82:Z83"/>
    <mergeCell ref="AA82:AA83"/>
    <mergeCell ref="AB82:AB83"/>
    <mergeCell ref="AC82:AC83"/>
    <mergeCell ref="AD82:AD83"/>
    <mergeCell ref="AE82:AE83"/>
    <mergeCell ref="AF82:AF83"/>
    <mergeCell ref="AG82:AG83"/>
    <mergeCell ref="AH82:AH83"/>
    <mergeCell ref="AI82:AI83"/>
    <mergeCell ref="AJ82:AJ83"/>
    <mergeCell ref="AK82:AK83"/>
    <mergeCell ref="AL82:AL83"/>
    <mergeCell ref="AM82:AM83"/>
    <mergeCell ref="AN82:AN83"/>
    <mergeCell ref="F82:F83"/>
    <mergeCell ref="G82:G83"/>
    <mergeCell ref="H82:H83"/>
    <mergeCell ref="I82:I83"/>
    <mergeCell ref="J82:J83"/>
    <mergeCell ref="N82:N83"/>
    <mergeCell ref="Q82:Q83"/>
    <mergeCell ref="R82:R83"/>
    <mergeCell ref="BC80:BC81"/>
    <mergeCell ref="BD80:BD81"/>
    <mergeCell ref="BE80:BE81"/>
    <mergeCell ref="BF80:BF81"/>
    <mergeCell ref="BG80:BG81"/>
    <mergeCell ref="AB80:AB81"/>
    <mergeCell ref="AC80:AC81"/>
    <mergeCell ref="AD80:AD81"/>
    <mergeCell ref="AP80:AP81"/>
    <mergeCell ref="AQ80:AQ81"/>
    <mergeCell ref="AR80:AR81"/>
    <mergeCell ref="AS80:AS81"/>
    <mergeCell ref="AT80:AT81"/>
    <mergeCell ref="AU80:AU81"/>
    <mergeCell ref="AV80:AV81"/>
    <mergeCell ref="AW80:AW81"/>
    <mergeCell ref="AX80:AX81"/>
    <mergeCell ref="AY80:AY81"/>
    <mergeCell ref="AZ80:AZ81"/>
    <mergeCell ref="BA80:BA81"/>
    <mergeCell ref="BA78:BA79"/>
    <mergeCell ref="BB78:BB79"/>
    <mergeCell ref="S82:S83"/>
    <mergeCell ref="T82:T83"/>
    <mergeCell ref="U82:U83"/>
    <mergeCell ref="V82:V83"/>
    <mergeCell ref="AF80:AF81"/>
    <mergeCell ref="AG80:AG81"/>
    <mergeCell ref="AH80:AH81"/>
    <mergeCell ref="AI80:AI81"/>
    <mergeCell ref="AJ80:AJ81"/>
    <mergeCell ref="Y80:Y81"/>
    <mergeCell ref="Z80:Z81"/>
    <mergeCell ref="AA80:AA81"/>
    <mergeCell ref="AK80:AK81"/>
    <mergeCell ref="AL80:AL81"/>
    <mergeCell ref="AM80:AM81"/>
    <mergeCell ref="AN80:AN81"/>
    <mergeCell ref="AO80:AO81"/>
    <mergeCell ref="S80:S81"/>
    <mergeCell ref="T80:T81"/>
    <mergeCell ref="U80:U81"/>
    <mergeCell ref="V80:V81"/>
    <mergeCell ref="W80:W81"/>
    <mergeCell ref="X80:X81"/>
    <mergeCell ref="AS82:AS83"/>
    <mergeCell ref="AT82:AT83"/>
    <mergeCell ref="AZ78:AZ79"/>
    <mergeCell ref="A82:A83"/>
    <mergeCell ref="B82:B83"/>
    <mergeCell ref="C82:C83"/>
    <mergeCell ref="D82:D83"/>
    <mergeCell ref="E82:E83"/>
    <mergeCell ref="AE80:AE81"/>
    <mergeCell ref="AM78:AM79"/>
    <mergeCell ref="AN78:AN79"/>
    <mergeCell ref="AO78:AO79"/>
    <mergeCell ref="AP78:AP79"/>
    <mergeCell ref="AQ78:AQ79"/>
    <mergeCell ref="AR78:AR79"/>
    <mergeCell ref="AS78:AS79"/>
    <mergeCell ref="AT78:AT79"/>
    <mergeCell ref="AU78:AU79"/>
    <mergeCell ref="AV78:AV79"/>
    <mergeCell ref="AW78:AW79"/>
    <mergeCell ref="H80:H81"/>
    <mergeCell ref="I80:I81"/>
    <mergeCell ref="J80:J81"/>
    <mergeCell ref="N80:N81"/>
    <mergeCell ref="Q80:Q81"/>
    <mergeCell ref="R80:R81"/>
    <mergeCell ref="AE78:AE79"/>
    <mergeCell ref="AF78:AF79"/>
    <mergeCell ref="AK78:AK79"/>
    <mergeCell ref="AL78:AL79"/>
    <mergeCell ref="AA78:AA79"/>
    <mergeCell ref="AB78:AB79"/>
    <mergeCell ref="AC78:AC79"/>
    <mergeCell ref="AD78:AD79"/>
    <mergeCell ref="AK75:AK76"/>
    <mergeCell ref="BC78:BC79"/>
    <mergeCell ref="BD78:BD79"/>
    <mergeCell ref="BE78:BE79"/>
    <mergeCell ref="BF78:BF79"/>
    <mergeCell ref="BG78:BG79"/>
    <mergeCell ref="A80:A81"/>
    <mergeCell ref="B80:B81"/>
    <mergeCell ref="C80:C81"/>
    <mergeCell ref="D80:D81"/>
    <mergeCell ref="E80:E81"/>
    <mergeCell ref="F80:F81"/>
    <mergeCell ref="G80:G81"/>
    <mergeCell ref="J78:J79"/>
    <mergeCell ref="N78:N79"/>
    <mergeCell ref="Q78:Q79"/>
    <mergeCell ref="R78:R79"/>
    <mergeCell ref="S78:S79"/>
    <mergeCell ref="T78:T79"/>
    <mergeCell ref="U78:U79"/>
    <mergeCell ref="V78:V79"/>
    <mergeCell ref="W78:W79"/>
    <mergeCell ref="X78:X79"/>
    <mergeCell ref="Y78:Y79"/>
    <mergeCell ref="Z78:Z79"/>
    <mergeCell ref="BB80:BB81"/>
    <mergeCell ref="AG78:AG79"/>
    <mergeCell ref="AH78:AH79"/>
    <mergeCell ref="AI78:AI79"/>
    <mergeCell ref="AJ78:AJ79"/>
    <mergeCell ref="AX78:AX79"/>
    <mergeCell ref="AY78:AY79"/>
    <mergeCell ref="AZ75:AZ76"/>
    <mergeCell ref="BA75:BA76"/>
    <mergeCell ref="BB75:BB76"/>
    <mergeCell ref="BC75:BC76"/>
    <mergeCell ref="BD75:BD76"/>
    <mergeCell ref="BE75:BE76"/>
    <mergeCell ref="BF75:BF76"/>
    <mergeCell ref="BG75:BG76"/>
    <mergeCell ref="A77:I77"/>
    <mergeCell ref="A78:A79"/>
    <mergeCell ref="B78:B79"/>
    <mergeCell ref="C78:C79"/>
    <mergeCell ref="D78:D79"/>
    <mergeCell ref="E78:E79"/>
    <mergeCell ref="F78:F79"/>
    <mergeCell ref="G78:G79"/>
    <mergeCell ref="H78:H79"/>
    <mergeCell ref="I78:I79"/>
    <mergeCell ref="R75:R76"/>
    <mergeCell ref="S75:S76"/>
    <mergeCell ref="T75:T76"/>
    <mergeCell ref="U75:U76"/>
    <mergeCell ref="V75:V76"/>
    <mergeCell ref="W75:W76"/>
    <mergeCell ref="X75:X76"/>
    <mergeCell ref="Y75:Y76"/>
    <mergeCell ref="Z75:Z76"/>
    <mergeCell ref="AA75:AA76"/>
    <mergeCell ref="AB75:AB76"/>
    <mergeCell ref="AL75:AL76"/>
    <mergeCell ref="AP75:AP76"/>
    <mergeCell ref="AQ75:AQ76"/>
    <mergeCell ref="I73:I74"/>
    <mergeCell ref="J73:J74"/>
    <mergeCell ref="AD73:AD74"/>
    <mergeCell ref="AE73:AE74"/>
    <mergeCell ref="AF73:AF74"/>
    <mergeCell ref="AG73:AG74"/>
    <mergeCell ref="AH73:AH74"/>
    <mergeCell ref="AR73:AR74"/>
    <mergeCell ref="AS73:AS74"/>
    <mergeCell ref="AT73:AT74"/>
    <mergeCell ref="AU73:AU74"/>
    <mergeCell ref="AW75:AW76"/>
    <mergeCell ref="AM75:AM76"/>
    <mergeCell ref="AB73:AB74"/>
    <mergeCell ref="AC73:AC74"/>
    <mergeCell ref="AX75:AX76"/>
    <mergeCell ref="AY75:AY76"/>
    <mergeCell ref="AR75:AR76"/>
    <mergeCell ref="AS75:AS76"/>
    <mergeCell ref="AT75:AT76"/>
    <mergeCell ref="AU75:AU76"/>
    <mergeCell ref="AV75:AV76"/>
    <mergeCell ref="AC75:AC76"/>
    <mergeCell ref="AN75:AN76"/>
    <mergeCell ref="AO75:AO76"/>
    <mergeCell ref="AD75:AD76"/>
    <mergeCell ref="AE75:AE76"/>
    <mergeCell ref="AF75:AF76"/>
    <mergeCell ref="AG75:AG76"/>
    <mergeCell ref="AH75:AH76"/>
    <mergeCell ref="AI75:AI76"/>
    <mergeCell ref="AJ75:AJ76"/>
    <mergeCell ref="A75:A76"/>
    <mergeCell ref="B75:B76"/>
    <mergeCell ref="C75:C76"/>
    <mergeCell ref="D75:D76"/>
    <mergeCell ref="E75:E76"/>
    <mergeCell ref="F75:F76"/>
    <mergeCell ref="AO73:AO74"/>
    <mergeCell ref="G75:G76"/>
    <mergeCell ref="H75:H76"/>
    <mergeCell ref="I75:I76"/>
    <mergeCell ref="J75:J76"/>
    <mergeCell ref="N75:N76"/>
    <mergeCell ref="Q75:Q76"/>
    <mergeCell ref="AI73:AI74"/>
    <mergeCell ref="X73:X74"/>
    <mergeCell ref="Y73:Y74"/>
    <mergeCell ref="AQ73:AQ74"/>
    <mergeCell ref="AJ73:AJ74"/>
    <mergeCell ref="AK73:AK74"/>
    <mergeCell ref="AL73:AL74"/>
    <mergeCell ref="AM73:AM74"/>
    <mergeCell ref="AN73:AN74"/>
    <mergeCell ref="A73:A74"/>
    <mergeCell ref="B73:B74"/>
    <mergeCell ref="C73:C74"/>
    <mergeCell ref="N73:N74"/>
    <mergeCell ref="Q73:Q74"/>
    <mergeCell ref="D73:D74"/>
    <mergeCell ref="E73:E74"/>
    <mergeCell ref="F73:F74"/>
    <mergeCell ref="G73:G74"/>
    <mergeCell ref="H73:H74"/>
    <mergeCell ref="AR71:AR72"/>
    <mergeCell ref="AS71:AS72"/>
    <mergeCell ref="AT71:AT72"/>
    <mergeCell ref="AU71:AU72"/>
    <mergeCell ref="BD71:BD72"/>
    <mergeCell ref="BE71:BE72"/>
    <mergeCell ref="BF71:BF72"/>
    <mergeCell ref="AV71:AV72"/>
    <mergeCell ref="AW71:AW72"/>
    <mergeCell ref="AX71:AX72"/>
    <mergeCell ref="AY71:AY72"/>
    <mergeCell ref="AZ71:AZ72"/>
    <mergeCell ref="BA71:BA72"/>
    <mergeCell ref="BG73:BG74"/>
    <mergeCell ref="AV73:AV74"/>
    <mergeCell ref="AW73:AW74"/>
    <mergeCell ref="AX73:AX74"/>
    <mergeCell ref="AY73:AY74"/>
    <mergeCell ref="AZ73:AZ74"/>
    <mergeCell ref="BA73:BA74"/>
    <mergeCell ref="BB71:BB72"/>
    <mergeCell ref="BC71:BC72"/>
    <mergeCell ref="BG71:BG72"/>
    <mergeCell ref="BB73:BB74"/>
    <mergeCell ref="BC73:BC74"/>
    <mergeCell ref="BD73:BD74"/>
    <mergeCell ref="BE73:BE74"/>
    <mergeCell ref="BF73:BF74"/>
    <mergeCell ref="U73:U74"/>
    <mergeCell ref="V73:V74"/>
    <mergeCell ref="W73:W74"/>
    <mergeCell ref="R73:R74"/>
    <mergeCell ref="S73:S74"/>
    <mergeCell ref="T73:T74"/>
    <mergeCell ref="AJ71:AJ72"/>
    <mergeCell ref="AK71:AK72"/>
    <mergeCell ref="AL71:AL72"/>
    <mergeCell ref="AM71:AM72"/>
    <mergeCell ref="AN71:AN72"/>
    <mergeCell ref="AO71:AO72"/>
    <mergeCell ref="AP71:AP72"/>
    <mergeCell ref="AP73:AP74"/>
    <mergeCell ref="X71:X72"/>
    <mergeCell ref="Y71:Y72"/>
    <mergeCell ref="Z71:Z72"/>
    <mergeCell ref="AA71:AA72"/>
    <mergeCell ref="AB71:AB72"/>
    <mergeCell ref="AC71:AC72"/>
    <mergeCell ref="AD71:AD72"/>
    <mergeCell ref="AE71:AE72"/>
    <mergeCell ref="AF71:AF72"/>
    <mergeCell ref="AG71:AG72"/>
    <mergeCell ref="AH71:AH72"/>
    <mergeCell ref="AI71:AI72"/>
    <mergeCell ref="Z73:Z74"/>
    <mergeCell ref="AA73:AA74"/>
    <mergeCell ref="AA69:AA70"/>
    <mergeCell ref="AB69:AB70"/>
    <mergeCell ref="AC69:AC70"/>
    <mergeCell ref="AD69:AD70"/>
    <mergeCell ref="AE69:AE70"/>
    <mergeCell ref="AF69:AF70"/>
    <mergeCell ref="AG69:AG70"/>
    <mergeCell ref="AH69:AH70"/>
    <mergeCell ref="AI69:AI70"/>
    <mergeCell ref="BD69:BD70"/>
    <mergeCell ref="BE69:BE70"/>
    <mergeCell ref="AP69:AP70"/>
    <mergeCell ref="AQ69:AQ70"/>
    <mergeCell ref="A71:A72"/>
    <mergeCell ref="B71:B72"/>
    <mergeCell ref="C71:C72"/>
    <mergeCell ref="D71:D72"/>
    <mergeCell ref="E71:E72"/>
    <mergeCell ref="F71:F72"/>
    <mergeCell ref="U71:U72"/>
    <mergeCell ref="V71:V72"/>
    <mergeCell ref="W71:W72"/>
    <mergeCell ref="G71:G72"/>
    <mergeCell ref="H71:H72"/>
    <mergeCell ref="I71:I72"/>
    <mergeCell ref="J71:J72"/>
    <mergeCell ref="N71:N72"/>
    <mergeCell ref="Q71:Q72"/>
    <mergeCell ref="R71:R72"/>
    <mergeCell ref="S71:S72"/>
    <mergeCell ref="T71:T72"/>
    <mergeCell ref="AQ71:AQ72"/>
    <mergeCell ref="AW63:AW64"/>
    <mergeCell ref="AX63:AX64"/>
    <mergeCell ref="AY63:AY64"/>
    <mergeCell ref="AZ63:AZ64"/>
    <mergeCell ref="BA63:BA64"/>
    <mergeCell ref="BB63:BB64"/>
    <mergeCell ref="BC63:BC64"/>
    <mergeCell ref="AJ69:AJ70"/>
    <mergeCell ref="AK69:AK70"/>
    <mergeCell ref="AL69:AL70"/>
    <mergeCell ref="AM69:AM70"/>
    <mergeCell ref="AN69:AN70"/>
    <mergeCell ref="AO69:AO70"/>
    <mergeCell ref="BF69:BF70"/>
    <mergeCell ref="BG69:BG70"/>
    <mergeCell ref="AV69:AV70"/>
    <mergeCell ref="AW69:AW70"/>
    <mergeCell ref="AX69:AX70"/>
    <mergeCell ref="AY69:AY70"/>
    <mergeCell ref="AZ69:AZ70"/>
    <mergeCell ref="BA69:BA70"/>
    <mergeCell ref="BB69:BB70"/>
    <mergeCell ref="BC69:BC70"/>
    <mergeCell ref="AT69:AT70"/>
    <mergeCell ref="AU69:AU70"/>
    <mergeCell ref="AM63:AM64"/>
    <mergeCell ref="AN63:AN64"/>
    <mergeCell ref="AR69:AR70"/>
    <mergeCell ref="AS69:AS70"/>
    <mergeCell ref="A67:O67"/>
    <mergeCell ref="A68:O68"/>
    <mergeCell ref="S69:S70"/>
    <mergeCell ref="T69:T70"/>
    <mergeCell ref="U69:U70"/>
    <mergeCell ref="V69:V70"/>
    <mergeCell ref="W69:W70"/>
    <mergeCell ref="Q63:Q64"/>
    <mergeCell ref="R63:R64"/>
    <mergeCell ref="S63:S64"/>
    <mergeCell ref="T63:T64"/>
    <mergeCell ref="U63:U64"/>
    <mergeCell ref="V63:V64"/>
    <mergeCell ref="W63:W64"/>
    <mergeCell ref="X63:X64"/>
    <mergeCell ref="Y63:Y64"/>
    <mergeCell ref="Z63:Z64"/>
    <mergeCell ref="A63:A64"/>
    <mergeCell ref="B63:B64"/>
    <mergeCell ref="C63:C64"/>
    <mergeCell ref="D63:D64"/>
    <mergeCell ref="E63:E64"/>
    <mergeCell ref="F63:F64"/>
    <mergeCell ref="G63:G64"/>
    <mergeCell ref="H63:H64"/>
    <mergeCell ref="I63:I64"/>
    <mergeCell ref="J63:J64"/>
    <mergeCell ref="N63:N64"/>
    <mergeCell ref="X69:X70"/>
    <mergeCell ref="Y69:Y70"/>
    <mergeCell ref="Z69:Z70"/>
    <mergeCell ref="BA61:BA62"/>
    <mergeCell ref="BF63:BF64"/>
    <mergeCell ref="BG63:BG64"/>
    <mergeCell ref="A65:I65"/>
    <mergeCell ref="A66:I66"/>
    <mergeCell ref="AA63:AA64"/>
    <mergeCell ref="AB63:AB64"/>
    <mergeCell ref="AC63:AC64"/>
    <mergeCell ref="AD63:AD64"/>
    <mergeCell ref="AE63:AE64"/>
    <mergeCell ref="AF63:AF64"/>
    <mergeCell ref="AG63:AG64"/>
    <mergeCell ref="AH63:AH64"/>
    <mergeCell ref="AI63:AI64"/>
    <mergeCell ref="AJ63:AJ64"/>
    <mergeCell ref="AK63:AK64"/>
    <mergeCell ref="AL63:AL64"/>
    <mergeCell ref="BC61:BC62"/>
    <mergeCell ref="BD61:BD62"/>
    <mergeCell ref="BE61:BE62"/>
    <mergeCell ref="BF61:BF62"/>
    <mergeCell ref="BG61:BG62"/>
    <mergeCell ref="BD63:BD64"/>
    <mergeCell ref="BE63:BE64"/>
    <mergeCell ref="AO63:AO64"/>
    <mergeCell ref="AP63:AP64"/>
    <mergeCell ref="AQ63:AQ64"/>
    <mergeCell ref="AR63:AR64"/>
    <mergeCell ref="AS63:AS64"/>
    <mergeCell ref="AT63:AT64"/>
    <mergeCell ref="AU63:AU64"/>
    <mergeCell ref="AV63:AV64"/>
    <mergeCell ref="S61:S62"/>
    <mergeCell ref="T61:T62"/>
    <mergeCell ref="U61:U62"/>
    <mergeCell ref="V61:V62"/>
    <mergeCell ref="W61:W62"/>
    <mergeCell ref="X61:X62"/>
    <mergeCell ref="Y61:Y62"/>
    <mergeCell ref="Z61:Z62"/>
    <mergeCell ref="AA61:AA62"/>
    <mergeCell ref="AB61:AB62"/>
    <mergeCell ref="AC61:AC62"/>
    <mergeCell ref="AD61:AD62"/>
    <mergeCell ref="AE61:AE62"/>
    <mergeCell ref="AF61:AF62"/>
    <mergeCell ref="AG61:AG62"/>
    <mergeCell ref="AK61:AK62"/>
    <mergeCell ref="AO59:AO60"/>
    <mergeCell ref="AP59:AP60"/>
    <mergeCell ref="AO61:AO62"/>
    <mergeCell ref="AP61:AP62"/>
    <mergeCell ref="AS59:AS60"/>
    <mergeCell ref="AT59:AT60"/>
    <mergeCell ref="AU59:AU60"/>
    <mergeCell ref="AV59:AV60"/>
    <mergeCell ref="AW59:AW60"/>
    <mergeCell ref="AX59:AX60"/>
    <mergeCell ref="AY59:AY60"/>
    <mergeCell ref="AZ59:AZ60"/>
    <mergeCell ref="AI59:AI60"/>
    <mergeCell ref="AJ59:AJ60"/>
    <mergeCell ref="AK59:AK60"/>
    <mergeCell ref="AL59:AL60"/>
    <mergeCell ref="AI61:AI62"/>
    <mergeCell ref="AJ61:AJ62"/>
    <mergeCell ref="AM59:AM60"/>
    <mergeCell ref="AN59:AN60"/>
    <mergeCell ref="AQ61:AQ62"/>
    <mergeCell ref="AR61:AR62"/>
    <mergeCell ref="AS61:AS62"/>
    <mergeCell ref="AT61:AT62"/>
    <mergeCell ref="AU61:AU62"/>
    <mergeCell ref="AV61:AV62"/>
    <mergeCell ref="AW61:AW62"/>
    <mergeCell ref="AX61:AX62"/>
    <mergeCell ref="AY61:AY62"/>
    <mergeCell ref="AZ61:AZ62"/>
    <mergeCell ref="BB61:BB62"/>
    <mergeCell ref="AL61:AL62"/>
    <mergeCell ref="AM61:AM62"/>
    <mergeCell ref="AN61:AN62"/>
    <mergeCell ref="BF59:BF60"/>
    <mergeCell ref="BG59:BG60"/>
    <mergeCell ref="A61:A62"/>
    <mergeCell ref="B61:B62"/>
    <mergeCell ref="C61:C62"/>
    <mergeCell ref="D61:D62"/>
    <mergeCell ref="E61:E62"/>
    <mergeCell ref="F61:F62"/>
    <mergeCell ref="G61:G62"/>
    <mergeCell ref="H61:H62"/>
    <mergeCell ref="I61:I62"/>
    <mergeCell ref="J61:J62"/>
    <mergeCell ref="N61:N62"/>
    <mergeCell ref="Q61:Q62"/>
    <mergeCell ref="R61:R62"/>
    <mergeCell ref="AC59:AC60"/>
    <mergeCell ref="AD59:AD60"/>
    <mergeCell ref="AE59:AE60"/>
    <mergeCell ref="AF59:AF60"/>
    <mergeCell ref="U59:U60"/>
    <mergeCell ref="V59:V60"/>
    <mergeCell ref="W59:W60"/>
    <mergeCell ref="X59:X60"/>
    <mergeCell ref="Y59:Y60"/>
    <mergeCell ref="Z59:Z60"/>
    <mergeCell ref="AG59:AG60"/>
    <mergeCell ref="AH59:AH60"/>
    <mergeCell ref="AH61:AH62"/>
    <mergeCell ref="AR57:AR58"/>
    <mergeCell ref="AQ59:AQ60"/>
    <mergeCell ref="AR59:AR60"/>
    <mergeCell ref="AU57:AU58"/>
    <mergeCell ref="AV57:AV58"/>
    <mergeCell ref="AW57:AW58"/>
    <mergeCell ref="AX57:AX58"/>
    <mergeCell ref="AY57:AY58"/>
    <mergeCell ref="AZ57:AZ58"/>
    <mergeCell ref="BA57:BA58"/>
    <mergeCell ref="BB57:BB58"/>
    <mergeCell ref="BC57:BC58"/>
    <mergeCell ref="BD57:BD58"/>
    <mergeCell ref="BE57:BE58"/>
    <mergeCell ref="BA59:BA60"/>
    <mergeCell ref="BB59:BB60"/>
    <mergeCell ref="BC59:BC60"/>
    <mergeCell ref="BD59:BD60"/>
    <mergeCell ref="BE59:BE60"/>
    <mergeCell ref="H55:H56"/>
    <mergeCell ref="I55:I56"/>
    <mergeCell ref="J55:J56"/>
    <mergeCell ref="N55:N56"/>
    <mergeCell ref="Q55:Q56"/>
    <mergeCell ref="AJ55:AJ56"/>
    <mergeCell ref="BF57:BF58"/>
    <mergeCell ref="BG57:BG58"/>
    <mergeCell ref="A59:A60"/>
    <mergeCell ref="B59:B60"/>
    <mergeCell ref="C59:C60"/>
    <mergeCell ref="D59:D60"/>
    <mergeCell ref="E59:E60"/>
    <mergeCell ref="F59:F60"/>
    <mergeCell ref="G59:G60"/>
    <mergeCell ref="H59:H60"/>
    <mergeCell ref="I59:I60"/>
    <mergeCell ref="AB57:AB58"/>
    <mergeCell ref="J59:J60"/>
    <mergeCell ref="N59:N60"/>
    <mergeCell ref="Q59:Q60"/>
    <mergeCell ref="R59:R60"/>
    <mergeCell ref="S59:S60"/>
    <mergeCell ref="T59:T60"/>
    <mergeCell ref="AA59:AA60"/>
    <mergeCell ref="AB59:AB60"/>
    <mergeCell ref="AD57:AD58"/>
    <mergeCell ref="AE57:AE58"/>
    <mergeCell ref="AF57:AF58"/>
    <mergeCell ref="AG57:AG58"/>
    <mergeCell ref="AH57:AH58"/>
    <mergeCell ref="W57:W58"/>
    <mergeCell ref="V57:V58"/>
    <mergeCell ref="S55:S56"/>
    <mergeCell ref="AN55:AN56"/>
    <mergeCell ref="AO55:AO56"/>
    <mergeCell ref="AP55:AP56"/>
    <mergeCell ref="AE55:AE56"/>
    <mergeCell ref="AF55:AF56"/>
    <mergeCell ref="AG55:AG56"/>
    <mergeCell ref="AH55:AH56"/>
    <mergeCell ref="AI55:AI56"/>
    <mergeCell ref="R55:R56"/>
    <mergeCell ref="AS57:AS58"/>
    <mergeCell ref="AT57:AT58"/>
    <mergeCell ref="AI57:AI58"/>
    <mergeCell ref="AJ57:AJ58"/>
    <mergeCell ref="AK57:AK58"/>
    <mergeCell ref="AL57:AL58"/>
    <mergeCell ref="AM57:AM58"/>
    <mergeCell ref="AN57:AN58"/>
    <mergeCell ref="AC57:AC58"/>
    <mergeCell ref="T55:T56"/>
    <mergeCell ref="U55:U56"/>
    <mergeCell ref="V55:V56"/>
    <mergeCell ref="W55:W56"/>
    <mergeCell ref="X55:X56"/>
    <mergeCell ref="X57:X58"/>
    <mergeCell ref="Y57:Y58"/>
    <mergeCell ref="Z57:Z58"/>
    <mergeCell ref="AA57:AA58"/>
    <mergeCell ref="AO57:AO58"/>
    <mergeCell ref="AP57:AP58"/>
    <mergeCell ref="AQ57:AQ58"/>
    <mergeCell ref="A57:A58"/>
    <mergeCell ref="B57:B58"/>
    <mergeCell ref="C57:C58"/>
    <mergeCell ref="D57:D58"/>
    <mergeCell ref="E57:E58"/>
    <mergeCell ref="AW55:AW56"/>
    <mergeCell ref="AV55:AV56"/>
    <mergeCell ref="AK55:AK56"/>
    <mergeCell ref="AL55:AL56"/>
    <mergeCell ref="AM55:AM56"/>
    <mergeCell ref="BC55:BC56"/>
    <mergeCell ref="BD55:BD56"/>
    <mergeCell ref="BE55:BE56"/>
    <mergeCell ref="BF55:BF56"/>
    <mergeCell ref="BG55:BG56"/>
    <mergeCell ref="AB55:AB56"/>
    <mergeCell ref="AC55:AC56"/>
    <mergeCell ref="AD55:AD56"/>
    <mergeCell ref="F57:F58"/>
    <mergeCell ref="G57:G58"/>
    <mergeCell ref="H57:H58"/>
    <mergeCell ref="I57:I58"/>
    <mergeCell ref="J57:J58"/>
    <mergeCell ref="N57:N58"/>
    <mergeCell ref="Y55:Y56"/>
    <mergeCell ref="Z55:Z56"/>
    <mergeCell ref="AA55:AA56"/>
    <mergeCell ref="Q57:Q58"/>
    <mergeCell ref="R57:R58"/>
    <mergeCell ref="S57:S58"/>
    <mergeCell ref="T57:T58"/>
    <mergeCell ref="U57:U58"/>
    <mergeCell ref="AG53:AG54"/>
    <mergeCell ref="AH53:AH54"/>
    <mergeCell ref="AI53:AI54"/>
    <mergeCell ref="AJ53:AJ54"/>
    <mergeCell ref="AS53:AS54"/>
    <mergeCell ref="AT53:AT54"/>
    <mergeCell ref="AU53:AU54"/>
    <mergeCell ref="AV53:AV54"/>
    <mergeCell ref="AW53:AW54"/>
    <mergeCell ref="AX53:AX54"/>
    <mergeCell ref="AY53:AY54"/>
    <mergeCell ref="AZ53:AZ54"/>
    <mergeCell ref="AX55:AX56"/>
    <mergeCell ref="AY55:AY56"/>
    <mergeCell ref="AZ55:AZ56"/>
    <mergeCell ref="BA55:BA56"/>
    <mergeCell ref="BB55:BB56"/>
    <mergeCell ref="AQ55:AQ56"/>
    <mergeCell ref="AR55:AR56"/>
    <mergeCell ref="AS55:AS56"/>
    <mergeCell ref="AT55:AT56"/>
    <mergeCell ref="AU55:AU56"/>
    <mergeCell ref="AK53:AK54"/>
    <mergeCell ref="AL53:AL54"/>
    <mergeCell ref="AM53:AM54"/>
    <mergeCell ref="BE53:BE54"/>
    <mergeCell ref="BF53:BF54"/>
    <mergeCell ref="BG53:BG54"/>
    <mergeCell ref="A55:A56"/>
    <mergeCell ref="B55:B56"/>
    <mergeCell ref="C55:C56"/>
    <mergeCell ref="D55:D56"/>
    <mergeCell ref="E55:E56"/>
    <mergeCell ref="F55:F56"/>
    <mergeCell ref="G55:G56"/>
    <mergeCell ref="J53:J54"/>
    <mergeCell ref="N53:N54"/>
    <mergeCell ref="Q53:Q54"/>
    <mergeCell ref="R53:R54"/>
    <mergeCell ref="S53:S54"/>
    <mergeCell ref="T53:T54"/>
    <mergeCell ref="U53:U54"/>
    <mergeCell ref="V53:V54"/>
    <mergeCell ref="W53:W54"/>
    <mergeCell ref="X53:X54"/>
    <mergeCell ref="Y53:Y54"/>
    <mergeCell ref="Z53:Z54"/>
    <mergeCell ref="AA53:AA54"/>
    <mergeCell ref="AB53:AB54"/>
    <mergeCell ref="AC53:AC54"/>
    <mergeCell ref="AD53:AD54"/>
    <mergeCell ref="AE53:AE54"/>
    <mergeCell ref="AF53:AF54"/>
    <mergeCell ref="AN53:AN54"/>
    <mergeCell ref="AO53:AO54"/>
    <mergeCell ref="AP53:AP54"/>
    <mergeCell ref="AQ53:AQ54"/>
    <mergeCell ref="AP50:AP51"/>
    <mergeCell ref="AQ50:AQ51"/>
    <mergeCell ref="AR50:AR51"/>
    <mergeCell ref="AS50:AS51"/>
    <mergeCell ref="AT50:AT51"/>
    <mergeCell ref="AU50:AU51"/>
    <mergeCell ref="AV50:AV51"/>
    <mergeCell ref="AW50:AW51"/>
    <mergeCell ref="AX50:AX51"/>
    <mergeCell ref="AY50:AY51"/>
    <mergeCell ref="BA53:BA54"/>
    <mergeCell ref="BB53:BB54"/>
    <mergeCell ref="BC53:BC54"/>
    <mergeCell ref="BD53:BD54"/>
    <mergeCell ref="AR53:AR54"/>
    <mergeCell ref="AZ50:AZ51"/>
    <mergeCell ref="BA50:BA51"/>
    <mergeCell ref="BB50:BB51"/>
    <mergeCell ref="BC50:BC51"/>
    <mergeCell ref="BD50:BD51"/>
    <mergeCell ref="BE50:BE51"/>
    <mergeCell ref="BF50:BF51"/>
    <mergeCell ref="BG50:BG51"/>
    <mergeCell ref="A52:I52"/>
    <mergeCell ref="A53:A54"/>
    <mergeCell ref="B53:B54"/>
    <mergeCell ref="C53:C54"/>
    <mergeCell ref="D53:D54"/>
    <mergeCell ref="E53:E54"/>
    <mergeCell ref="F53:F54"/>
    <mergeCell ref="G53:G54"/>
    <mergeCell ref="H53:H54"/>
    <mergeCell ref="I53:I54"/>
    <mergeCell ref="R50:R51"/>
    <mergeCell ref="S50:S51"/>
    <mergeCell ref="T50:T51"/>
    <mergeCell ref="U50:U51"/>
    <mergeCell ref="V50:V51"/>
    <mergeCell ref="W50:W51"/>
    <mergeCell ref="X50:X51"/>
    <mergeCell ref="Y50:Y51"/>
    <mergeCell ref="Z50:Z51"/>
    <mergeCell ref="AA50:AA51"/>
    <mergeCell ref="AB50:AB51"/>
    <mergeCell ref="AC50:AC51"/>
    <mergeCell ref="AJ50:AJ51"/>
    <mergeCell ref="AK50:AK51"/>
    <mergeCell ref="A50:A51"/>
    <mergeCell ref="B50:B51"/>
    <mergeCell ref="C50:C51"/>
    <mergeCell ref="D50:D51"/>
    <mergeCell ref="E50:E51"/>
    <mergeCell ref="AN50:AN51"/>
    <mergeCell ref="AO50:AO51"/>
    <mergeCell ref="AD50:AD51"/>
    <mergeCell ref="AE50:AE51"/>
    <mergeCell ref="AF50:AF51"/>
    <mergeCell ref="AG50:AG51"/>
    <mergeCell ref="AH50:AH51"/>
    <mergeCell ref="AI50:AI51"/>
    <mergeCell ref="AI48:AI49"/>
    <mergeCell ref="X48:X49"/>
    <mergeCell ref="Y48:Y49"/>
    <mergeCell ref="Z48:Z49"/>
    <mergeCell ref="AA48:AA49"/>
    <mergeCell ref="AB48:AB49"/>
    <mergeCell ref="AC48:AC49"/>
    <mergeCell ref="AL50:AL51"/>
    <mergeCell ref="AM50:AM51"/>
    <mergeCell ref="AD48:AD49"/>
    <mergeCell ref="AE48:AE49"/>
    <mergeCell ref="AF48:AF49"/>
    <mergeCell ref="AG48:AG49"/>
    <mergeCell ref="AH48:AH49"/>
    <mergeCell ref="F50:F51"/>
    <mergeCell ref="G50:G51"/>
    <mergeCell ref="H50:H51"/>
    <mergeCell ref="I50:I51"/>
    <mergeCell ref="J50:J51"/>
    <mergeCell ref="N50:N51"/>
    <mergeCell ref="Q50:Q51"/>
    <mergeCell ref="BG48:BG49"/>
    <mergeCell ref="AV48:AV49"/>
    <mergeCell ref="AW48:AW49"/>
    <mergeCell ref="AX48:AX49"/>
    <mergeCell ref="AY48:AY49"/>
    <mergeCell ref="AZ48:AZ49"/>
    <mergeCell ref="BA48:BA49"/>
    <mergeCell ref="AP48:AP49"/>
    <mergeCell ref="AQ48:AQ49"/>
    <mergeCell ref="AY46:AY47"/>
    <mergeCell ref="AZ46:AZ47"/>
    <mergeCell ref="BA46:BA47"/>
    <mergeCell ref="BB46:BB47"/>
    <mergeCell ref="BC46:BC47"/>
    <mergeCell ref="AR46:AR47"/>
    <mergeCell ref="AS46:AS47"/>
    <mergeCell ref="AT46:AT47"/>
    <mergeCell ref="AU46:AU47"/>
    <mergeCell ref="AV46:AV47"/>
    <mergeCell ref="BD46:BD47"/>
    <mergeCell ref="BE46:BE47"/>
    <mergeCell ref="BF46:BF47"/>
    <mergeCell ref="BG46:BG47"/>
    <mergeCell ref="BB48:BB49"/>
    <mergeCell ref="BC48:BC49"/>
    <mergeCell ref="BD48:BD49"/>
    <mergeCell ref="BE48:BE49"/>
    <mergeCell ref="BF48:BF49"/>
    <mergeCell ref="AR48:AR49"/>
    <mergeCell ref="AS48:AS49"/>
    <mergeCell ref="AT48:AT49"/>
    <mergeCell ref="AU48:AU49"/>
    <mergeCell ref="A48:A49"/>
    <mergeCell ref="B48:B49"/>
    <mergeCell ref="C48:C49"/>
    <mergeCell ref="D48:D49"/>
    <mergeCell ref="E48:E49"/>
    <mergeCell ref="F48:F49"/>
    <mergeCell ref="U48:U49"/>
    <mergeCell ref="V48:V49"/>
    <mergeCell ref="W48:W49"/>
    <mergeCell ref="G48:G49"/>
    <mergeCell ref="H48:H49"/>
    <mergeCell ref="I48:I49"/>
    <mergeCell ref="J48:J49"/>
    <mergeCell ref="N48:N49"/>
    <mergeCell ref="Q48:Q49"/>
    <mergeCell ref="R48:R49"/>
    <mergeCell ref="AJ48:AJ49"/>
    <mergeCell ref="AK48:AK49"/>
    <mergeCell ref="AL48:AL49"/>
    <mergeCell ref="AM48:AM49"/>
    <mergeCell ref="AN48:AN49"/>
    <mergeCell ref="AO48:AO49"/>
    <mergeCell ref="S48:S49"/>
    <mergeCell ref="T48:T49"/>
    <mergeCell ref="Z46:Z47"/>
    <mergeCell ref="AA46:AA47"/>
    <mergeCell ref="AB46:AB47"/>
    <mergeCell ref="AC46:AC47"/>
    <mergeCell ref="AD46:AD47"/>
    <mergeCell ref="AE46:AE47"/>
    <mergeCell ref="AF46:AF47"/>
    <mergeCell ref="AG46:AG47"/>
    <mergeCell ref="AH46:AH47"/>
    <mergeCell ref="AI46:AI47"/>
    <mergeCell ref="AJ46:AJ47"/>
    <mergeCell ref="AK46:AK47"/>
    <mergeCell ref="AW43:AW44"/>
    <mergeCell ref="AX43:AX44"/>
    <mergeCell ref="AM46:AM47"/>
    <mergeCell ref="AN46:AN47"/>
    <mergeCell ref="AO46:AO47"/>
    <mergeCell ref="AP46:AP47"/>
    <mergeCell ref="AQ46:AQ47"/>
    <mergeCell ref="AX46:AX47"/>
    <mergeCell ref="AW46:AW47"/>
    <mergeCell ref="AG43:AG44"/>
    <mergeCell ref="AH43:AH44"/>
    <mergeCell ref="AI43:AI44"/>
    <mergeCell ref="AJ43:AJ44"/>
    <mergeCell ref="AK43:AK44"/>
    <mergeCell ref="AL43:AL44"/>
    <mergeCell ref="AM43:AM44"/>
    <mergeCell ref="AN43:AN44"/>
    <mergeCell ref="AL46:AL47"/>
    <mergeCell ref="BA43:BA44"/>
    <mergeCell ref="BB43:BB44"/>
    <mergeCell ref="BC43:BC44"/>
    <mergeCell ref="BD43:BD44"/>
    <mergeCell ref="BE43:BE44"/>
    <mergeCell ref="BF43:BF44"/>
    <mergeCell ref="BG43:BG44"/>
    <mergeCell ref="A45:I45"/>
    <mergeCell ref="A46:A47"/>
    <mergeCell ref="B46:B47"/>
    <mergeCell ref="C46:C47"/>
    <mergeCell ref="D46:D47"/>
    <mergeCell ref="E46:E47"/>
    <mergeCell ref="F46:F47"/>
    <mergeCell ref="G46:G47"/>
    <mergeCell ref="H46:H47"/>
    <mergeCell ref="I46:I47"/>
    <mergeCell ref="J46:J47"/>
    <mergeCell ref="N46:N47"/>
    <mergeCell ref="Q46:Q47"/>
    <mergeCell ref="R46:R47"/>
    <mergeCell ref="S46:S47"/>
    <mergeCell ref="T46:T47"/>
    <mergeCell ref="U46:U47"/>
    <mergeCell ref="V46:V47"/>
    <mergeCell ref="W46:W47"/>
    <mergeCell ref="X46:X47"/>
    <mergeCell ref="Y46:Y47"/>
    <mergeCell ref="AC43:AC44"/>
    <mergeCell ref="AD43:AD44"/>
    <mergeCell ref="AE43:AE44"/>
    <mergeCell ref="AF43:AF44"/>
    <mergeCell ref="AC41:AC42"/>
    <mergeCell ref="AD41:AD42"/>
    <mergeCell ref="AX41:AX42"/>
    <mergeCell ref="AY41:AY42"/>
    <mergeCell ref="AZ41:AZ42"/>
    <mergeCell ref="AY43:AY44"/>
    <mergeCell ref="AZ43:AZ44"/>
    <mergeCell ref="AO43:AO44"/>
    <mergeCell ref="AP43:AP44"/>
    <mergeCell ref="AQ43:AQ44"/>
    <mergeCell ref="AR43:AR44"/>
    <mergeCell ref="AS43:AS44"/>
    <mergeCell ref="AT43:AT44"/>
    <mergeCell ref="AU43:AU44"/>
    <mergeCell ref="AV43:AV44"/>
    <mergeCell ref="F43:F44"/>
    <mergeCell ref="G43:G44"/>
    <mergeCell ref="H43:H44"/>
    <mergeCell ref="I43:I44"/>
    <mergeCell ref="J43:J44"/>
    <mergeCell ref="N43:N44"/>
    <mergeCell ref="Q43:Q44"/>
    <mergeCell ref="R43:R44"/>
    <mergeCell ref="S43:S44"/>
    <mergeCell ref="T43:T44"/>
    <mergeCell ref="U43:U44"/>
    <mergeCell ref="V43:V44"/>
    <mergeCell ref="Y43:Y44"/>
    <mergeCell ref="Z43:Z44"/>
    <mergeCell ref="AA43:AA44"/>
    <mergeCell ref="AB43:AB44"/>
    <mergeCell ref="AR41:AR42"/>
    <mergeCell ref="BF41:BF42"/>
    <mergeCell ref="BG41:BG42"/>
    <mergeCell ref="A43:A44"/>
    <mergeCell ref="B43:B44"/>
    <mergeCell ref="C43:C44"/>
    <mergeCell ref="D43:D44"/>
    <mergeCell ref="E43:E44"/>
    <mergeCell ref="H41:H42"/>
    <mergeCell ref="I41:I42"/>
    <mergeCell ref="J41:J42"/>
    <mergeCell ref="N41:N42"/>
    <mergeCell ref="Q41:Q42"/>
    <mergeCell ref="R41:R42"/>
    <mergeCell ref="S41:S42"/>
    <mergeCell ref="T41:T42"/>
    <mergeCell ref="U41:U42"/>
    <mergeCell ref="V41:V42"/>
    <mergeCell ref="W41:W42"/>
    <mergeCell ref="AE41:AE42"/>
    <mergeCell ref="AF41:AF42"/>
    <mergeCell ref="AG41:AG42"/>
    <mergeCell ref="AH41:AH42"/>
    <mergeCell ref="W43:W44"/>
    <mergeCell ref="X43:X44"/>
    <mergeCell ref="AI41:AI42"/>
    <mergeCell ref="AJ41:AJ42"/>
    <mergeCell ref="AK41:AK42"/>
    <mergeCell ref="X41:X42"/>
    <mergeCell ref="Y41:Y42"/>
    <mergeCell ref="Z41:Z42"/>
    <mergeCell ref="AA41:AA42"/>
    <mergeCell ref="AB41:AB42"/>
    <mergeCell ref="AS41:AS42"/>
    <mergeCell ref="AT41:AT42"/>
    <mergeCell ref="AU41:AU42"/>
    <mergeCell ref="AV41:AV42"/>
    <mergeCell ref="AW41:AW42"/>
    <mergeCell ref="AL41:AL42"/>
    <mergeCell ref="AM41:AM42"/>
    <mergeCell ref="AN41:AN42"/>
    <mergeCell ref="AO41:AO42"/>
    <mergeCell ref="AP41:AP42"/>
    <mergeCell ref="AQ41:AQ42"/>
    <mergeCell ref="BA41:BA42"/>
    <mergeCell ref="BB41:BB42"/>
    <mergeCell ref="BC41:BC42"/>
    <mergeCell ref="BD41:BD42"/>
    <mergeCell ref="BE41:BE42"/>
    <mergeCell ref="AZ39:AZ40"/>
    <mergeCell ref="BA39:BA40"/>
    <mergeCell ref="BB39:BB40"/>
    <mergeCell ref="BC39:BC40"/>
    <mergeCell ref="BD39:BD40"/>
    <mergeCell ref="BE39:BE40"/>
    <mergeCell ref="BF39:BF40"/>
    <mergeCell ref="BG39:BG40"/>
    <mergeCell ref="A41:A42"/>
    <mergeCell ref="B41:B42"/>
    <mergeCell ref="C41:C42"/>
    <mergeCell ref="D41:D42"/>
    <mergeCell ref="E41:E42"/>
    <mergeCell ref="F41:F42"/>
    <mergeCell ref="G41:G42"/>
    <mergeCell ref="J39:J40"/>
    <mergeCell ref="N39:N40"/>
    <mergeCell ref="Q39:Q40"/>
    <mergeCell ref="R39:R40"/>
    <mergeCell ref="S39:S40"/>
    <mergeCell ref="T39:T40"/>
    <mergeCell ref="U39:U40"/>
    <mergeCell ref="V39:V40"/>
    <mergeCell ref="W39:W40"/>
    <mergeCell ref="X39:X40"/>
    <mergeCell ref="Y39:Y40"/>
    <mergeCell ref="Z39:Z40"/>
    <mergeCell ref="AA39:AA40"/>
    <mergeCell ref="AB39:AB40"/>
    <mergeCell ref="AC39:AC40"/>
    <mergeCell ref="AG39:AG40"/>
    <mergeCell ref="AM39:AM40"/>
    <mergeCell ref="A39:A40"/>
    <mergeCell ref="B39:B40"/>
    <mergeCell ref="C39:C40"/>
    <mergeCell ref="D39:D40"/>
    <mergeCell ref="E39:E40"/>
    <mergeCell ref="F39:F40"/>
    <mergeCell ref="AU37:AU38"/>
    <mergeCell ref="AV37:AV38"/>
    <mergeCell ref="AX39:AX40"/>
    <mergeCell ref="AH39:AH40"/>
    <mergeCell ref="AI39:AI40"/>
    <mergeCell ref="AJ39:AJ40"/>
    <mergeCell ref="AX37:AX38"/>
    <mergeCell ref="AM37:AM38"/>
    <mergeCell ref="AN37:AN38"/>
    <mergeCell ref="AE37:AE38"/>
    <mergeCell ref="AF37:AF38"/>
    <mergeCell ref="AG37:AG38"/>
    <mergeCell ref="AH37:AH38"/>
    <mergeCell ref="AY39:AY40"/>
    <mergeCell ref="AN39:AN40"/>
    <mergeCell ref="AO39:AO40"/>
    <mergeCell ref="AP39:AP40"/>
    <mergeCell ref="AQ39:AQ40"/>
    <mergeCell ref="AR39:AR40"/>
    <mergeCell ref="AS39:AS40"/>
    <mergeCell ref="AT39:AT40"/>
    <mergeCell ref="AU39:AU40"/>
    <mergeCell ref="AV39:AV40"/>
    <mergeCell ref="AW39:AW40"/>
    <mergeCell ref="AB37:AB38"/>
    <mergeCell ref="AD39:AD40"/>
    <mergeCell ref="AD37:AD38"/>
    <mergeCell ref="AE39:AE40"/>
    <mergeCell ref="AF39:AF40"/>
    <mergeCell ref="AI37:AI38"/>
    <mergeCell ref="AJ37:AJ38"/>
    <mergeCell ref="AK37:AK38"/>
    <mergeCell ref="AL37:AL38"/>
    <mergeCell ref="AK39:AK40"/>
    <mergeCell ref="AL39:AL40"/>
    <mergeCell ref="AO37:AO38"/>
    <mergeCell ref="AP37:AP38"/>
    <mergeCell ref="AQ37:AQ38"/>
    <mergeCell ref="AR37:AR38"/>
    <mergeCell ref="AS37:AS38"/>
    <mergeCell ref="AT37:AT38"/>
    <mergeCell ref="G39:G40"/>
    <mergeCell ref="H39:H40"/>
    <mergeCell ref="I39:I40"/>
    <mergeCell ref="Q37:Q38"/>
    <mergeCell ref="R37:R38"/>
    <mergeCell ref="S37:S38"/>
    <mergeCell ref="T37:T38"/>
    <mergeCell ref="U37:U38"/>
    <mergeCell ref="V37:V38"/>
    <mergeCell ref="W37:W38"/>
    <mergeCell ref="X37:X38"/>
    <mergeCell ref="AW37:AW38"/>
    <mergeCell ref="AW35:AW36"/>
    <mergeCell ref="AX35:AX36"/>
    <mergeCell ref="AY35:AY36"/>
    <mergeCell ref="AZ35:AZ36"/>
    <mergeCell ref="BA35:BA36"/>
    <mergeCell ref="AY37:AY38"/>
    <mergeCell ref="AZ37:AZ38"/>
    <mergeCell ref="BA37:BA38"/>
    <mergeCell ref="AC37:AC38"/>
    <mergeCell ref="AC35:AC36"/>
    <mergeCell ref="AD35:AD36"/>
    <mergeCell ref="AE35:AE36"/>
    <mergeCell ref="AF35:AF36"/>
    <mergeCell ref="AG35:AG36"/>
    <mergeCell ref="AH35:AH36"/>
    <mergeCell ref="AI35:AI36"/>
    <mergeCell ref="AJ35:AJ36"/>
    <mergeCell ref="Y37:Y38"/>
    <mergeCell ref="Z37:Z38"/>
    <mergeCell ref="AA37:AA38"/>
    <mergeCell ref="BB37:BB38"/>
    <mergeCell ref="BB35:BB36"/>
    <mergeCell ref="BC35:BC36"/>
    <mergeCell ref="BC37:BC38"/>
    <mergeCell ref="BD37:BD38"/>
    <mergeCell ref="BE37:BE38"/>
    <mergeCell ref="BF37:BF38"/>
    <mergeCell ref="BG37:BG38"/>
    <mergeCell ref="BD35:BD36"/>
    <mergeCell ref="BE35:BE36"/>
    <mergeCell ref="BF35:BF36"/>
    <mergeCell ref="BG35:BG36"/>
    <mergeCell ref="A37:A38"/>
    <mergeCell ref="B37:B38"/>
    <mergeCell ref="C37:C38"/>
    <mergeCell ref="D37:D38"/>
    <mergeCell ref="E37:E38"/>
    <mergeCell ref="F37:F38"/>
    <mergeCell ref="G37:G38"/>
    <mergeCell ref="H37:H38"/>
    <mergeCell ref="I37:I38"/>
    <mergeCell ref="J37:J38"/>
    <mergeCell ref="N37:N38"/>
    <mergeCell ref="S35:S36"/>
    <mergeCell ref="T35:T36"/>
    <mergeCell ref="U35:U36"/>
    <mergeCell ref="V35:V36"/>
    <mergeCell ref="W35:W36"/>
    <mergeCell ref="X35:X36"/>
    <mergeCell ref="Y35:Y36"/>
    <mergeCell ref="Z35:Z36"/>
    <mergeCell ref="AA35:AA36"/>
    <mergeCell ref="AO35:AO36"/>
    <mergeCell ref="AP35:AP36"/>
    <mergeCell ref="AS33:AS34"/>
    <mergeCell ref="AT33:AT34"/>
    <mergeCell ref="AV35:AV36"/>
    <mergeCell ref="AV33:AV34"/>
    <mergeCell ref="AW33:AW34"/>
    <mergeCell ref="AX33:AX34"/>
    <mergeCell ref="AY33:AY34"/>
    <mergeCell ref="AZ33:AZ34"/>
    <mergeCell ref="AL33:AL34"/>
    <mergeCell ref="AK35:AK36"/>
    <mergeCell ref="AL35:AL36"/>
    <mergeCell ref="AM35:AM36"/>
    <mergeCell ref="AN35:AN36"/>
    <mergeCell ref="AQ35:AQ36"/>
    <mergeCell ref="AR35:AR36"/>
    <mergeCell ref="AS35:AS36"/>
    <mergeCell ref="AT35:AT36"/>
    <mergeCell ref="AU35:AU36"/>
    <mergeCell ref="BA33:BA34"/>
    <mergeCell ref="BB33:BB34"/>
    <mergeCell ref="BC33:BC34"/>
    <mergeCell ref="BD33:BD34"/>
    <mergeCell ref="BE33:BE34"/>
    <mergeCell ref="BF33:BF34"/>
    <mergeCell ref="BG33:BG34"/>
    <mergeCell ref="A35:A36"/>
    <mergeCell ref="B35:B36"/>
    <mergeCell ref="C35:C36"/>
    <mergeCell ref="D35:D36"/>
    <mergeCell ref="E35:E36"/>
    <mergeCell ref="F35:F36"/>
    <mergeCell ref="G35:G36"/>
    <mergeCell ref="H35:H36"/>
    <mergeCell ref="I35:I36"/>
    <mergeCell ref="J35:J36"/>
    <mergeCell ref="N35:N36"/>
    <mergeCell ref="Q35:Q36"/>
    <mergeCell ref="R35:R36"/>
    <mergeCell ref="U33:U34"/>
    <mergeCell ref="V33:V34"/>
    <mergeCell ref="W33:W34"/>
    <mergeCell ref="X33:X34"/>
    <mergeCell ref="Y33:Y34"/>
    <mergeCell ref="Z33:Z34"/>
    <mergeCell ref="AB35:AB36"/>
    <mergeCell ref="AG33:AG34"/>
    <mergeCell ref="AH33:AH34"/>
    <mergeCell ref="AI33:AI34"/>
    <mergeCell ref="AJ33:AJ34"/>
    <mergeCell ref="AK33:AK34"/>
    <mergeCell ref="AB31:AB32"/>
    <mergeCell ref="AC31:AC32"/>
    <mergeCell ref="AD31:AD32"/>
    <mergeCell ref="AE31:AE32"/>
    <mergeCell ref="AF31:AF32"/>
    <mergeCell ref="AG31:AG32"/>
    <mergeCell ref="AH31:AH32"/>
    <mergeCell ref="AS31:AS32"/>
    <mergeCell ref="AT31:AT32"/>
    <mergeCell ref="AI31:AI32"/>
    <mergeCell ref="AJ31:AJ32"/>
    <mergeCell ref="AK31:AK32"/>
    <mergeCell ref="AL31:AL32"/>
    <mergeCell ref="AM31:AM32"/>
    <mergeCell ref="AN31:AN32"/>
    <mergeCell ref="AU33:AU34"/>
    <mergeCell ref="AP31:AP32"/>
    <mergeCell ref="AM33:AM34"/>
    <mergeCell ref="AN33:AN34"/>
    <mergeCell ref="AO33:AO34"/>
    <mergeCell ref="AP33:AP34"/>
    <mergeCell ref="BG31:BG32"/>
    <mergeCell ref="A33:A34"/>
    <mergeCell ref="B33:B34"/>
    <mergeCell ref="C33:C34"/>
    <mergeCell ref="D33:D34"/>
    <mergeCell ref="E33:E34"/>
    <mergeCell ref="F33:F34"/>
    <mergeCell ref="G33:G34"/>
    <mergeCell ref="H33:H34"/>
    <mergeCell ref="I33:I34"/>
    <mergeCell ref="J33:J34"/>
    <mergeCell ref="N33:N34"/>
    <mergeCell ref="Q33:Q34"/>
    <mergeCell ref="R33:R34"/>
    <mergeCell ref="S33:S34"/>
    <mergeCell ref="T33:T34"/>
    <mergeCell ref="W31:W32"/>
    <mergeCell ref="X31:X32"/>
    <mergeCell ref="Y31:Y32"/>
    <mergeCell ref="Z31:Z32"/>
    <mergeCell ref="AA31:AA32"/>
    <mergeCell ref="AA33:AA34"/>
    <mergeCell ref="AB33:AB34"/>
    <mergeCell ref="AC33:AC34"/>
    <mergeCell ref="AD33:AD34"/>
    <mergeCell ref="AE33:AE34"/>
    <mergeCell ref="AF33:AF34"/>
    <mergeCell ref="AQ31:AQ32"/>
    <mergeCell ref="AR31:AR32"/>
    <mergeCell ref="AQ33:AQ34"/>
    <mergeCell ref="AR33:AR34"/>
    <mergeCell ref="AU31:AU32"/>
    <mergeCell ref="AW29:AW30"/>
    <mergeCell ref="AX29:AX30"/>
    <mergeCell ref="AY29:AY30"/>
    <mergeCell ref="AZ29:AZ30"/>
    <mergeCell ref="BA29:BA30"/>
    <mergeCell ref="BB29:BB30"/>
    <mergeCell ref="AV31:AV32"/>
    <mergeCell ref="AW31:AW32"/>
    <mergeCell ref="AX31:AX32"/>
    <mergeCell ref="AY31:AY32"/>
    <mergeCell ref="AZ31:AZ32"/>
    <mergeCell ref="BA31:BA32"/>
    <mergeCell ref="BB31:BB32"/>
    <mergeCell ref="BC31:BC32"/>
    <mergeCell ref="BD31:BD32"/>
    <mergeCell ref="BE31:BE32"/>
    <mergeCell ref="BF31:BF32"/>
    <mergeCell ref="H29:H30"/>
    <mergeCell ref="I29:I30"/>
    <mergeCell ref="J29:J30"/>
    <mergeCell ref="N29:N30"/>
    <mergeCell ref="Q29:Q30"/>
    <mergeCell ref="R29:R30"/>
    <mergeCell ref="S29:S30"/>
    <mergeCell ref="T29:T30"/>
    <mergeCell ref="U29:U30"/>
    <mergeCell ref="V29:V30"/>
    <mergeCell ref="W29:W30"/>
    <mergeCell ref="X29:X30"/>
    <mergeCell ref="BC29:BC30"/>
    <mergeCell ref="BD29:BD30"/>
    <mergeCell ref="T31:T32"/>
    <mergeCell ref="U31:U32"/>
    <mergeCell ref="V31:V32"/>
    <mergeCell ref="AF29:AF30"/>
    <mergeCell ref="AG29:AG30"/>
    <mergeCell ref="AH29:AH30"/>
    <mergeCell ref="AI29:AI30"/>
    <mergeCell ref="AJ29:AJ30"/>
    <mergeCell ref="Y29:Y30"/>
    <mergeCell ref="Z29:Z30"/>
    <mergeCell ref="AA29:AA30"/>
    <mergeCell ref="AK29:AK30"/>
    <mergeCell ref="AL29:AL30"/>
    <mergeCell ref="AM29:AM30"/>
    <mergeCell ref="AN29:AN30"/>
    <mergeCell ref="AR29:AR30"/>
    <mergeCell ref="AS29:AS30"/>
    <mergeCell ref="R31:R32"/>
    <mergeCell ref="A31:A32"/>
    <mergeCell ref="B31:B32"/>
    <mergeCell ref="C31:C32"/>
    <mergeCell ref="D31:D32"/>
    <mergeCell ref="E31:E32"/>
    <mergeCell ref="AE29:AE30"/>
    <mergeCell ref="AM27:AM28"/>
    <mergeCell ref="AN27:AN28"/>
    <mergeCell ref="AO27:AO28"/>
    <mergeCell ref="AP27:AP28"/>
    <mergeCell ref="AQ27:AQ28"/>
    <mergeCell ref="AR27:AR28"/>
    <mergeCell ref="AS27:AS28"/>
    <mergeCell ref="Z27:Z28"/>
    <mergeCell ref="AA27:AA28"/>
    <mergeCell ref="AB27:AB28"/>
    <mergeCell ref="AC27:AC28"/>
    <mergeCell ref="AD27:AD28"/>
    <mergeCell ref="AE27:AE28"/>
    <mergeCell ref="AF27:AF28"/>
    <mergeCell ref="AB29:AB30"/>
    <mergeCell ref="AC29:AC30"/>
    <mergeCell ref="AD29:AD30"/>
    <mergeCell ref="F31:F32"/>
    <mergeCell ref="G31:G32"/>
    <mergeCell ref="H31:H32"/>
    <mergeCell ref="I31:I32"/>
    <mergeCell ref="J31:J32"/>
    <mergeCell ref="N31:N32"/>
    <mergeCell ref="Q31:Q32"/>
    <mergeCell ref="AQ29:AQ30"/>
    <mergeCell ref="AO31:AO32"/>
    <mergeCell ref="S31:S32"/>
    <mergeCell ref="AZ27:AZ28"/>
    <mergeCell ref="BA27:BA28"/>
    <mergeCell ref="BB27:BB28"/>
    <mergeCell ref="BC27:BC28"/>
    <mergeCell ref="BD27:BD28"/>
    <mergeCell ref="BE27:BE28"/>
    <mergeCell ref="BF27:BF28"/>
    <mergeCell ref="BG27:BG28"/>
    <mergeCell ref="A29:A30"/>
    <mergeCell ref="B29:B30"/>
    <mergeCell ref="C29:C30"/>
    <mergeCell ref="D29:D30"/>
    <mergeCell ref="E29:E30"/>
    <mergeCell ref="F29:F30"/>
    <mergeCell ref="G29:G30"/>
    <mergeCell ref="J27:J28"/>
    <mergeCell ref="N27:N28"/>
    <mergeCell ref="Q27:Q28"/>
    <mergeCell ref="R27:R28"/>
    <mergeCell ref="S27:S28"/>
    <mergeCell ref="T27:T28"/>
    <mergeCell ref="U27:U28"/>
    <mergeCell ref="V27:V28"/>
    <mergeCell ref="W27:W28"/>
    <mergeCell ref="X27:X28"/>
    <mergeCell ref="Y27:Y28"/>
    <mergeCell ref="AG27:AG28"/>
    <mergeCell ref="AH27:AH28"/>
    <mergeCell ref="AI27:AI28"/>
    <mergeCell ref="AJ27:AJ28"/>
    <mergeCell ref="BF29:BF30"/>
    <mergeCell ref="BG29:BG30"/>
    <mergeCell ref="AK27:AK28"/>
    <mergeCell ref="AL27:AL28"/>
    <mergeCell ref="AO25:AO26"/>
    <mergeCell ref="AP25:AP26"/>
    <mergeCell ref="AQ25:AQ26"/>
    <mergeCell ref="AR25:AR26"/>
    <mergeCell ref="AS25:AS26"/>
    <mergeCell ref="AT25:AT26"/>
    <mergeCell ref="AU25:AU26"/>
    <mergeCell ref="AV25:AV26"/>
    <mergeCell ref="AW25:AW26"/>
    <mergeCell ref="AX25:AX26"/>
    <mergeCell ref="AY25:AY26"/>
    <mergeCell ref="AT27:AT28"/>
    <mergeCell ref="AU27:AU28"/>
    <mergeCell ref="AV27:AV28"/>
    <mergeCell ref="AW27:AW28"/>
    <mergeCell ref="AX27:AX28"/>
    <mergeCell ref="AY27:AY28"/>
    <mergeCell ref="BB25:BB26"/>
    <mergeCell ref="BC25:BC26"/>
    <mergeCell ref="BD25:BD26"/>
    <mergeCell ref="BE25:BE26"/>
    <mergeCell ref="BF25:BF26"/>
    <mergeCell ref="BG25:BG26"/>
    <mergeCell ref="AO29:AO30"/>
    <mergeCell ref="AP29:AP30"/>
    <mergeCell ref="BE29:BE30"/>
    <mergeCell ref="AT29:AT30"/>
    <mergeCell ref="AU29:AU30"/>
    <mergeCell ref="AV29:AV30"/>
    <mergeCell ref="A27:A28"/>
    <mergeCell ref="B27:B28"/>
    <mergeCell ref="C27:C28"/>
    <mergeCell ref="D27:D28"/>
    <mergeCell ref="E27:E28"/>
    <mergeCell ref="F27:F28"/>
    <mergeCell ref="G27:G28"/>
    <mergeCell ref="H27:H28"/>
    <mergeCell ref="I27:I28"/>
    <mergeCell ref="Q25:Q26"/>
    <mergeCell ref="R25:R26"/>
    <mergeCell ref="S25:S26"/>
    <mergeCell ref="T25:T26"/>
    <mergeCell ref="U25:U26"/>
    <mergeCell ref="V25:V26"/>
    <mergeCell ref="W25:W26"/>
    <mergeCell ref="X25:X26"/>
    <mergeCell ref="BC23:BC24"/>
    <mergeCell ref="BD23:BD24"/>
    <mergeCell ref="BE23:BE24"/>
    <mergeCell ref="BF23:BF24"/>
    <mergeCell ref="Y25:Y26"/>
    <mergeCell ref="Z25:Z26"/>
    <mergeCell ref="AA25:AA26"/>
    <mergeCell ref="AB25:AB26"/>
    <mergeCell ref="AC25:AC26"/>
    <mergeCell ref="AD25:AD26"/>
    <mergeCell ref="AE25:AE26"/>
    <mergeCell ref="AI25:AI26"/>
    <mergeCell ref="AJ25:AJ26"/>
    <mergeCell ref="AH25:AH26"/>
    <mergeCell ref="AK23:AK24"/>
    <mergeCell ref="AL23:AL24"/>
    <mergeCell ref="AM23:AM24"/>
    <mergeCell ref="AN23:AN24"/>
    <mergeCell ref="AM25:AM26"/>
    <mergeCell ref="AN25:AN26"/>
    <mergeCell ref="AQ23:AQ24"/>
    <mergeCell ref="AI23:AI24"/>
    <mergeCell ref="AF25:AF26"/>
    <mergeCell ref="AG25:AG26"/>
    <mergeCell ref="AO23:AO24"/>
    <mergeCell ref="AP23:AP24"/>
    <mergeCell ref="AE23:AE24"/>
    <mergeCell ref="AF23:AF24"/>
    <mergeCell ref="AG23:AG24"/>
    <mergeCell ref="AH23:AH24"/>
    <mergeCell ref="AR23:AR24"/>
    <mergeCell ref="AS23:AS24"/>
    <mergeCell ref="AT23:AT24"/>
    <mergeCell ref="AU23:AU24"/>
    <mergeCell ref="AV23:AV24"/>
    <mergeCell ref="AW23:AW24"/>
    <mergeCell ref="AX23:AX24"/>
    <mergeCell ref="AZ25:AZ26"/>
    <mergeCell ref="BA25:BA26"/>
    <mergeCell ref="AK25:AK26"/>
    <mergeCell ref="AL25:AL26"/>
    <mergeCell ref="BA23:BA24"/>
    <mergeCell ref="A25:A26"/>
    <mergeCell ref="B25:B26"/>
    <mergeCell ref="C25:C26"/>
    <mergeCell ref="D25:D26"/>
    <mergeCell ref="E25:E26"/>
    <mergeCell ref="F25:F26"/>
    <mergeCell ref="G25:G26"/>
    <mergeCell ref="H25:H26"/>
    <mergeCell ref="I25:I26"/>
    <mergeCell ref="J25:J26"/>
    <mergeCell ref="N25:N26"/>
    <mergeCell ref="S23:S24"/>
    <mergeCell ref="T23:T24"/>
    <mergeCell ref="U23:U24"/>
    <mergeCell ref="V23:V24"/>
    <mergeCell ref="W23:W24"/>
    <mergeCell ref="X23:X24"/>
    <mergeCell ref="AY23:AY24"/>
    <mergeCell ref="AZ23:AZ24"/>
    <mergeCell ref="BB21:BB22"/>
    <mergeCell ref="BC21:BC22"/>
    <mergeCell ref="BD21:BD22"/>
    <mergeCell ref="BE21:BE22"/>
    <mergeCell ref="BF21:BF22"/>
    <mergeCell ref="BG21:BG22"/>
    <mergeCell ref="A23:A24"/>
    <mergeCell ref="B23:B24"/>
    <mergeCell ref="C23:C24"/>
    <mergeCell ref="D23:D24"/>
    <mergeCell ref="E23:E24"/>
    <mergeCell ref="F23:F24"/>
    <mergeCell ref="G23:G24"/>
    <mergeCell ref="H23:H24"/>
    <mergeCell ref="I23:I24"/>
    <mergeCell ref="J23:J24"/>
    <mergeCell ref="N23:N24"/>
    <mergeCell ref="Q23:Q24"/>
    <mergeCell ref="R23:R24"/>
    <mergeCell ref="U21:U22"/>
    <mergeCell ref="V21:V22"/>
    <mergeCell ref="W21:W22"/>
    <mergeCell ref="BG23:BG24"/>
    <mergeCell ref="AJ23:AJ24"/>
    <mergeCell ref="Y23:Y24"/>
    <mergeCell ref="Z23:Z24"/>
    <mergeCell ref="AA23:AA24"/>
    <mergeCell ref="AB23:AB24"/>
    <mergeCell ref="AC23:AC24"/>
    <mergeCell ref="BB23:BB24"/>
    <mergeCell ref="X21:X22"/>
    <mergeCell ref="Y21:Y22"/>
    <mergeCell ref="Z21:Z22"/>
    <mergeCell ref="AA21:AA22"/>
    <mergeCell ref="AB21:AB22"/>
    <mergeCell ref="AC21:AC22"/>
    <mergeCell ref="AD21:AD22"/>
    <mergeCell ref="AD23:AD24"/>
    <mergeCell ref="AN21:AN22"/>
    <mergeCell ref="AO21:AO22"/>
    <mergeCell ref="AQ21:AQ22"/>
    <mergeCell ref="AR21:AR22"/>
    <mergeCell ref="AG21:AG22"/>
    <mergeCell ref="AH21:AH22"/>
    <mergeCell ref="AI21:AI22"/>
    <mergeCell ref="AJ21:AJ22"/>
    <mergeCell ref="AK21:AK22"/>
    <mergeCell ref="AL21:AL22"/>
    <mergeCell ref="AM21:AM22"/>
    <mergeCell ref="AE21:AE22"/>
    <mergeCell ref="AF21:AF22"/>
    <mergeCell ref="AU19:AU20"/>
    <mergeCell ref="AV19:AV20"/>
    <mergeCell ref="AW19:AW20"/>
    <mergeCell ref="AX19:AX20"/>
    <mergeCell ref="AY19:AY20"/>
    <mergeCell ref="AZ19:AZ20"/>
    <mergeCell ref="BA19:BA20"/>
    <mergeCell ref="AK19:AK20"/>
    <mergeCell ref="AL19:AL20"/>
    <mergeCell ref="AM19:AM20"/>
    <mergeCell ref="AN19:AN20"/>
    <mergeCell ref="AO19:AO20"/>
    <mergeCell ref="AP19:AP20"/>
    <mergeCell ref="AQ19:AQ20"/>
    <mergeCell ref="AY21:AY22"/>
    <mergeCell ref="AZ21:AZ22"/>
    <mergeCell ref="BA21:BA22"/>
    <mergeCell ref="AP21:AP22"/>
    <mergeCell ref="AS21:AS22"/>
    <mergeCell ref="AT21:AT22"/>
    <mergeCell ref="AU21:AU22"/>
    <mergeCell ref="AV21:AV22"/>
    <mergeCell ref="AW21:AW22"/>
    <mergeCell ref="AX21:AX22"/>
    <mergeCell ref="BB19:BB20"/>
    <mergeCell ref="BC19:BC20"/>
    <mergeCell ref="BD19:BD20"/>
    <mergeCell ref="BE19:BE20"/>
    <mergeCell ref="BF19:BF20"/>
    <mergeCell ref="BG19:BG20"/>
    <mergeCell ref="A21:A22"/>
    <mergeCell ref="B21:B22"/>
    <mergeCell ref="C21:C22"/>
    <mergeCell ref="D21:D22"/>
    <mergeCell ref="E21:E22"/>
    <mergeCell ref="F21:F22"/>
    <mergeCell ref="G21:G22"/>
    <mergeCell ref="H21:H22"/>
    <mergeCell ref="I21:I22"/>
    <mergeCell ref="J21:J22"/>
    <mergeCell ref="N21:N22"/>
    <mergeCell ref="Q21:Q22"/>
    <mergeCell ref="R21:R22"/>
    <mergeCell ref="S21:S22"/>
    <mergeCell ref="T21:T22"/>
    <mergeCell ref="AG19:AG20"/>
    <mergeCell ref="AH19:AH20"/>
    <mergeCell ref="W19:W20"/>
    <mergeCell ref="X19:X20"/>
    <mergeCell ref="Y19:Y20"/>
    <mergeCell ref="Z19:Z20"/>
    <mergeCell ref="AA19:AA20"/>
    <mergeCell ref="AB19:AB20"/>
    <mergeCell ref="AT19:AT20"/>
    <mergeCell ref="AI19:AI20"/>
    <mergeCell ref="AJ19:AJ20"/>
    <mergeCell ref="A19:A20"/>
    <mergeCell ref="B19:B20"/>
    <mergeCell ref="C19:C20"/>
    <mergeCell ref="D19:D20"/>
    <mergeCell ref="E19:E20"/>
    <mergeCell ref="AS19:AS20"/>
    <mergeCell ref="AC19:AC20"/>
    <mergeCell ref="AD19:AD20"/>
    <mergeCell ref="AE19:AE20"/>
    <mergeCell ref="AF19:AF20"/>
    <mergeCell ref="F19:F20"/>
    <mergeCell ref="G19:G20"/>
    <mergeCell ref="H19:H20"/>
    <mergeCell ref="I19:I20"/>
    <mergeCell ref="J19:J20"/>
    <mergeCell ref="N19:N20"/>
    <mergeCell ref="AO17:AO18"/>
    <mergeCell ref="AP17:AP18"/>
    <mergeCell ref="AQ17:AQ18"/>
    <mergeCell ref="AR17:AR18"/>
    <mergeCell ref="Q19:Q20"/>
    <mergeCell ref="R19:R20"/>
    <mergeCell ref="S19:S20"/>
    <mergeCell ref="T19:T20"/>
    <mergeCell ref="U19:U20"/>
    <mergeCell ref="V19:V20"/>
    <mergeCell ref="AS17:AS18"/>
    <mergeCell ref="AR19:AR20"/>
    <mergeCell ref="AX17:AX18"/>
    <mergeCell ref="BE17:BE18"/>
    <mergeCell ref="BF17:BF18"/>
    <mergeCell ref="BG17:BG18"/>
    <mergeCell ref="AY17:AY18"/>
    <mergeCell ref="AZ17:AZ18"/>
    <mergeCell ref="BA17:BA18"/>
    <mergeCell ref="BB17:BB18"/>
    <mergeCell ref="BC17:BC18"/>
    <mergeCell ref="BD17:BD18"/>
    <mergeCell ref="U17:U18"/>
    <mergeCell ref="V17:V18"/>
    <mergeCell ref="W17:W18"/>
    <mergeCell ref="X17:X18"/>
    <mergeCell ref="Y17:Y18"/>
    <mergeCell ref="Z17:Z18"/>
    <mergeCell ref="AA17:AA18"/>
    <mergeCell ref="AB17:AB18"/>
    <mergeCell ref="AC17:AC18"/>
    <mergeCell ref="AD17:AD18"/>
    <mergeCell ref="AE17:AE18"/>
    <mergeCell ref="AF17:AF18"/>
    <mergeCell ref="AQ15:AQ16"/>
    <mergeCell ref="AR15:AR16"/>
    <mergeCell ref="AG17:AG18"/>
    <mergeCell ref="AH17:AH18"/>
    <mergeCell ref="AI17:AI18"/>
    <mergeCell ref="AJ17:AJ18"/>
    <mergeCell ref="AK17:AK18"/>
    <mergeCell ref="AL17:AL18"/>
    <mergeCell ref="AM17:AM18"/>
    <mergeCell ref="AN17:AN18"/>
    <mergeCell ref="AU15:AU16"/>
    <mergeCell ref="AV15:AV16"/>
    <mergeCell ref="AW15:AW16"/>
    <mergeCell ref="AX15:AX16"/>
    <mergeCell ref="AY15:AY16"/>
    <mergeCell ref="AZ15:AZ16"/>
    <mergeCell ref="BA15:BA16"/>
    <mergeCell ref="AH15:AH16"/>
    <mergeCell ref="AS15:AS16"/>
    <mergeCell ref="AT15:AT16"/>
    <mergeCell ref="AI15:AI16"/>
    <mergeCell ref="AJ15:AJ16"/>
    <mergeCell ref="AK15:AK16"/>
    <mergeCell ref="AL15:AL16"/>
    <mergeCell ref="AM15:AM16"/>
    <mergeCell ref="AN15:AN16"/>
    <mergeCell ref="AO15:AO16"/>
    <mergeCell ref="AP15:AP16"/>
    <mergeCell ref="AT17:AT18"/>
    <mergeCell ref="AU17:AU18"/>
    <mergeCell ref="AV17:AV18"/>
    <mergeCell ref="AW17:AW18"/>
    <mergeCell ref="BB15:BB16"/>
    <mergeCell ref="BC15:BC16"/>
    <mergeCell ref="BD15:BD16"/>
    <mergeCell ref="BE15:BE16"/>
    <mergeCell ref="BF15:BF16"/>
    <mergeCell ref="BG15:BG16"/>
    <mergeCell ref="A17:A18"/>
    <mergeCell ref="B17:B18"/>
    <mergeCell ref="C17:C18"/>
    <mergeCell ref="D17:D18"/>
    <mergeCell ref="E17:E18"/>
    <mergeCell ref="F17:F18"/>
    <mergeCell ref="G17:G18"/>
    <mergeCell ref="H17:H18"/>
    <mergeCell ref="I17:I18"/>
    <mergeCell ref="J17:J18"/>
    <mergeCell ref="N17:N18"/>
    <mergeCell ref="Q17:Q18"/>
    <mergeCell ref="R17:R18"/>
    <mergeCell ref="S17:S18"/>
    <mergeCell ref="T17:T18"/>
    <mergeCell ref="W15:W16"/>
    <mergeCell ref="X15:X16"/>
    <mergeCell ref="Y15:Y16"/>
    <mergeCell ref="Z15:Z16"/>
    <mergeCell ref="AA15:AA16"/>
    <mergeCell ref="AB15:AB16"/>
    <mergeCell ref="AC15:AC16"/>
    <mergeCell ref="AD15:AD16"/>
    <mergeCell ref="AE15:AE16"/>
    <mergeCell ref="AF15:AF16"/>
    <mergeCell ref="AG15:AG16"/>
    <mergeCell ref="BE13:BE14"/>
    <mergeCell ref="BF13:BF14"/>
    <mergeCell ref="BG13:BG14"/>
    <mergeCell ref="AB13:AB14"/>
    <mergeCell ref="AC13:AC14"/>
    <mergeCell ref="AD13:AD14"/>
    <mergeCell ref="AK13:AK14"/>
    <mergeCell ref="AL13:AL14"/>
    <mergeCell ref="AM13:AM14"/>
    <mergeCell ref="AN13:AN14"/>
    <mergeCell ref="AO13:AO14"/>
    <mergeCell ref="AP13:AP14"/>
    <mergeCell ref="AQ13:AQ14"/>
    <mergeCell ref="AR13:AR14"/>
    <mergeCell ref="AS13:AS14"/>
    <mergeCell ref="AT13:AT14"/>
    <mergeCell ref="AU13:AU14"/>
    <mergeCell ref="AV13:AV14"/>
    <mergeCell ref="AI13:AI14"/>
    <mergeCell ref="AJ13:AJ14"/>
    <mergeCell ref="AA13:AA14"/>
    <mergeCell ref="H13:H14"/>
    <mergeCell ref="I13:I14"/>
    <mergeCell ref="J13:J14"/>
    <mergeCell ref="N13:N14"/>
    <mergeCell ref="Q13:Q14"/>
    <mergeCell ref="R13:R14"/>
    <mergeCell ref="S13:S14"/>
    <mergeCell ref="T13:T14"/>
    <mergeCell ref="U13:U14"/>
    <mergeCell ref="V13:V14"/>
    <mergeCell ref="W13:W14"/>
    <mergeCell ref="X13:X14"/>
    <mergeCell ref="AG11:AG12"/>
    <mergeCell ref="AH11:AH12"/>
    <mergeCell ref="BC13:BC14"/>
    <mergeCell ref="BD13:BD14"/>
    <mergeCell ref="BD11:BD12"/>
    <mergeCell ref="A15:A16"/>
    <mergeCell ref="B15:B16"/>
    <mergeCell ref="C15:C16"/>
    <mergeCell ref="D15:D16"/>
    <mergeCell ref="E15:E16"/>
    <mergeCell ref="AE13:AE14"/>
    <mergeCell ref="AM11:AM12"/>
    <mergeCell ref="AN11:AN12"/>
    <mergeCell ref="AO11:AO12"/>
    <mergeCell ref="AP11:AP12"/>
    <mergeCell ref="AQ11:AQ12"/>
    <mergeCell ref="AR11:AR12"/>
    <mergeCell ref="AS11:AS12"/>
    <mergeCell ref="F15:F16"/>
    <mergeCell ref="G15:G16"/>
    <mergeCell ref="H15:H16"/>
    <mergeCell ref="I15:I16"/>
    <mergeCell ref="J15:J16"/>
    <mergeCell ref="N15:N16"/>
    <mergeCell ref="Q15:Q16"/>
    <mergeCell ref="R15:R16"/>
    <mergeCell ref="S15:S16"/>
    <mergeCell ref="T15:T16"/>
    <mergeCell ref="U15:U16"/>
    <mergeCell ref="V15:V16"/>
    <mergeCell ref="AF13:AF14"/>
    <mergeCell ref="AG13:AG14"/>
    <mergeCell ref="AH13:AH14"/>
    <mergeCell ref="AK11:AK12"/>
    <mergeCell ref="AL11:AL12"/>
    <mergeCell ref="Y13:Y14"/>
    <mergeCell ref="Z13:Z14"/>
    <mergeCell ref="BG11:BG12"/>
    <mergeCell ref="A13:A14"/>
    <mergeCell ref="B13:B14"/>
    <mergeCell ref="C13:C14"/>
    <mergeCell ref="D13:D14"/>
    <mergeCell ref="E13:E14"/>
    <mergeCell ref="F13:F14"/>
    <mergeCell ref="G13:G14"/>
    <mergeCell ref="J11:J12"/>
    <mergeCell ref="N11:N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11:AF12"/>
    <mergeCell ref="AW13:AW14"/>
    <mergeCell ref="AX13:AX14"/>
    <mergeCell ref="AY13:AY14"/>
    <mergeCell ref="AZ13:AZ14"/>
    <mergeCell ref="BA13:BA14"/>
    <mergeCell ref="BB13:BB14"/>
    <mergeCell ref="BE11:BE12"/>
    <mergeCell ref="BF11:BF12"/>
    <mergeCell ref="AT11:AT12"/>
    <mergeCell ref="AU11:AU12"/>
    <mergeCell ref="AV11:AV12"/>
    <mergeCell ref="AW11:AW12"/>
    <mergeCell ref="AX11:AX12"/>
    <mergeCell ref="AY11:AY12"/>
    <mergeCell ref="AZ11:AZ12"/>
    <mergeCell ref="BA11:BA12"/>
    <mergeCell ref="BB11:BB12"/>
    <mergeCell ref="AZ9:AZ10"/>
    <mergeCell ref="BA9:BA10"/>
    <mergeCell ref="BB9:BB10"/>
    <mergeCell ref="BC9:BC10"/>
    <mergeCell ref="BD9:BD10"/>
    <mergeCell ref="BE9:BE10"/>
    <mergeCell ref="BF9:BF10"/>
    <mergeCell ref="AF9:AF10"/>
    <mergeCell ref="AG9:AG10"/>
    <mergeCell ref="AH9:AH10"/>
    <mergeCell ref="AO9:AO10"/>
    <mergeCell ref="AP9:AP10"/>
    <mergeCell ref="AQ9:AQ10"/>
    <mergeCell ref="AR9:AR10"/>
    <mergeCell ref="AS9:AS10"/>
    <mergeCell ref="AT9:AT10"/>
    <mergeCell ref="AU9:AU10"/>
    <mergeCell ref="AM9:AM10"/>
    <mergeCell ref="AN9:AN10"/>
    <mergeCell ref="AV9:AV10"/>
    <mergeCell ref="AW9:AW10"/>
    <mergeCell ref="AX9:AX10"/>
    <mergeCell ref="AY9:AY10"/>
    <mergeCell ref="BC11:BC12"/>
    <mergeCell ref="AI11:AI12"/>
    <mergeCell ref="AJ11:AJ12"/>
    <mergeCell ref="AX7:AX8"/>
    <mergeCell ref="AI9:AI10"/>
    <mergeCell ref="AJ9:AJ10"/>
    <mergeCell ref="AK9:AK10"/>
    <mergeCell ref="AL9:AL10"/>
    <mergeCell ref="BG9:BG10"/>
    <mergeCell ref="A11:A12"/>
    <mergeCell ref="B11:B12"/>
    <mergeCell ref="C11:C12"/>
    <mergeCell ref="D11:D12"/>
    <mergeCell ref="E11:E12"/>
    <mergeCell ref="F11:F12"/>
    <mergeCell ref="G11:G12"/>
    <mergeCell ref="H11:H12"/>
    <mergeCell ref="I11:I12"/>
    <mergeCell ref="Q9:Q10"/>
    <mergeCell ref="R9:R10"/>
    <mergeCell ref="S9:S10"/>
    <mergeCell ref="T9:T10"/>
    <mergeCell ref="U9:U10"/>
    <mergeCell ref="V9:V10"/>
    <mergeCell ref="W9:W10"/>
    <mergeCell ref="X9:X10"/>
    <mergeCell ref="AY7:AY8"/>
    <mergeCell ref="AZ7:AZ8"/>
    <mergeCell ref="Y9:Y10"/>
    <mergeCell ref="Z9:Z10"/>
    <mergeCell ref="AA9:AA10"/>
    <mergeCell ref="AB9:AB10"/>
    <mergeCell ref="AC9:AC10"/>
    <mergeCell ref="AD9:AD10"/>
    <mergeCell ref="AE9:AE10"/>
    <mergeCell ref="BA7:BA8"/>
    <mergeCell ref="BB7:BB8"/>
    <mergeCell ref="BC7:BC8"/>
    <mergeCell ref="BD7:BD8"/>
    <mergeCell ref="BE7:BE8"/>
    <mergeCell ref="BF7:BF8"/>
    <mergeCell ref="BG7:BG8"/>
    <mergeCell ref="A9:A10"/>
    <mergeCell ref="B9:B10"/>
    <mergeCell ref="C9:C10"/>
    <mergeCell ref="D9:D10"/>
    <mergeCell ref="E9:E10"/>
    <mergeCell ref="F9:F10"/>
    <mergeCell ref="G9:G10"/>
    <mergeCell ref="H9:H10"/>
    <mergeCell ref="I9:I10"/>
    <mergeCell ref="J9:J10"/>
    <mergeCell ref="N9:N10"/>
    <mergeCell ref="S7:S8"/>
    <mergeCell ref="T7:T8"/>
    <mergeCell ref="U7:U8"/>
    <mergeCell ref="V7:V8"/>
    <mergeCell ref="W7:W8"/>
    <mergeCell ref="X7:X8"/>
    <mergeCell ref="Y7:Y8"/>
    <mergeCell ref="Z7:Z8"/>
    <mergeCell ref="AA7:AA8"/>
    <mergeCell ref="AB7:AB8"/>
    <mergeCell ref="AC7:AC8"/>
    <mergeCell ref="AD7:AD8"/>
    <mergeCell ref="AE7:AE8"/>
    <mergeCell ref="AF7:AF8"/>
    <mergeCell ref="AG7:AG8"/>
    <mergeCell ref="AH7:AH8"/>
    <mergeCell ref="AI7:AI8"/>
    <mergeCell ref="AJ7:AJ8"/>
    <mergeCell ref="AM5:AM6"/>
    <mergeCell ref="AN5:AN6"/>
    <mergeCell ref="AO5:AO6"/>
    <mergeCell ref="AP5:AP6"/>
    <mergeCell ref="AO7:AO8"/>
    <mergeCell ref="AP7:AP8"/>
    <mergeCell ref="AS5:AS6"/>
    <mergeCell ref="AT5:AT6"/>
    <mergeCell ref="AU5:AU6"/>
    <mergeCell ref="AV5:AV6"/>
    <mergeCell ref="AW5:AW6"/>
    <mergeCell ref="AK7:AK8"/>
    <mergeCell ref="AL7:AL8"/>
    <mergeCell ref="AM7:AM8"/>
    <mergeCell ref="AN7:AN8"/>
    <mergeCell ref="AQ7:AQ8"/>
    <mergeCell ref="AR7:AR8"/>
    <mergeCell ref="AS7:AS8"/>
    <mergeCell ref="AT7:AT8"/>
    <mergeCell ref="AU7:AU8"/>
    <mergeCell ref="AV7:AV8"/>
    <mergeCell ref="AW7:AW8"/>
    <mergeCell ref="AX5:AX6"/>
    <mergeCell ref="AY5:AY6"/>
    <mergeCell ref="AZ5:AZ6"/>
    <mergeCell ref="BA5:BA6"/>
    <mergeCell ref="BB5:BB6"/>
    <mergeCell ref="BC5:BC6"/>
    <mergeCell ref="BD5:BD6"/>
    <mergeCell ref="BE5:BE6"/>
    <mergeCell ref="BF5:BF6"/>
    <mergeCell ref="BG5:BG6"/>
    <mergeCell ref="A7:A8"/>
    <mergeCell ref="B7:B8"/>
    <mergeCell ref="C7:C8"/>
    <mergeCell ref="D7:D8"/>
    <mergeCell ref="E7:E8"/>
    <mergeCell ref="F7:F8"/>
    <mergeCell ref="G7:G8"/>
    <mergeCell ref="H7:H8"/>
    <mergeCell ref="I7:I8"/>
    <mergeCell ref="J7:J8"/>
    <mergeCell ref="N7:N8"/>
    <mergeCell ref="Q7:Q8"/>
    <mergeCell ref="R7:R8"/>
    <mergeCell ref="U5:U6"/>
    <mergeCell ref="V5:V6"/>
    <mergeCell ref="W5:W6"/>
    <mergeCell ref="X5:X6"/>
    <mergeCell ref="Y5:Y6"/>
    <mergeCell ref="Z5:Z6"/>
    <mergeCell ref="AA5:AA6"/>
    <mergeCell ref="AB5:AB6"/>
    <mergeCell ref="AC5:AC6"/>
    <mergeCell ref="AU3:AU4"/>
    <mergeCell ref="AV3:AV4"/>
    <mergeCell ref="AW3:AW4"/>
    <mergeCell ref="AX3:AX4"/>
    <mergeCell ref="AE3:AE4"/>
    <mergeCell ref="AF3:AF4"/>
    <mergeCell ref="AG3:AG4"/>
    <mergeCell ref="AH3:AH4"/>
    <mergeCell ref="AS3:AS4"/>
    <mergeCell ref="AT3:AT4"/>
    <mergeCell ref="AI3:AI4"/>
    <mergeCell ref="AJ3:AJ4"/>
    <mergeCell ref="AK3:AK4"/>
    <mergeCell ref="AL3:AL4"/>
    <mergeCell ref="AM3:AM4"/>
    <mergeCell ref="AN3:AN4"/>
    <mergeCell ref="AO3:AO4"/>
    <mergeCell ref="AP3:AP4"/>
    <mergeCell ref="Y3:Y4"/>
    <mergeCell ref="Z3:Z4"/>
    <mergeCell ref="AA3:AA4"/>
    <mergeCell ref="AB3:AB4"/>
    <mergeCell ref="AC3:AC4"/>
    <mergeCell ref="AD3:AD4"/>
    <mergeCell ref="AD5:AD6"/>
    <mergeCell ref="AE5:AE6"/>
    <mergeCell ref="AF5:AF6"/>
    <mergeCell ref="AQ3:AQ4"/>
    <mergeCell ref="AR3:AR4"/>
    <mergeCell ref="AQ5:AQ6"/>
    <mergeCell ref="AR5:AR6"/>
    <mergeCell ref="AG5:AG6"/>
    <mergeCell ref="AH5:AH6"/>
    <mergeCell ref="AI5:AI6"/>
    <mergeCell ref="AJ5:AJ6"/>
    <mergeCell ref="AK5:AK6"/>
    <mergeCell ref="AL5:AL6"/>
    <mergeCell ref="A1:O1"/>
    <mergeCell ref="A2:O2"/>
    <mergeCell ref="S3:S4"/>
    <mergeCell ref="T3:T4"/>
    <mergeCell ref="U3:U4"/>
    <mergeCell ref="V3:V4"/>
    <mergeCell ref="AY3:AY4"/>
    <mergeCell ref="AZ3:AZ4"/>
    <mergeCell ref="BA3:BA4"/>
    <mergeCell ref="BB3:BB4"/>
    <mergeCell ref="BC3:BC4"/>
    <mergeCell ref="BD3:BD4"/>
    <mergeCell ref="BE3:BE4"/>
    <mergeCell ref="BF3:BF4"/>
    <mergeCell ref="BG3:BG4"/>
    <mergeCell ref="A5:A6"/>
    <mergeCell ref="B5:B6"/>
    <mergeCell ref="C5:C6"/>
    <mergeCell ref="D5:D6"/>
    <mergeCell ref="E5:E6"/>
    <mergeCell ref="F5:F6"/>
    <mergeCell ref="G5:G6"/>
    <mergeCell ref="H5:H6"/>
    <mergeCell ref="I5:I6"/>
    <mergeCell ref="J5:J6"/>
    <mergeCell ref="N5:N6"/>
    <mergeCell ref="Q5:Q6"/>
    <mergeCell ref="R5:R6"/>
    <mergeCell ref="S5:S6"/>
    <mergeCell ref="T5:T6"/>
    <mergeCell ref="W3:W4"/>
    <mergeCell ref="X3:X4"/>
  </mergeCells>
  <phoneticPr fontId="61" type="noConversion"/>
  <pageMargins left="0" right="0" top="0" bottom="0" header="0" footer="0"/>
  <pageSetup paperSize="9" scale="65"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1"/>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45271</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2" si="0">L5-M5</f>
        <v>0</v>
      </c>
      <c r="P5" s="27">
        <v>0</v>
      </c>
      <c r="Q5" s="99">
        <f>+L6-P6</f>
        <v>36</v>
      </c>
      <c r="R5" s="85" t="s">
        <v>64</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f>
        <v>2194</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45271</v>
      </c>
      <c r="B7" s="87" t="s">
        <v>37</v>
      </c>
      <c r="C7" s="89">
        <v>1</v>
      </c>
      <c r="D7" s="91" t="s">
        <v>38</v>
      </c>
      <c r="E7" s="89">
        <v>84217</v>
      </c>
      <c r="F7" s="89" t="s">
        <v>49</v>
      </c>
      <c r="G7" s="93" t="s">
        <v>63</v>
      </c>
      <c r="H7" s="90" t="s">
        <v>39</v>
      </c>
      <c r="I7" s="90">
        <v>4965</v>
      </c>
      <c r="J7" s="90">
        <v>965</v>
      </c>
      <c r="K7" s="20">
        <v>98</v>
      </c>
      <c r="L7" s="20">
        <v>30</v>
      </c>
      <c r="M7" s="20">
        <v>10</v>
      </c>
      <c r="N7" s="97">
        <f>O8/L8</f>
        <v>0.69026548672566368</v>
      </c>
      <c r="O7" s="21">
        <f t="shared" si="0"/>
        <v>20</v>
      </c>
      <c r="P7" s="27">
        <v>63</v>
      </c>
      <c r="Q7" s="99">
        <f>+L8-P8</f>
        <v>72</v>
      </c>
      <c r="R7" s="85"/>
      <c r="S7" s="96"/>
      <c r="T7" s="96">
        <v>5</v>
      </c>
      <c r="U7" s="96">
        <v>5</v>
      </c>
      <c r="V7" s="96"/>
      <c r="W7" s="96"/>
      <c r="X7" s="96"/>
      <c r="Y7" s="96"/>
      <c r="Z7" s="96"/>
      <c r="AA7" s="96"/>
      <c r="AB7" s="96"/>
      <c r="AC7" s="96"/>
      <c r="AD7" s="96"/>
      <c r="AE7" s="96"/>
      <c r="AF7" s="96"/>
      <c r="AG7" s="96"/>
      <c r="AH7" s="96">
        <v>3</v>
      </c>
      <c r="AI7" s="96"/>
      <c r="AJ7" s="96"/>
      <c r="AK7" s="96"/>
      <c r="AL7" s="96">
        <v>7</v>
      </c>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5+13+70+100+67+52+57+45+75+145+72+45+98</f>
        <v>844</v>
      </c>
      <c r="L8" s="18">
        <f>5+13+60+10+10+10+50+150+40+160+120+20+30</f>
        <v>678</v>
      </c>
      <c r="M8" s="18">
        <f>10+10+40+30+40+60+10+10</f>
        <v>210</v>
      </c>
      <c r="N8" s="98"/>
      <c r="O8" s="19">
        <f t="shared" si="0"/>
        <v>468</v>
      </c>
      <c r="P8" s="22">
        <f>10+30+30+10+38+41+53+189+142+63</f>
        <v>606</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45271</v>
      </c>
      <c r="B9" s="87" t="s">
        <v>37</v>
      </c>
      <c r="C9" s="89">
        <v>1</v>
      </c>
      <c r="D9" s="91" t="s">
        <v>38</v>
      </c>
      <c r="E9" s="89">
        <v>84217</v>
      </c>
      <c r="F9" s="89" t="s">
        <v>49</v>
      </c>
      <c r="G9" s="93" t="s">
        <v>63</v>
      </c>
      <c r="H9" s="90" t="s">
        <v>41</v>
      </c>
      <c r="I9" s="90">
        <v>1219</v>
      </c>
      <c r="J9" s="90">
        <v>1219</v>
      </c>
      <c r="K9" s="20">
        <v>37</v>
      </c>
      <c r="L9" s="20">
        <v>30</v>
      </c>
      <c r="M9" s="20">
        <v>9</v>
      </c>
      <c r="N9" s="97">
        <f>O10/L10</f>
        <v>0.58490566037735847</v>
      </c>
      <c r="O9" s="21">
        <f t="shared" si="0"/>
        <v>21</v>
      </c>
      <c r="P9" s="27">
        <v>89</v>
      </c>
      <c r="Q9" s="99">
        <f>+L10-P10</f>
        <v>211</v>
      </c>
      <c r="R9" s="85"/>
      <c r="S9" s="96">
        <v>2</v>
      </c>
      <c r="T9" s="96">
        <v>8</v>
      </c>
      <c r="U9" s="96">
        <v>2</v>
      </c>
      <c r="V9" s="96"/>
      <c r="W9" s="96"/>
      <c r="X9" s="96">
        <v>1</v>
      </c>
      <c r="Y9" s="96"/>
      <c r="Z9" s="96"/>
      <c r="AA9" s="96"/>
      <c r="AB9" s="96"/>
      <c r="AC9" s="96">
        <v>3</v>
      </c>
      <c r="AD9" s="96"/>
      <c r="AE9" s="96"/>
      <c r="AF9" s="96">
        <v>2</v>
      </c>
      <c r="AG9" s="96"/>
      <c r="AH9" s="96">
        <v>3</v>
      </c>
      <c r="AI9" s="96"/>
      <c r="AJ9" s="96"/>
      <c r="AK9" s="96"/>
      <c r="AL9" s="96"/>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103+85+198+61+57+39+86+192+134+36+37</f>
        <v>1028</v>
      </c>
      <c r="L10" s="18">
        <f>9+46+10+10+10+10+164+10+70+330+96+30</f>
        <v>795</v>
      </c>
      <c r="M10" s="18">
        <f>9+17+10+106+21+120+38+9</f>
        <v>330</v>
      </c>
      <c r="N10" s="98"/>
      <c r="O10" s="19">
        <f t="shared" si="0"/>
        <v>465</v>
      </c>
      <c r="P10" s="22">
        <f>9+17+10+10+10+96+10+37+164+132+89</f>
        <v>584</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45271</v>
      </c>
      <c r="B11" s="87" t="s">
        <v>37</v>
      </c>
      <c r="C11" s="89">
        <v>1</v>
      </c>
      <c r="D11" s="91" t="s">
        <v>38</v>
      </c>
      <c r="E11" s="89">
        <v>84217</v>
      </c>
      <c r="F11" s="89" t="s">
        <v>49</v>
      </c>
      <c r="G11" s="93" t="s">
        <v>63</v>
      </c>
      <c r="H11" s="90" t="s">
        <v>73</v>
      </c>
      <c r="I11" s="90">
        <v>760</v>
      </c>
      <c r="J11" s="90">
        <v>760</v>
      </c>
      <c r="K11" s="20">
        <v>0</v>
      </c>
      <c r="L11" s="20">
        <v>0</v>
      </c>
      <c r="M11" s="20">
        <v>0</v>
      </c>
      <c r="N11" s="97">
        <f>O12/L12</f>
        <v>0.54736842105263162</v>
      </c>
      <c r="O11" s="21">
        <f t="shared" si="0"/>
        <v>0</v>
      </c>
      <c r="P11" s="27">
        <v>99</v>
      </c>
      <c r="Q11" s="99">
        <f>+L12-P12</f>
        <v>130</v>
      </c>
      <c r="R11" s="85"/>
      <c r="S11" s="96"/>
      <c r="T11" s="96"/>
      <c r="U11" s="96"/>
      <c r="V11" s="96"/>
      <c r="W11" s="96"/>
      <c r="X11" s="96"/>
      <c r="Y11" s="96"/>
      <c r="Z11" s="96"/>
      <c r="AA11" s="96"/>
      <c r="AB11" s="96"/>
      <c r="AC11" s="96"/>
      <c r="AD11" s="96"/>
      <c r="AE11" s="96"/>
      <c r="AF11" s="96"/>
      <c r="AG11" s="96"/>
      <c r="AH11" s="96"/>
      <c r="AI11" s="96"/>
      <c r="AJ11" s="96"/>
      <c r="AK11" s="96"/>
      <c r="AL11" s="96"/>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535+95+113+17</f>
        <v>760</v>
      </c>
      <c r="L12" s="18">
        <f>90+275+378+17</f>
        <v>760</v>
      </c>
      <c r="M12" s="18">
        <f>45+105+177+17</f>
        <v>344</v>
      </c>
      <c r="N12" s="98"/>
      <c r="O12" s="19">
        <f t="shared" si="0"/>
        <v>416</v>
      </c>
      <c r="P12" s="22">
        <f>45+105+326+55+99</f>
        <v>630</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45271</v>
      </c>
      <c r="B13" s="87" t="s">
        <v>37</v>
      </c>
      <c r="C13" s="89">
        <v>1</v>
      </c>
      <c r="D13" s="91" t="s">
        <v>38</v>
      </c>
      <c r="E13" s="89">
        <v>84217</v>
      </c>
      <c r="F13" s="89" t="s">
        <v>49</v>
      </c>
      <c r="G13" s="93" t="s">
        <v>63</v>
      </c>
      <c r="H13" s="90" t="s">
        <v>59</v>
      </c>
      <c r="I13" s="90">
        <v>568</v>
      </c>
      <c r="J13" s="90">
        <v>568</v>
      </c>
      <c r="K13" s="20">
        <v>0</v>
      </c>
      <c r="L13" s="20">
        <v>170</v>
      </c>
      <c r="M13" s="20">
        <v>92</v>
      </c>
      <c r="N13" s="97">
        <f>O14/L14</f>
        <v>0.52183908045977012</v>
      </c>
      <c r="O13" s="21">
        <f t="shared" si="0"/>
        <v>78</v>
      </c>
      <c r="P13" s="27">
        <v>96</v>
      </c>
      <c r="Q13" s="99">
        <f>+L14-P14</f>
        <v>151</v>
      </c>
      <c r="R13" s="85"/>
      <c r="S13" s="96">
        <v>2</v>
      </c>
      <c r="T13" s="96">
        <v>39</v>
      </c>
      <c r="U13" s="96"/>
      <c r="V13" s="96"/>
      <c r="W13" s="96"/>
      <c r="X13" s="96">
        <v>1</v>
      </c>
      <c r="Y13" s="96">
        <v>1</v>
      </c>
      <c r="Z13" s="96"/>
      <c r="AA13" s="96"/>
      <c r="AB13" s="96"/>
      <c r="AC13" s="96">
        <v>5</v>
      </c>
      <c r="AD13" s="96"/>
      <c r="AE13" s="96">
        <v>3</v>
      </c>
      <c r="AF13" s="96">
        <v>14</v>
      </c>
      <c r="AG13" s="96">
        <v>3</v>
      </c>
      <c r="AH13" s="96">
        <v>10</v>
      </c>
      <c r="AI13" s="96"/>
      <c r="AJ13" s="96"/>
      <c r="AK13" s="96"/>
      <c r="AL13" s="96"/>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201+261+103</f>
        <v>565</v>
      </c>
      <c r="L14" s="18">
        <f>65+200+170</f>
        <v>435</v>
      </c>
      <c r="M14" s="18">
        <f>15+101+92</f>
        <v>208</v>
      </c>
      <c r="N14" s="98"/>
      <c r="O14" s="19">
        <f t="shared" si="0"/>
        <v>227</v>
      </c>
      <c r="P14" s="22">
        <f>15+173+96</f>
        <v>284</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45271</v>
      </c>
      <c r="B15" s="87" t="s">
        <v>37</v>
      </c>
      <c r="C15" s="89">
        <v>1</v>
      </c>
      <c r="D15" s="91" t="s">
        <v>38</v>
      </c>
      <c r="E15" s="89">
        <v>84217</v>
      </c>
      <c r="F15" s="89" t="s">
        <v>49</v>
      </c>
      <c r="G15" s="93" t="s">
        <v>71</v>
      </c>
      <c r="H15" s="90" t="s">
        <v>47</v>
      </c>
      <c r="I15" s="90">
        <v>2804</v>
      </c>
      <c r="J15" s="90">
        <v>2804</v>
      </c>
      <c r="K15" s="20">
        <v>380</v>
      </c>
      <c r="L15" s="20">
        <v>0</v>
      </c>
      <c r="M15" s="20">
        <v>0</v>
      </c>
      <c r="N15" s="97" t="e">
        <f>O16/L16</f>
        <v>#DIV/0!</v>
      </c>
      <c r="O15" s="21">
        <f t="shared" si="0"/>
        <v>0</v>
      </c>
      <c r="P15" s="27">
        <v>0</v>
      </c>
      <c r="Q15" s="99">
        <f>+L16-P16</f>
        <v>0</v>
      </c>
      <c r="R15" s="85"/>
      <c r="S15" s="96"/>
      <c r="T15" s="96"/>
      <c r="U15" s="96"/>
      <c r="V15" s="96"/>
      <c r="W15" s="96"/>
      <c r="X15" s="96"/>
      <c r="Y15" s="96"/>
      <c r="Z15" s="96"/>
      <c r="AA15" s="96"/>
      <c r="AB15" s="96"/>
      <c r="AC15" s="96"/>
      <c r="AD15" s="96"/>
      <c r="AE15" s="96"/>
      <c r="AF15" s="96"/>
      <c r="AG15" s="96"/>
      <c r="AH15" s="96"/>
      <c r="AI15" s="96"/>
      <c r="AJ15" s="96"/>
      <c r="AK15" s="96"/>
      <c r="AL15" s="96"/>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380</f>
        <v>380</v>
      </c>
      <c r="L16" s="18">
        <v>0</v>
      </c>
      <c r="M16" s="18">
        <v>0</v>
      </c>
      <c r="N16" s="98"/>
      <c r="O16" s="19">
        <f t="shared" si="0"/>
        <v>0</v>
      </c>
      <c r="P16" s="22">
        <v>0</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45271</v>
      </c>
      <c r="B17" s="87" t="s">
        <v>37</v>
      </c>
      <c r="C17" s="89">
        <v>1</v>
      </c>
      <c r="D17" s="91" t="s">
        <v>38</v>
      </c>
      <c r="E17" s="89">
        <v>84212</v>
      </c>
      <c r="F17" s="89" t="s">
        <v>49</v>
      </c>
      <c r="G17" s="93" t="s">
        <v>55</v>
      </c>
      <c r="H17" s="90" t="s">
        <v>59</v>
      </c>
      <c r="I17" s="90">
        <v>708</v>
      </c>
      <c r="J17" s="90">
        <v>708</v>
      </c>
      <c r="K17" s="20">
        <v>3</v>
      </c>
      <c r="L17" s="20">
        <v>78</v>
      </c>
      <c r="M17" s="20">
        <v>33</v>
      </c>
      <c r="N17" s="97">
        <f>O18/L18</f>
        <v>0.72922636103151861</v>
      </c>
      <c r="O17" s="21">
        <f t="shared" si="0"/>
        <v>45</v>
      </c>
      <c r="P17" s="27">
        <v>335</v>
      </c>
      <c r="Q17" s="99">
        <f>+L18-P18</f>
        <v>159</v>
      </c>
      <c r="R17" s="85"/>
      <c r="S17" s="96"/>
      <c r="T17" s="96">
        <v>18</v>
      </c>
      <c r="U17" s="96">
        <v>1</v>
      </c>
      <c r="V17" s="96"/>
      <c r="W17" s="96"/>
      <c r="X17" s="96"/>
      <c r="Y17" s="96"/>
      <c r="Z17" s="96"/>
      <c r="AA17" s="96"/>
      <c r="AB17" s="96"/>
      <c r="AC17" s="96">
        <v>2</v>
      </c>
      <c r="AD17" s="96"/>
      <c r="AE17" s="96">
        <v>1</v>
      </c>
      <c r="AF17" s="96"/>
      <c r="AG17" s="96">
        <v>21</v>
      </c>
      <c r="AH17" s="96">
        <v>2</v>
      </c>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105+109+70+77+65+110+122+34+3+3</f>
        <v>698</v>
      </c>
      <c r="L18" s="18">
        <f>25+50+65+80+80+30+80+50+160+78</f>
        <v>698</v>
      </c>
      <c r="M18" s="18">
        <f>15+20+20+15+5+11+20+50+33</f>
        <v>189</v>
      </c>
      <c r="N18" s="98"/>
      <c r="O18" s="19">
        <f t="shared" si="0"/>
        <v>509</v>
      </c>
      <c r="P18" s="22">
        <f>15+20+35+15+5+11+53+50+335</f>
        <v>539</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45271</v>
      </c>
      <c r="B19" s="87" t="s">
        <v>37</v>
      </c>
      <c r="C19" s="89">
        <v>1</v>
      </c>
      <c r="D19" s="91" t="s">
        <v>38</v>
      </c>
      <c r="E19" s="89">
        <v>84212</v>
      </c>
      <c r="F19" s="89" t="s">
        <v>49</v>
      </c>
      <c r="G19" s="93" t="s">
        <v>55</v>
      </c>
      <c r="H19" s="90" t="s">
        <v>67</v>
      </c>
      <c r="I19" s="90">
        <v>1813</v>
      </c>
      <c r="J19" s="90">
        <v>1813</v>
      </c>
      <c r="K19" s="20">
        <v>198</v>
      </c>
      <c r="L19" s="20">
        <v>100</v>
      </c>
      <c r="M19" s="20">
        <v>10</v>
      </c>
      <c r="N19" s="97">
        <f>O20/L20</f>
        <v>0.79711451758340846</v>
      </c>
      <c r="O19" s="21">
        <f t="shared" si="0"/>
        <v>90</v>
      </c>
      <c r="P19" s="27">
        <v>130</v>
      </c>
      <c r="Q19" s="99">
        <f>+L20-P20</f>
        <v>557</v>
      </c>
      <c r="R19" s="85"/>
      <c r="S19" s="96"/>
      <c r="T19" s="96">
        <v>19</v>
      </c>
      <c r="U19" s="96"/>
      <c r="V19" s="96"/>
      <c r="W19" s="96"/>
      <c r="X19" s="96">
        <v>4</v>
      </c>
      <c r="Y19" s="96"/>
      <c r="Z19" s="96"/>
      <c r="AA19" s="96"/>
      <c r="AB19" s="96"/>
      <c r="AC19" s="96">
        <v>16</v>
      </c>
      <c r="AD19" s="96"/>
      <c r="AE19" s="96">
        <v>4</v>
      </c>
      <c r="AF19" s="96"/>
      <c r="AG19" s="96">
        <v>27</v>
      </c>
      <c r="AH19" s="96">
        <v>18</v>
      </c>
      <c r="AI19" s="96"/>
      <c r="AJ19" s="96"/>
      <c r="AK19" s="96"/>
      <c r="AL19" s="96">
        <v>2</v>
      </c>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272+145+148+175+345+259+198</f>
        <v>1542</v>
      </c>
      <c r="L20" s="18">
        <f>30+110+235+150+484+100</f>
        <v>1109</v>
      </c>
      <c r="M20" s="18">
        <f>5+10+50+40+110+10</f>
        <v>225</v>
      </c>
      <c r="N20" s="98"/>
      <c r="O20" s="19">
        <f t="shared" si="0"/>
        <v>884</v>
      </c>
      <c r="P20" s="22">
        <f>5+10+65+80+262+130</f>
        <v>552</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45271</v>
      </c>
      <c r="B21" s="87" t="s">
        <v>37</v>
      </c>
      <c r="C21" s="89">
        <v>1</v>
      </c>
      <c r="D21" s="91" t="s">
        <v>38</v>
      </c>
      <c r="E21" s="89">
        <v>84212</v>
      </c>
      <c r="F21" s="89" t="s">
        <v>49</v>
      </c>
      <c r="G21" s="93" t="s">
        <v>55</v>
      </c>
      <c r="H21" s="90" t="s">
        <v>62</v>
      </c>
      <c r="I21" s="90">
        <v>2218</v>
      </c>
      <c r="J21" s="90">
        <v>1640</v>
      </c>
      <c r="K21" s="20">
        <v>0</v>
      </c>
      <c r="L21" s="20">
        <v>0</v>
      </c>
      <c r="M21" s="20">
        <v>0</v>
      </c>
      <c r="N21" s="97">
        <f>O22/L22</f>
        <v>0.6819787985865724</v>
      </c>
      <c r="O21" s="21">
        <f t="shared" si="0"/>
        <v>0</v>
      </c>
      <c r="P21" s="27">
        <v>69</v>
      </c>
      <c r="Q21" s="99">
        <f>+L22-P22</f>
        <v>52</v>
      </c>
      <c r="R21" s="85"/>
      <c r="S21" s="96"/>
      <c r="T21" s="96"/>
      <c r="U21" s="96"/>
      <c r="V21" s="96"/>
      <c r="W21" s="96"/>
      <c r="X21" s="96"/>
      <c r="Y21" s="96"/>
      <c r="Z21" s="96"/>
      <c r="AA21" s="96"/>
      <c r="AB21" s="96"/>
      <c r="AC21" s="96"/>
      <c r="AD21" s="96"/>
      <c r="AE21" s="96"/>
      <c r="AF21" s="96"/>
      <c r="AG21" s="96"/>
      <c r="AH21" s="96"/>
      <c r="AI21" s="96"/>
      <c r="AJ21" s="96"/>
      <c r="AK21" s="96"/>
      <c r="AL21" s="96"/>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166+95+22</f>
        <v>283</v>
      </c>
      <c r="L22" s="18">
        <f>40+40+160+43</f>
        <v>283</v>
      </c>
      <c r="M22" s="18">
        <f>6+14+50+20</f>
        <v>90</v>
      </c>
      <c r="N22" s="98"/>
      <c r="O22" s="19">
        <f t="shared" si="0"/>
        <v>193</v>
      </c>
      <c r="P22" s="22">
        <f>6+14+50+28+64+69</f>
        <v>231</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45271</v>
      </c>
      <c r="B23" s="87" t="s">
        <v>37</v>
      </c>
      <c r="C23" s="89">
        <v>1</v>
      </c>
      <c r="D23" s="91" t="s">
        <v>38</v>
      </c>
      <c r="E23" s="89">
        <v>84212</v>
      </c>
      <c r="F23" s="89" t="s">
        <v>49</v>
      </c>
      <c r="G23" s="93" t="s">
        <v>55</v>
      </c>
      <c r="H23" s="90" t="s">
        <v>78</v>
      </c>
      <c r="I23" s="90">
        <v>747</v>
      </c>
      <c r="J23" s="90">
        <v>747</v>
      </c>
      <c r="K23" s="20">
        <v>90</v>
      </c>
      <c r="L23" s="20">
        <v>0</v>
      </c>
      <c r="M23" s="20">
        <v>0</v>
      </c>
      <c r="N23" s="97">
        <f>O24/L24</f>
        <v>0.8392857142857143</v>
      </c>
      <c r="O23" s="21">
        <f t="shared" si="0"/>
        <v>0</v>
      </c>
      <c r="P23" s="27">
        <v>171</v>
      </c>
      <c r="Q23" s="99">
        <f>+L24-P24</f>
        <v>64</v>
      </c>
      <c r="R23" s="85"/>
      <c r="S23" s="96"/>
      <c r="T23" s="96"/>
      <c r="U23" s="96"/>
      <c r="V23" s="96"/>
      <c r="W23" s="96"/>
      <c r="X23" s="96"/>
      <c r="Y23" s="96"/>
      <c r="Z23" s="96"/>
      <c r="AA23" s="96"/>
      <c r="AB23" s="96"/>
      <c r="AC23" s="96"/>
      <c r="AD23" s="96"/>
      <c r="AE23" s="96"/>
      <c r="AF23" s="96"/>
      <c r="AG23" s="96"/>
      <c r="AH23" s="96"/>
      <c r="AI23" s="96"/>
      <c r="AJ23" s="96"/>
      <c r="AK23" s="96"/>
      <c r="AL23" s="96"/>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117+41+130+144+90</f>
        <v>522</v>
      </c>
      <c r="L24" s="18">
        <f>80+50+150</f>
        <v>280</v>
      </c>
      <c r="M24" s="18">
        <f>10+5+30</f>
        <v>45</v>
      </c>
      <c r="N24" s="98"/>
      <c r="O24" s="19">
        <f t="shared" si="0"/>
        <v>235</v>
      </c>
      <c r="P24" s="22">
        <f>10+5+30+171</f>
        <v>216</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45271</v>
      </c>
      <c r="B25" s="87" t="s">
        <v>37</v>
      </c>
      <c r="C25" s="89">
        <v>1</v>
      </c>
      <c r="D25" s="91" t="s">
        <v>38</v>
      </c>
      <c r="E25" s="89">
        <v>84212</v>
      </c>
      <c r="F25" s="89" t="s">
        <v>49</v>
      </c>
      <c r="G25" s="93" t="s">
        <v>61</v>
      </c>
      <c r="H25" s="89" t="s">
        <v>65</v>
      </c>
      <c r="I25" s="89">
        <v>533</v>
      </c>
      <c r="J25" s="89">
        <v>533</v>
      </c>
      <c r="K25" s="20">
        <v>0</v>
      </c>
      <c r="L25" s="20">
        <v>50</v>
      </c>
      <c r="M25" s="20">
        <v>19</v>
      </c>
      <c r="N25" s="146">
        <f>O26/L26</f>
        <v>0.71645569620253169</v>
      </c>
      <c r="O25" s="21">
        <f t="shared" si="0"/>
        <v>31</v>
      </c>
      <c r="P25" s="27">
        <v>67</v>
      </c>
      <c r="Q25" s="99">
        <f>+L26-P26</f>
        <v>83</v>
      </c>
      <c r="R25" s="108"/>
      <c r="S25" s="149"/>
      <c r="T25" s="149">
        <v>9</v>
      </c>
      <c r="U25" s="149">
        <v>3</v>
      </c>
      <c r="V25" s="149"/>
      <c r="W25" s="149"/>
      <c r="X25" s="149"/>
      <c r="Y25" s="149"/>
      <c r="Z25" s="149"/>
      <c r="AA25" s="149"/>
      <c r="AB25" s="149"/>
      <c r="AC25" s="149">
        <v>3</v>
      </c>
      <c r="AD25" s="149"/>
      <c r="AE25" s="149"/>
      <c r="AF25" s="149">
        <v>5</v>
      </c>
      <c r="AG25" s="149"/>
      <c r="AH25" s="149">
        <v>7</v>
      </c>
      <c r="AI25" s="149"/>
      <c r="AJ25" s="149"/>
      <c r="AK25" s="149"/>
      <c r="AL25" s="149">
        <v>4</v>
      </c>
      <c r="AM25" s="163"/>
      <c r="AN25" s="163"/>
      <c r="AO25" s="163"/>
      <c r="AP25" s="163"/>
      <c r="AQ25" s="163"/>
      <c r="AR25" s="163"/>
      <c r="AS25" s="163"/>
      <c r="AT25" s="163"/>
      <c r="AU25" s="163"/>
      <c r="AV25" s="163"/>
      <c r="AW25" s="163"/>
      <c r="AX25" s="163"/>
      <c r="AY25" s="167"/>
      <c r="AZ25" s="167"/>
      <c r="BA25" s="167"/>
      <c r="BB25" s="167"/>
      <c r="BC25" s="167"/>
      <c r="BD25" s="167"/>
      <c r="BE25" s="163"/>
      <c r="BF25" s="165"/>
      <c r="BG25" s="165"/>
    </row>
    <row r="26" spans="1:59" s="17" customFormat="1" ht="15.75" customHeight="1">
      <c r="A26" s="85"/>
      <c r="B26" s="88"/>
      <c r="C26" s="90"/>
      <c r="D26" s="92"/>
      <c r="E26" s="90"/>
      <c r="F26" s="90"/>
      <c r="G26" s="94"/>
      <c r="H26" s="90"/>
      <c r="I26" s="90"/>
      <c r="J26" s="90"/>
      <c r="K26" s="22">
        <f>81+92+53+50+111+122</f>
        <v>509</v>
      </c>
      <c r="L26" s="18">
        <f>10+10+110+10+80+65+60+50</f>
        <v>395</v>
      </c>
      <c r="M26" s="18">
        <f>30+19+22+22+19</f>
        <v>112</v>
      </c>
      <c r="N26" s="147"/>
      <c r="O26" s="19">
        <f t="shared" si="0"/>
        <v>283</v>
      </c>
      <c r="P26" s="22">
        <f>50+40+39+28+88+67</f>
        <v>312</v>
      </c>
      <c r="Q26" s="100"/>
      <c r="R26" s="85"/>
      <c r="S26" s="150"/>
      <c r="T26" s="150"/>
      <c r="U26" s="150"/>
      <c r="V26" s="150"/>
      <c r="W26" s="150"/>
      <c r="X26" s="150"/>
      <c r="Y26" s="150"/>
      <c r="Z26" s="150"/>
      <c r="AA26" s="150"/>
      <c r="AB26" s="150"/>
      <c r="AC26" s="150"/>
      <c r="AD26" s="150"/>
      <c r="AE26" s="150"/>
      <c r="AF26" s="150"/>
      <c r="AG26" s="150"/>
      <c r="AH26" s="150"/>
      <c r="AI26" s="150"/>
      <c r="AJ26" s="150"/>
      <c r="AK26" s="150"/>
      <c r="AL26" s="150"/>
      <c r="AM26" s="164"/>
      <c r="AN26" s="164"/>
      <c r="AO26" s="164"/>
      <c r="AP26" s="164"/>
      <c r="AQ26" s="164"/>
      <c r="AR26" s="164"/>
      <c r="AS26" s="164"/>
      <c r="AT26" s="164"/>
      <c r="AU26" s="164"/>
      <c r="AV26" s="164"/>
      <c r="AW26" s="164"/>
      <c r="AX26" s="164"/>
      <c r="AY26" s="168"/>
      <c r="AZ26" s="168"/>
      <c r="BA26" s="168"/>
      <c r="BB26" s="168"/>
      <c r="BC26" s="168"/>
      <c r="BD26" s="168"/>
      <c r="BE26" s="164"/>
      <c r="BF26" s="166"/>
      <c r="BG26" s="166"/>
    </row>
    <row r="27" spans="1:59" s="17" customFormat="1" ht="15.75" customHeight="1">
      <c r="A27" s="108">
        <v>45271</v>
      </c>
      <c r="B27" s="87" t="s">
        <v>37</v>
      </c>
      <c r="C27" s="89">
        <v>1</v>
      </c>
      <c r="D27" s="91" t="s">
        <v>38</v>
      </c>
      <c r="E27" s="89">
        <v>84426</v>
      </c>
      <c r="F27" s="89" t="s">
        <v>49</v>
      </c>
      <c r="G27" s="93" t="s">
        <v>55</v>
      </c>
      <c r="H27" s="90" t="s">
        <v>58</v>
      </c>
      <c r="I27" s="90">
        <v>549</v>
      </c>
      <c r="J27" s="90">
        <v>549</v>
      </c>
      <c r="K27" s="20">
        <v>0</v>
      </c>
      <c r="L27" s="20">
        <v>0</v>
      </c>
      <c r="M27" s="20">
        <v>0</v>
      </c>
      <c r="N27" s="97">
        <f>O28/L28</f>
        <v>0.81238615664845171</v>
      </c>
      <c r="O27" s="21">
        <f t="shared" si="0"/>
        <v>0</v>
      </c>
      <c r="P27" s="27">
        <v>0</v>
      </c>
      <c r="Q27" s="99">
        <f>+L28-P28</f>
        <v>3</v>
      </c>
      <c r="R27" s="108"/>
      <c r="S27" s="96"/>
      <c r="T27" s="96"/>
      <c r="U27" s="96"/>
      <c r="V27" s="96"/>
      <c r="W27" s="96"/>
      <c r="X27" s="96"/>
      <c r="Y27" s="96"/>
      <c r="Z27" s="96"/>
      <c r="AA27" s="96"/>
      <c r="AB27" s="96"/>
      <c r="AC27" s="96"/>
      <c r="AD27" s="96"/>
      <c r="AE27" s="96"/>
      <c r="AF27" s="96"/>
      <c r="AG27" s="96"/>
      <c r="AH27" s="96"/>
      <c r="AI27" s="96"/>
      <c r="AJ27" s="96"/>
      <c r="AK27" s="96"/>
      <c r="AL27" s="96"/>
      <c r="AM27" s="103"/>
      <c r="AN27" s="103"/>
      <c r="AO27" s="103"/>
      <c r="AP27" s="103"/>
      <c r="AQ27" s="103"/>
      <c r="AR27" s="103"/>
      <c r="AS27" s="103"/>
      <c r="AT27" s="103"/>
      <c r="AU27" s="103"/>
      <c r="AV27" s="103"/>
      <c r="AW27" s="103"/>
      <c r="AX27" s="103"/>
      <c r="AY27" s="106"/>
      <c r="AZ27" s="106"/>
      <c r="BA27" s="106"/>
      <c r="BB27" s="106"/>
      <c r="BC27" s="106"/>
      <c r="BD27" s="106"/>
      <c r="BE27" s="103"/>
      <c r="BF27" s="104"/>
      <c r="BG27" s="104"/>
    </row>
    <row r="28" spans="1:59" s="17" customFormat="1" ht="15.75" customHeight="1">
      <c r="A28" s="85"/>
      <c r="B28" s="88"/>
      <c r="C28" s="90"/>
      <c r="D28" s="92"/>
      <c r="E28" s="90"/>
      <c r="F28" s="90"/>
      <c r="G28" s="94"/>
      <c r="H28" s="95"/>
      <c r="I28" s="95"/>
      <c r="J28" s="95"/>
      <c r="K28" s="49">
        <f>483+66</f>
        <v>549</v>
      </c>
      <c r="L28" s="18">
        <f>483+66</f>
        <v>549</v>
      </c>
      <c r="M28" s="18">
        <f>86+17</f>
        <v>103</v>
      </c>
      <c r="N28" s="98"/>
      <c r="O28" s="19">
        <f t="shared" si="0"/>
        <v>446</v>
      </c>
      <c r="P28" s="22">
        <f>453+80+11+2</f>
        <v>546</v>
      </c>
      <c r="Q28" s="100"/>
      <c r="R28" s="85"/>
      <c r="S28" s="96"/>
      <c r="T28" s="96"/>
      <c r="U28" s="96"/>
      <c r="V28" s="96"/>
      <c r="W28" s="96"/>
      <c r="X28" s="96"/>
      <c r="Y28" s="96"/>
      <c r="Z28" s="96"/>
      <c r="AA28" s="96"/>
      <c r="AB28" s="96"/>
      <c r="AC28" s="96"/>
      <c r="AD28" s="96"/>
      <c r="AE28" s="96"/>
      <c r="AF28" s="96"/>
      <c r="AG28" s="96"/>
      <c r="AH28" s="96"/>
      <c r="AI28" s="96"/>
      <c r="AJ28" s="96"/>
      <c r="AK28" s="96"/>
      <c r="AL28" s="96"/>
      <c r="AM28" s="103"/>
      <c r="AN28" s="103"/>
      <c r="AO28" s="103"/>
      <c r="AP28" s="103"/>
      <c r="AQ28" s="103"/>
      <c r="AR28" s="103"/>
      <c r="AS28" s="103"/>
      <c r="AT28" s="103"/>
      <c r="AU28" s="103"/>
      <c r="AV28" s="103"/>
      <c r="AW28" s="103"/>
      <c r="AX28" s="103"/>
      <c r="AY28" s="107"/>
      <c r="AZ28" s="107"/>
      <c r="BA28" s="107"/>
      <c r="BB28" s="107"/>
      <c r="BC28" s="107"/>
      <c r="BD28" s="107"/>
      <c r="BE28" s="103"/>
      <c r="BF28" s="105"/>
      <c r="BG28" s="105"/>
    </row>
    <row r="29" spans="1:59" s="17" customFormat="1" ht="15.75" customHeight="1">
      <c r="A29" s="108">
        <v>45271</v>
      </c>
      <c r="B29" s="87" t="s">
        <v>37</v>
      </c>
      <c r="C29" s="89">
        <v>1</v>
      </c>
      <c r="D29" s="91" t="s">
        <v>38</v>
      </c>
      <c r="E29" s="89">
        <v>84352</v>
      </c>
      <c r="F29" s="89" t="s">
        <v>49</v>
      </c>
      <c r="G29" s="93" t="s">
        <v>55</v>
      </c>
      <c r="H29" s="109" t="s">
        <v>39</v>
      </c>
      <c r="I29" s="90">
        <v>1050</v>
      </c>
      <c r="J29" s="170">
        <v>1053</v>
      </c>
      <c r="K29" s="43">
        <v>0</v>
      </c>
      <c r="L29" s="48">
        <v>28</v>
      </c>
      <c r="M29" s="20">
        <v>13</v>
      </c>
      <c r="N29" s="97">
        <f>O30/L30</f>
        <v>0.64411764705882357</v>
      </c>
      <c r="O29" s="21">
        <f t="shared" si="0"/>
        <v>15</v>
      </c>
      <c r="P29" s="27">
        <v>91</v>
      </c>
      <c r="Q29" s="99">
        <f>+L30-P30</f>
        <v>177</v>
      </c>
      <c r="R29" s="85"/>
      <c r="S29" s="96"/>
      <c r="T29" s="96"/>
      <c r="U29" s="96">
        <v>3</v>
      </c>
      <c r="V29" s="96"/>
      <c r="W29" s="96"/>
      <c r="X29" s="96"/>
      <c r="Y29" s="96"/>
      <c r="Z29" s="96"/>
      <c r="AA29" s="96"/>
      <c r="AB29" s="96"/>
      <c r="AC29" s="96">
        <v>4</v>
      </c>
      <c r="AD29" s="96"/>
      <c r="AE29" s="96">
        <v>1</v>
      </c>
      <c r="AF29" s="96">
        <v>4</v>
      </c>
      <c r="AG29" s="96"/>
      <c r="AH29" s="96"/>
      <c r="AI29" s="96"/>
      <c r="AJ29" s="96"/>
      <c r="AK29" s="96"/>
      <c r="AL29" s="96">
        <v>3</v>
      </c>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5"/>
      <c r="B30" s="88"/>
      <c r="C30" s="90"/>
      <c r="D30" s="92"/>
      <c r="E30" s="90"/>
      <c r="F30" s="90"/>
      <c r="G30" s="94"/>
      <c r="H30" s="95"/>
      <c r="I30" s="95"/>
      <c r="J30" s="171"/>
      <c r="K30" s="47">
        <f>320+108+237+109+43+100+35+68</f>
        <v>1020</v>
      </c>
      <c r="L30" s="46">
        <f>10+10+10+235+60+10+150+85+185+102+40+95+28</f>
        <v>1020</v>
      </c>
      <c r="M30" s="18">
        <f>75+30+45+42+80+30+8+40+13</f>
        <v>363</v>
      </c>
      <c r="N30" s="98"/>
      <c r="O30" s="19">
        <f t="shared" si="0"/>
        <v>657</v>
      </c>
      <c r="P30" s="22">
        <f>105+70+80+92+96+70+74+165+91</f>
        <v>843</v>
      </c>
      <c r="Q30" s="100"/>
      <c r="R30" s="86"/>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108">
        <v>45271</v>
      </c>
      <c r="B31" s="87" t="s">
        <v>37</v>
      </c>
      <c r="C31" s="89">
        <v>1</v>
      </c>
      <c r="D31" s="91" t="s">
        <v>38</v>
      </c>
      <c r="E31" s="89">
        <v>84352</v>
      </c>
      <c r="F31" s="89" t="s">
        <v>49</v>
      </c>
      <c r="G31" s="93" t="s">
        <v>55</v>
      </c>
      <c r="H31" s="109" t="s">
        <v>57</v>
      </c>
      <c r="I31" s="90">
        <v>525</v>
      </c>
      <c r="J31" s="90">
        <v>525</v>
      </c>
      <c r="K31" s="20">
        <v>122</v>
      </c>
      <c r="L31" s="20">
        <v>60</v>
      </c>
      <c r="M31" s="20">
        <v>30</v>
      </c>
      <c r="N31" s="97">
        <f>O32/L32</f>
        <v>0.51249999999999996</v>
      </c>
      <c r="O31" s="21">
        <f t="shared" si="0"/>
        <v>30</v>
      </c>
      <c r="P31" s="27">
        <v>30</v>
      </c>
      <c r="Q31" s="99">
        <f>+L32-P32</f>
        <v>41</v>
      </c>
      <c r="R31" s="85"/>
      <c r="S31" s="96"/>
      <c r="T31" s="96">
        <v>2</v>
      </c>
      <c r="U31" s="96"/>
      <c r="V31" s="96"/>
      <c r="W31" s="96"/>
      <c r="X31" s="96">
        <v>1</v>
      </c>
      <c r="Y31" s="96"/>
      <c r="Z31" s="96"/>
      <c r="AA31" s="96"/>
      <c r="AB31" s="96"/>
      <c r="AC31" s="96">
        <v>2</v>
      </c>
      <c r="AD31" s="96"/>
      <c r="AE31" s="96">
        <v>3</v>
      </c>
      <c r="AF31" s="96">
        <v>4</v>
      </c>
      <c r="AG31" s="96">
        <v>11</v>
      </c>
      <c r="AH31" s="96">
        <v>3</v>
      </c>
      <c r="AI31" s="96"/>
      <c r="AJ31" s="96"/>
      <c r="AK31" s="96"/>
      <c r="AL31" s="96">
        <v>4</v>
      </c>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41">
        <f>70+50+122</f>
        <v>242</v>
      </c>
      <c r="L32" s="18">
        <f>20+60</f>
        <v>80</v>
      </c>
      <c r="M32" s="18">
        <f>9+30</f>
        <v>39</v>
      </c>
      <c r="N32" s="98"/>
      <c r="O32" s="19">
        <f t="shared" si="0"/>
        <v>41</v>
      </c>
      <c r="P32" s="22">
        <f>9+30</f>
        <v>39</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45271</v>
      </c>
      <c r="B33" s="87" t="s">
        <v>37</v>
      </c>
      <c r="C33" s="89">
        <v>1</v>
      </c>
      <c r="D33" s="91" t="s">
        <v>38</v>
      </c>
      <c r="E33" s="89">
        <v>84031</v>
      </c>
      <c r="F33" s="89" t="s">
        <v>49</v>
      </c>
      <c r="G33" s="93" t="s">
        <v>53</v>
      </c>
      <c r="H33" s="90" t="s">
        <v>57</v>
      </c>
      <c r="I33" s="90">
        <v>563</v>
      </c>
      <c r="J33" s="90">
        <v>563</v>
      </c>
      <c r="K33" s="43">
        <v>0</v>
      </c>
      <c r="L33" s="20">
        <v>0</v>
      </c>
      <c r="M33" s="20">
        <v>0</v>
      </c>
      <c r="N33" s="97">
        <f>O34/L34</f>
        <v>0.85343228200371057</v>
      </c>
      <c r="O33" s="21">
        <f t="shared" si="0"/>
        <v>0</v>
      </c>
      <c r="P33" s="27">
        <v>0</v>
      </c>
      <c r="Q33" s="99">
        <f>+L34-P34</f>
        <v>0</v>
      </c>
      <c r="R33" s="85" t="s">
        <v>68</v>
      </c>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22">
        <f>516+20+3</f>
        <v>539</v>
      </c>
      <c r="L34" s="18">
        <f>516+20+3</f>
        <v>539</v>
      </c>
      <c r="M34" s="18">
        <f>74+2+3</f>
        <v>79</v>
      </c>
      <c r="N34" s="98"/>
      <c r="O34" s="19">
        <f t="shared" si="0"/>
        <v>460</v>
      </c>
      <c r="P34" s="22">
        <f>516+20+3</f>
        <v>539</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45271</v>
      </c>
      <c r="B35" s="87" t="s">
        <v>37</v>
      </c>
      <c r="C35" s="89">
        <v>1</v>
      </c>
      <c r="D35" s="91" t="s">
        <v>38</v>
      </c>
      <c r="E35" s="89">
        <v>84031</v>
      </c>
      <c r="F35" s="89" t="s">
        <v>49</v>
      </c>
      <c r="G35" s="93" t="s">
        <v>53</v>
      </c>
      <c r="H35" s="90" t="s">
        <v>39</v>
      </c>
      <c r="I35" s="90">
        <v>623</v>
      </c>
      <c r="J35" s="90">
        <v>623</v>
      </c>
      <c r="K35" s="20">
        <v>0</v>
      </c>
      <c r="L35" s="20">
        <v>0</v>
      </c>
      <c r="M35" s="20">
        <v>0</v>
      </c>
      <c r="N35" s="97">
        <f>O36/L36</f>
        <v>0.79710144927536231</v>
      </c>
      <c r="O35" s="21">
        <f t="shared" si="0"/>
        <v>0</v>
      </c>
      <c r="P35" s="27">
        <v>0</v>
      </c>
      <c r="Q35" s="99">
        <f>+L36-P36</f>
        <v>0</v>
      </c>
      <c r="R35" s="85" t="s">
        <v>68</v>
      </c>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574+9+30+5+3</f>
        <v>621</v>
      </c>
      <c r="L36" s="18">
        <f>574+9+30+5+3</f>
        <v>621</v>
      </c>
      <c r="M36" s="18">
        <f>109+9+5+3</f>
        <v>126</v>
      </c>
      <c r="N36" s="98"/>
      <c r="O36" s="19">
        <f t="shared" si="0"/>
        <v>495</v>
      </c>
      <c r="P36" s="22">
        <f>574+9+30+5+3</f>
        <v>621</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45271</v>
      </c>
      <c r="B37" s="87" t="s">
        <v>37</v>
      </c>
      <c r="C37" s="89">
        <v>1</v>
      </c>
      <c r="D37" s="91" t="s">
        <v>77</v>
      </c>
      <c r="E37" s="89">
        <v>20785</v>
      </c>
      <c r="F37" s="89" t="s">
        <v>76</v>
      </c>
      <c r="G37" s="93" t="s">
        <v>71</v>
      </c>
      <c r="H37" s="90" t="s">
        <v>70</v>
      </c>
      <c r="I37" s="90">
        <v>1475</v>
      </c>
      <c r="J37" s="90">
        <v>1475</v>
      </c>
      <c r="K37" s="20">
        <v>0</v>
      </c>
      <c r="L37" s="20">
        <v>15</v>
      </c>
      <c r="M37" s="20">
        <v>0</v>
      </c>
      <c r="N37" s="97">
        <f>O38/L38</f>
        <v>1</v>
      </c>
      <c r="O37" s="21">
        <f t="shared" si="0"/>
        <v>15</v>
      </c>
      <c r="P37" s="27">
        <v>20</v>
      </c>
      <c r="Q37" s="99">
        <f>+L38-P38</f>
        <v>45</v>
      </c>
      <c r="R37" s="85"/>
      <c r="S37" s="96"/>
      <c r="T37" s="96"/>
      <c r="U37" s="96"/>
      <c r="V37" s="96"/>
      <c r="W37" s="96"/>
      <c r="X37" s="96"/>
      <c r="Y37" s="96"/>
      <c r="Z37" s="96"/>
      <c r="AA37" s="96"/>
      <c r="AB37" s="96"/>
      <c r="AC37" s="96">
        <v>2</v>
      </c>
      <c r="AD37" s="96"/>
      <c r="AE37" s="96"/>
      <c r="AF37" s="96"/>
      <c r="AG37" s="96">
        <v>2</v>
      </c>
      <c r="AH37" s="96">
        <v>5</v>
      </c>
      <c r="AI37" s="96"/>
      <c r="AJ37" s="96"/>
      <c r="AK37" s="96"/>
      <c r="AL37" s="96">
        <v>6</v>
      </c>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26+20+20+15+15</f>
        <v>96</v>
      </c>
      <c r="L38" s="18">
        <f>26+10+30+15+15</f>
        <v>96</v>
      </c>
      <c r="M38" s="18">
        <v>0</v>
      </c>
      <c r="N38" s="98"/>
      <c r="O38" s="19">
        <f t="shared" si="0"/>
        <v>96</v>
      </c>
      <c r="P38" s="22">
        <f>10+10+6+5+20</f>
        <v>51</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45271</v>
      </c>
      <c r="B39" s="87" t="s">
        <v>37</v>
      </c>
      <c r="C39" s="89">
        <v>1</v>
      </c>
      <c r="D39" s="91" t="s">
        <v>77</v>
      </c>
      <c r="E39" s="89">
        <v>20785</v>
      </c>
      <c r="F39" s="89" t="s">
        <v>76</v>
      </c>
      <c r="G39" s="93" t="s">
        <v>71</v>
      </c>
      <c r="H39" s="90" t="s">
        <v>75</v>
      </c>
      <c r="I39" s="90">
        <v>501</v>
      </c>
      <c r="J39" s="90">
        <v>501</v>
      </c>
      <c r="K39" s="20">
        <v>0</v>
      </c>
      <c r="L39" s="20">
        <v>0</v>
      </c>
      <c r="M39" s="20">
        <v>0</v>
      </c>
      <c r="N39" s="97">
        <f>O40/L40</f>
        <v>0.9358974358974359</v>
      </c>
      <c r="O39" s="21">
        <f t="shared" si="0"/>
        <v>0</v>
      </c>
      <c r="P39" s="27">
        <v>58</v>
      </c>
      <c r="Q39" s="99">
        <f>+L40-P40</f>
        <v>0</v>
      </c>
      <c r="R39" s="85"/>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24+31+23</f>
        <v>78</v>
      </c>
      <c r="L40" s="18">
        <f>10+45+5+18</f>
        <v>78</v>
      </c>
      <c r="M40" s="18">
        <f>5</f>
        <v>5</v>
      </c>
      <c r="N40" s="98"/>
      <c r="O40" s="19">
        <f t="shared" si="0"/>
        <v>73</v>
      </c>
      <c r="P40" s="22">
        <f>5+15+58</f>
        <v>78</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45271</v>
      </c>
      <c r="B41" s="87" t="s">
        <v>37</v>
      </c>
      <c r="C41" s="89">
        <v>1</v>
      </c>
      <c r="D41" s="91" t="s">
        <v>77</v>
      </c>
      <c r="E41" s="89">
        <v>20785</v>
      </c>
      <c r="F41" s="89" t="s">
        <v>76</v>
      </c>
      <c r="G41" s="93" t="s">
        <v>71</v>
      </c>
      <c r="H41" s="90" t="s">
        <v>79</v>
      </c>
      <c r="I41" s="90">
        <v>826</v>
      </c>
      <c r="J41" s="90">
        <v>826</v>
      </c>
      <c r="K41" s="20">
        <v>48</v>
      </c>
      <c r="L41" s="20">
        <v>30</v>
      </c>
      <c r="M41" s="20">
        <v>10</v>
      </c>
      <c r="N41" s="97">
        <f>O42/L42</f>
        <v>0.64864864864864868</v>
      </c>
      <c r="O41" s="21">
        <f t="shared" si="0"/>
        <v>20</v>
      </c>
      <c r="P41" s="27">
        <v>10</v>
      </c>
      <c r="Q41" s="99">
        <f>+L42-P42</f>
        <v>24</v>
      </c>
      <c r="R41" s="85"/>
      <c r="S41" s="96"/>
      <c r="T41" s="96"/>
      <c r="U41" s="96"/>
      <c r="V41" s="96"/>
      <c r="W41" s="96"/>
      <c r="X41" s="96">
        <v>2</v>
      </c>
      <c r="Y41" s="96"/>
      <c r="Z41" s="96"/>
      <c r="AA41" s="96"/>
      <c r="AB41" s="96"/>
      <c r="AC41" s="96">
        <v>3</v>
      </c>
      <c r="AD41" s="96"/>
      <c r="AE41" s="96">
        <v>3</v>
      </c>
      <c r="AF41" s="96"/>
      <c r="AG41" s="96">
        <v>10</v>
      </c>
      <c r="AH41" s="96"/>
      <c r="AI41" s="96"/>
      <c r="AJ41" s="96"/>
      <c r="AK41" s="96"/>
      <c r="AL41" s="96">
        <v>2</v>
      </c>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8+32+48</f>
        <v>88</v>
      </c>
      <c r="L42" s="18">
        <f>7+30</f>
        <v>37</v>
      </c>
      <c r="M42" s="18">
        <f>3+10</f>
        <v>13</v>
      </c>
      <c r="N42" s="98"/>
      <c r="O42" s="19">
        <f t="shared" si="0"/>
        <v>24</v>
      </c>
      <c r="P42" s="22">
        <f>3+10</f>
        <v>13</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ht="24.75" customHeight="1">
      <c r="A43" s="111" t="s">
        <v>15</v>
      </c>
      <c r="B43" s="112"/>
      <c r="C43" s="112"/>
      <c r="D43" s="112"/>
      <c r="E43" s="112"/>
      <c r="F43" s="112"/>
      <c r="G43" s="112"/>
      <c r="H43" s="112"/>
      <c r="I43" s="113"/>
      <c r="J43" s="5">
        <f>SUM(J5:J42)</f>
        <v>20130</v>
      </c>
      <c r="K43" s="5">
        <f>+SUMPRODUCT(((MOD(ROW(K5:K42),2)=1)*(K5:K42)))</f>
        <v>976</v>
      </c>
      <c r="L43" s="5">
        <f>+SUMPRODUCT(((MOD(ROW(L5:L42),2)=1)*(L5:L42)))</f>
        <v>591</v>
      </c>
      <c r="M43" s="5">
        <f>+SUMPRODUCT(((MOD(ROW(M5:M42),2)=1)*(M5:M42)))</f>
        <v>226</v>
      </c>
      <c r="N43" s="23">
        <f>O43/L43</f>
        <v>0.61759729272419628</v>
      </c>
      <c r="O43" s="5">
        <f>+SUMPRODUCT(((MOD(ROW(O5:O42),2)=1)*(O5:O42)))</f>
        <v>365</v>
      </c>
      <c r="P43" s="5">
        <f>+SUMPRODUCT(((MOD(ROW(P5:P42),2)=1)*(P5:P42)))</f>
        <v>1328</v>
      </c>
      <c r="Q43" s="5">
        <f>+SUMPRODUCT(((MOD(ROW(Q5:Q42),2)=1)*(Q5:Q42)))</f>
        <v>1805</v>
      </c>
      <c r="R43" s="29"/>
      <c r="S43" s="5">
        <f t="shared" ref="S43:BG43" si="1">SUM(S5:S42)</f>
        <v>4</v>
      </c>
      <c r="T43" s="5">
        <f t="shared" si="1"/>
        <v>100</v>
      </c>
      <c r="U43" s="5">
        <f t="shared" si="1"/>
        <v>14</v>
      </c>
      <c r="V43" s="5">
        <f t="shared" si="1"/>
        <v>0</v>
      </c>
      <c r="W43" s="5">
        <f t="shared" si="1"/>
        <v>0</v>
      </c>
      <c r="X43" s="5">
        <f t="shared" si="1"/>
        <v>9</v>
      </c>
      <c r="Y43" s="5">
        <f t="shared" si="1"/>
        <v>1</v>
      </c>
      <c r="Z43" s="5">
        <f t="shared" si="1"/>
        <v>0</v>
      </c>
      <c r="AA43" s="5">
        <f t="shared" si="1"/>
        <v>0</v>
      </c>
      <c r="AB43" s="5">
        <f t="shared" si="1"/>
        <v>0</v>
      </c>
      <c r="AC43" s="5">
        <f t="shared" si="1"/>
        <v>40</v>
      </c>
      <c r="AD43" s="5">
        <f t="shared" si="1"/>
        <v>0</v>
      </c>
      <c r="AE43" s="5">
        <f t="shared" si="1"/>
        <v>15</v>
      </c>
      <c r="AF43" s="5">
        <f t="shared" si="1"/>
        <v>29</v>
      </c>
      <c r="AG43" s="5">
        <f t="shared" si="1"/>
        <v>74</v>
      </c>
      <c r="AH43" s="5">
        <f t="shared" si="1"/>
        <v>51</v>
      </c>
      <c r="AI43" s="5">
        <f t="shared" si="1"/>
        <v>0</v>
      </c>
      <c r="AJ43" s="5">
        <f t="shared" si="1"/>
        <v>0</v>
      </c>
      <c r="AK43" s="5">
        <f t="shared" si="1"/>
        <v>0</v>
      </c>
      <c r="AL43" s="5">
        <f t="shared" si="1"/>
        <v>28</v>
      </c>
      <c r="AM43" s="5">
        <f t="shared" si="1"/>
        <v>0</v>
      </c>
      <c r="AN43" s="5">
        <f t="shared" si="1"/>
        <v>0</v>
      </c>
      <c r="AO43" s="5">
        <f t="shared" si="1"/>
        <v>0</v>
      </c>
      <c r="AP43" s="5">
        <f t="shared" si="1"/>
        <v>0</v>
      </c>
      <c r="AQ43" s="5">
        <f t="shared" si="1"/>
        <v>0</v>
      </c>
      <c r="AR43" s="5">
        <f t="shared" si="1"/>
        <v>0</v>
      </c>
      <c r="AS43" s="5">
        <f t="shared" si="1"/>
        <v>0</v>
      </c>
      <c r="AT43" s="5">
        <f t="shared" si="1"/>
        <v>0</v>
      </c>
      <c r="AU43" s="5">
        <f t="shared" si="1"/>
        <v>0</v>
      </c>
      <c r="AV43" s="5">
        <f t="shared" si="1"/>
        <v>0</v>
      </c>
      <c r="AW43" s="5">
        <f t="shared" si="1"/>
        <v>0</v>
      </c>
      <c r="AX43" s="5">
        <f t="shared" si="1"/>
        <v>0</v>
      </c>
      <c r="AY43" s="5">
        <f t="shared" si="1"/>
        <v>0</v>
      </c>
      <c r="AZ43" s="5">
        <f t="shared" si="1"/>
        <v>0</v>
      </c>
      <c r="BA43" s="5">
        <f t="shared" si="1"/>
        <v>0</v>
      </c>
      <c r="BB43" s="5">
        <f t="shared" si="1"/>
        <v>0</v>
      </c>
      <c r="BC43" s="5">
        <f t="shared" si="1"/>
        <v>0</v>
      </c>
      <c r="BD43" s="5">
        <f t="shared" si="1"/>
        <v>0</v>
      </c>
      <c r="BE43" s="5">
        <f t="shared" si="1"/>
        <v>0</v>
      </c>
      <c r="BF43" s="5">
        <f t="shared" si="1"/>
        <v>0</v>
      </c>
      <c r="BG43" s="5">
        <f t="shared" si="1"/>
        <v>0</v>
      </c>
    </row>
    <row r="44" spans="1:59" s="17" customFormat="1" ht="15.75" hidden="1" customHeight="1">
      <c r="A44" s="85"/>
      <c r="B44" s="87"/>
      <c r="C44" s="89"/>
      <c r="D44" s="91"/>
      <c r="E44" s="89"/>
      <c r="F44" s="89"/>
      <c r="G44" s="93"/>
      <c r="H44" s="90"/>
      <c r="I44" s="90"/>
      <c r="J44" s="90"/>
      <c r="K44" s="20"/>
      <c r="L44" s="20"/>
      <c r="M44" s="20"/>
      <c r="N44" s="97" t="e">
        <f>O45/L45</f>
        <v>#DIV/0!</v>
      </c>
      <c r="O44" s="21">
        <f>+L44-M44</f>
        <v>0</v>
      </c>
      <c r="P44" s="27">
        <v>0</v>
      </c>
      <c r="Q44" s="99">
        <f>+L45-P45</f>
        <v>0</v>
      </c>
      <c r="R44" s="169"/>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6"/>
      <c r="AZ44" s="106"/>
      <c r="BA44" s="106"/>
      <c r="BB44" s="106"/>
      <c r="BC44" s="106"/>
      <c r="BD44" s="106"/>
      <c r="BE44" s="103"/>
      <c r="BF44" s="104"/>
      <c r="BG44" s="104"/>
    </row>
    <row r="45" spans="1:59" s="17" customFormat="1" ht="15.75" hidden="1" customHeight="1">
      <c r="A45" s="86"/>
      <c r="B45" s="88"/>
      <c r="C45" s="90"/>
      <c r="D45" s="92"/>
      <c r="E45" s="90"/>
      <c r="F45" s="90"/>
      <c r="G45" s="94"/>
      <c r="H45" s="95"/>
      <c r="I45" s="95"/>
      <c r="J45" s="95"/>
      <c r="K45" s="22"/>
      <c r="L45" s="18"/>
      <c r="M45" s="18"/>
      <c r="N45" s="98"/>
      <c r="O45" s="19">
        <f>+L45-M45</f>
        <v>0</v>
      </c>
      <c r="P45" s="22">
        <v>0</v>
      </c>
      <c r="Q45" s="100"/>
      <c r="R45" s="86"/>
      <c r="S45" s="96"/>
      <c r="T45" s="96"/>
      <c r="U45" s="96"/>
      <c r="V45" s="96"/>
      <c r="W45" s="96"/>
      <c r="X45" s="96"/>
      <c r="Y45" s="96"/>
      <c r="Z45" s="96"/>
      <c r="AA45" s="96"/>
      <c r="AB45" s="96"/>
      <c r="AC45" s="96"/>
      <c r="AD45" s="96"/>
      <c r="AE45" s="96"/>
      <c r="AF45" s="96"/>
      <c r="AG45" s="96"/>
      <c r="AH45" s="96"/>
      <c r="AI45" s="96"/>
      <c r="AJ45" s="96"/>
      <c r="AK45" s="96"/>
      <c r="AL45" s="96"/>
      <c r="AM45" s="103"/>
      <c r="AN45" s="103"/>
      <c r="AO45" s="103"/>
      <c r="AP45" s="103"/>
      <c r="AQ45" s="103"/>
      <c r="AR45" s="103"/>
      <c r="AS45" s="103"/>
      <c r="AT45" s="103"/>
      <c r="AU45" s="103"/>
      <c r="AV45" s="103"/>
      <c r="AW45" s="103"/>
      <c r="AX45" s="103"/>
      <c r="AY45" s="107"/>
      <c r="AZ45" s="107"/>
      <c r="BA45" s="107"/>
      <c r="BB45" s="107"/>
      <c r="BC45" s="107"/>
      <c r="BD45" s="107"/>
      <c r="BE45" s="103"/>
      <c r="BF45" s="105"/>
      <c r="BG45" s="105"/>
    </row>
    <row r="46" spans="1:59" s="17" customFormat="1" ht="15.75" hidden="1" customHeight="1">
      <c r="A46" s="101"/>
      <c r="B46" s="114"/>
      <c r="C46" s="116"/>
      <c r="D46" s="118"/>
      <c r="E46" s="116"/>
      <c r="F46" s="116"/>
      <c r="G46" s="120"/>
      <c r="H46" s="90"/>
      <c r="I46" s="90"/>
      <c r="J46" s="90"/>
      <c r="K46" s="20"/>
      <c r="L46" s="20"/>
      <c r="M46" s="20"/>
      <c r="N46" s="97"/>
      <c r="O46" s="21"/>
      <c r="P46" s="27"/>
      <c r="Q46" s="99"/>
      <c r="R46" s="110"/>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6"/>
      <c r="AZ46" s="106"/>
      <c r="BA46" s="106"/>
      <c r="BB46" s="106"/>
      <c r="BC46" s="106"/>
      <c r="BD46" s="106"/>
      <c r="BE46" s="103"/>
      <c r="BF46" s="104"/>
      <c r="BG46" s="104"/>
    </row>
    <row r="47" spans="1:59" s="17" customFormat="1" ht="15.75" hidden="1" customHeight="1">
      <c r="A47" s="102"/>
      <c r="B47" s="115"/>
      <c r="C47" s="117"/>
      <c r="D47" s="119"/>
      <c r="E47" s="117"/>
      <c r="F47" s="117"/>
      <c r="G47" s="121"/>
      <c r="H47" s="95"/>
      <c r="I47" s="95"/>
      <c r="J47" s="95"/>
      <c r="K47" s="22"/>
      <c r="L47" s="18"/>
      <c r="M47" s="18"/>
      <c r="N47" s="98"/>
      <c r="O47" s="19"/>
      <c r="P47" s="22"/>
      <c r="Q47" s="100"/>
      <c r="R47" s="102"/>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7"/>
      <c r="AZ47" s="107"/>
      <c r="BA47" s="107"/>
      <c r="BB47" s="107"/>
      <c r="BC47" s="107"/>
      <c r="BD47" s="107"/>
      <c r="BE47" s="103"/>
      <c r="BF47" s="105"/>
      <c r="BG47" s="105"/>
    </row>
    <row r="48" spans="1:59" s="17" customFormat="1" ht="15.75" hidden="1" customHeight="1">
      <c r="A48" s="101"/>
      <c r="B48" s="114"/>
      <c r="C48" s="116"/>
      <c r="D48" s="118"/>
      <c r="E48" s="116"/>
      <c r="F48" s="116"/>
      <c r="G48" s="120"/>
      <c r="H48" s="90"/>
      <c r="I48" s="90"/>
      <c r="J48" s="90"/>
      <c r="K48" s="20"/>
      <c r="L48" s="20"/>
      <c r="M48" s="20"/>
      <c r="N48" s="97"/>
      <c r="O48" s="21"/>
      <c r="P48" s="27"/>
      <c r="Q48" s="99"/>
      <c r="R48" s="110"/>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6"/>
      <c r="AZ48" s="106"/>
      <c r="BA48" s="106"/>
      <c r="BB48" s="106"/>
      <c r="BC48" s="106"/>
      <c r="BD48" s="106"/>
      <c r="BE48" s="103"/>
      <c r="BF48" s="104"/>
      <c r="BG48" s="104"/>
    </row>
    <row r="49" spans="1:59" s="17" customFormat="1" ht="15.75" hidden="1" customHeight="1">
      <c r="A49" s="102"/>
      <c r="B49" s="115"/>
      <c r="C49" s="117"/>
      <c r="D49" s="119"/>
      <c r="E49" s="117"/>
      <c r="F49" s="117"/>
      <c r="G49" s="121"/>
      <c r="H49" s="95"/>
      <c r="I49" s="95"/>
      <c r="J49" s="95"/>
      <c r="K49" s="22"/>
      <c r="L49" s="18"/>
      <c r="M49" s="18"/>
      <c r="N49" s="98"/>
      <c r="O49" s="19"/>
      <c r="P49" s="22"/>
      <c r="Q49" s="100"/>
      <c r="R49" s="102"/>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7"/>
      <c r="AZ49" s="107"/>
      <c r="BA49" s="107"/>
      <c r="BB49" s="107"/>
      <c r="BC49" s="107"/>
      <c r="BD49" s="107"/>
      <c r="BE49" s="103"/>
      <c r="BF49" s="105"/>
      <c r="BG49" s="105"/>
    </row>
    <row r="50" spans="1:59" ht="24.75" hidden="1" customHeight="1">
      <c r="A50" s="111" t="s">
        <v>48</v>
      </c>
      <c r="B50" s="112"/>
      <c r="C50" s="112"/>
      <c r="D50" s="112"/>
      <c r="E50" s="112"/>
      <c r="F50" s="112"/>
      <c r="G50" s="112"/>
      <c r="H50" s="112"/>
      <c r="I50" s="113"/>
      <c r="J50" s="5">
        <f>SUM(J44:J49)</f>
        <v>0</v>
      </c>
      <c r="K50" s="5">
        <f>+SUMPRODUCT(((MOD(ROW(K44:K49),2)=0)*(K44:K49)))</f>
        <v>0</v>
      </c>
      <c r="L50" s="5">
        <f>+SUMPRODUCT(((MOD(ROW(L44:L49),2)=0)*(L44:L49)))</f>
        <v>0</v>
      </c>
      <c r="M50" s="5">
        <f>+SUMPRODUCT(((MOD(ROW(M44:M49),2)=0)*(M44:M49)))</f>
        <v>0</v>
      </c>
      <c r="N50" s="23" t="e">
        <f>O50/L50</f>
        <v>#DIV/0!</v>
      </c>
      <c r="O50" s="5">
        <f>+SUMPRODUCT(((MOD(ROW(O44:O49),2)=0)*(O44:O49)))</f>
        <v>0</v>
      </c>
      <c r="P50" s="5">
        <f>+SUMPRODUCT(((MOD(ROW(P44:P49),2)=0)*(P44:P49)))</f>
        <v>0</v>
      </c>
      <c r="Q50" s="29">
        <f>SUM(Q44:Q49)</f>
        <v>0</v>
      </c>
      <c r="R50" s="29"/>
      <c r="S50" s="5">
        <f t="shared" ref="S50:BG50" si="2">SUM(S44:S49)</f>
        <v>0</v>
      </c>
      <c r="T50" s="5">
        <f t="shared" si="2"/>
        <v>0</v>
      </c>
      <c r="U50" s="5">
        <f t="shared" si="2"/>
        <v>0</v>
      </c>
      <c r="V50" s="5">
        <f t="shared" si="2"/>
        <v>0</v>
      </c>
      <c r="W50" s="5">
        <f t="shared" si="2"/>
        <v>0</v>
      </c>
      <c r="X50" s="5">
        <f t="shared" si="2"/>
        <v>0</v>
      </c>
      <c r="Y50" s="5">
        <f t="shared" si="2"/>
        <v>0</v>
      </c>
      <c r="Z50" s="5">
        <f t="shared" si="2"/>
        <v>0</v>
      </c>
      <c r="AA50" s="5">
        <f t="shared" si="2"/>
        <v>0</v>
      </c>
      <c r="AB50" s="5">
        <f t="shared" si="2"/>
        <v>0</v>
      </c>
      <c r="AC50" s="5">
        <f t="shared" si="2"/>
        <v>0</v>
      </c>
      <c r="AD50" s="5">
        <f t="shared" si="2"/>
        <v>0</v>
      </c>
      <c r="AE50" s="5">
        <f t="shared" si="2"/>
        <v>0</v>
      </c>
      <c r="AF50" s="5">
        <f t="shared" si="2"/>
        <v>0</v>
      </c>
      <c r="AG50" s="5">
        <f t="shared" si="2"/>
        <v>0</v>
      </c>
      <c r="AH50" s="5">
        <f t="shared" si="2"/>
        <v>0</v>
      </c>
      <c r="AI50" s="5">
        <f t="shared" si="2"/>
        <v>0</v>
      </c>
      <c r="AJ50" s="5">
        <f t="shared" si="2"/>
        <v>0</v>
      </c>
      <c r="AK50" s="5">
        <f t="shared" si="2"/>
        <v>0</v>
      </c>
      <c r="AL50" s="5">
        <f t="shared" si="2"/>
        <v>0</v>
      </c>
      <c r="AM50" s="5">
        <f t="shared" si="2"/>
        <v>0</v>
      </c>
      <c r="AN50" s="5">
        <f t="shared" si="2"/>
        <v>0</v>
      </c>
      <c r="AO50" s="5">
        <f t="shared" si="2"/>
        <v>0</v>
      </c>
      <c r="AP50" s="5">
        <f t="shared" si="2"/>
        <v>0</v>
      </c>
      <c r="AQ50" s="5">
        <f t="shared" si="2"/>
        <v>0</v>
      </c>
      <c r="AR50" s="5">
        <f t="shared" si="2"/>
        <v>0</v>
      </c>
      <c r="AS50" s="5">
        <f t="shared" si="2"/>
        <v>0</v>
      </c>
      <c r="AT50" s="5">
        <f t="shared" si="2"/>
        <v>0</v>
      </c>
      <c r="AU50" s="5">
        <f t="shared" si="2"/>
        <v>0</v>
      </c>
      <c r="AV50" s="5">
        <f t="shared" si="2"/>
        <v>0</v>
      </c>
      <c r="AW50" s="5">
        <f t="shared" si="2"/>
        <v>0</v>
      </c>
      <c r="AX50" s="5">
        <f t="shared" si="2"/>
        <v>0</v>
      </c>
      <c r="AY50" s="5">
        <f t="shared" si="2"/>
        <v>0</v>
      </c>
      <c r="AZ50" s="5">
        <f t="shared" si="2"/>
        <v>0</v>
      </c>
      <c r="BA50" s="5">
        <f t="shared" si="2"/>
        <v>0</v>
      </c>
      <c r="BB50" s="5">
        <f t="shared" si="2"/>
        <v>0</v>
      </c>
      <c r="BC50" s="5">
        <f t="shared" si="2"/>
        <v>0</v>
      </c>
      <c r="BD50" s="5">
        <f t="shared" si="2"/>
        <v>0</v>
      </c>
      <c r="BE50" s="5">
        <f t="shared" si="2"/>
        <v>0</v>
      </c>
      <c r="BF50" s="5">
        <f t="shared" si="2"/>
        <v>0</v>
      </c>
      <c r="BG50" s="5">
        <f t="shared" si="2"/>
        <v>0</v>
      </c>
    </row>
    <row r="51" spans="1:59" s="17" customFormat="1" ht="15.75" hidden="1" customHeight="1">
      <c r="A51" s="85"/>
      <c r="B51" s="87"/>
      <c r="C51" s="89"/>
      <c r="D51" s="91"/>
      <c r="E51" s="89"/>
      <c r="F51" s="89"/>
      <c r="G51" s="93"/>
      <c r="H51" s="90"/>
      <c r="I51" s="90"/>
      <c r="J51" s="90"/>
      <c r="K51" s="20"/>
      <c r="L51" s="20"/>
      <c r="M51" s="20"/>
      <c r="N51" s="97"/>
      <c r="O51" s="21"/>
      <c r="P51" s="27"/>
      <c r="Q51" s="99"/>
      <c r="R51" s="110"/>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6"/>
      <c r="AZ51" s="106"/>
      <c r="BA51" s="106"/>
      <c r="BB51" s="106"/>
      <c r="BC51" s="106"/>
      <c r="BD51" s="106"/>
      <c r="BE51" s="103"/>
      <c r="BF51" s="104"/>
      <c r="BG51" s="104"/>
    </row>
    <row r="52" spans="1:59" s="17" customFormat="1" ht="15.75" hidden="1" customHeight="1">
      <c r="A52" s="86"/>
      <c r="B52" s="88"/>
      <c r="C52" s="90"/>
      <c r="D52" s="92"/>
      <c r="E52" s="90"/>
      <c r="F52" s="90"/>
      <c r="G52" s="94"/>
      <c r="H52" s="95"/>
      <c r="I52" s="95"/>
      <c r="J52" s="95"/>
      <c r="K52" s="22"/>
      <c r="L52" s="18"/>
      <c r="M52" s="18"/>
      <c r="N52" s="98"/>
      <c r="O52" s="19"/>
      <c r="P52" s="22"/>
      <c r="Q52" s="100"/>
      <c r="R52" s="102"/>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7"/>
      <c r="AZ52" s="107"/>
      <c r="BA52" s="107"/>
      <c r="BB52" s="107"/>
      <c r="BC52" s="107"/>
      <c r="BD52" s="107"/>
      <c r="BE52" s="103"/>
      <c r="BF52" s="105"/>
      <c r="BG52" s="105"/>
    </row>
    <row r="53" spans="1:59" s="17" customFormat="1" ht="15.75" hidden="1" customHeight="1">
      <c r="A53" s="101"/>
      <c r="B53" s="114"/>
      <c r="C53" s="116"/>
      <c r="D53" s="118"/>
      <c r="E53" s="118"/>
      <c r="F53" s="116"/>
      <c r="G53" s="120"/>
      <c r="H53" s="90"/>
      <c r="I53" s="90"/>
      <c r="J53" s="90"/>
      <c r="K53" s="20"/>
      <c r="L53" s="20"/>
      <c r="M53" s="20"/>
      <c r="N53" s="97" t="e">
        <f>O54/L54</f>
        <v>#DIV/0!</v>
      </c>
      <c r="O53" s="21">
        <f t="shared" ref="O53:O60" si="3">L53-M53</f>
        <v>0</v>
      </c>
      <c r="P53" s="27"/>
      <c r="Q53" s="99">
        <f>+L54-P54</f>
        <v>0</v>
      </c>
      <c r="R53" s="110"/>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5.75" hidden="1" customHeight="1">
      <c r="A54" s="102"/>
      <c r="B54" s="115"/>
      <c r="C54" s="117"/>
      <c r="D54" s="119"/>
      <c r="E54" s="119"/>
      <c r="F54" s="117"/>
      <c r="G54" s="121"/>
      <c r="H54" s="95"/>
      <c r="I54" s="95"/>
      <c r="J54" s="95"/>
      <c r="K54" s="22"/>
      <c r="L54" s="18"/>
      <c r="M54" s="18"/>
      <c r="N54" s="98"/>
      <c r="O54" s="19">
        <f t="shared" si="3"/>
        <v>0</v>
      </c>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5.75" hidden="1" customHeight="1">
      <c r="A55" s="101"/>
      <c r="B55" s="114"/>
      <c r="C55" s="116"/>
      <c r="D55" s="118"/>
      <c r="E55" s="118"/>
      <c r="F55" s="116"/>
      <c r="G55" s="120"/>
      <c r="H55" s="90"/>
      <c r="I55" s="90"/>
      <c r="J55" s="90"/>
      <c r="K55" s="20"/>
      <c r="L55" s="20"/>
      <c r="M55" s="20"/>
      <c r="N55" s="97" t="e">
        <f>O56/L56</f>
        <v>#DIV/0!</v>
      </c>
      <c r="O55" s="21">
        <f t="shared" si="3"/>
        <v>0</v>
      </c>
      <c r="P55" s="27"/>
      <c r="Q55" s="99">
        <f>+L56-P56</f>
        <v>0</v>
      </c>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102"/>
      <c r="B56" s="115"/>
      <c r="C56" s="117"/>
      <c r="D56" s="119"/>
      <c r="E56" s="119"/>
      <c r="F56" s="117"/>
      <c r="G56" s="121"/>
      <c r="H56" s="95"/>
      <c r="I56" s="95"/>
      <c r="J56" s="95"/>
      <c r="K56" s="22"/>
      <c r="L56" s="18"/>
      <c r="M56" s="18"/>
      <c r="N56" s="98"/>
      <c r="O56" s="19">
        <f t="shared" si="3"/>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si="3"/>
        <v>0</v>
      </c>
      <c r="P57" s="27"/>
      <c r="Q57" s="99">
        <f>+L58-P58</f>
        <v>0</v>
      </c>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109"/>
      <c r="I59" s="90"/>
      <c r="J59" s="90"/>
      <c r="K59" s="20"/>
      <c r="L59" s="20"/>
      <c r="M59" s="20"/>
      <c r="N59" s="97" t="e">
        <f>O60/L60</f>
        <v>#DIV/0!</v>
      </c>
      <c r="O59" s="21">
        <f t="shared" si="3"/>
        <v>0</v>
      </c>
      <c r="P59" s="27"/>
      <c r="Q59" s="99">
        <f>+L60-P60</f>
        <v>0</v>
      </c>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6"/>
      <c r="F61" s="116"/>
      <c r="G61" s="120"/>
      <c r="H61" s="90"/>
      <c r="I61" s="90"/>
      <c r="J61" s="90"/>
      <c r="K61" s="20"/>
      <c r="L61" s="20"/>
      <c r="M61" s="20"/>
      <c r="N61" s="97" t="e">
        <f>O62/L62</f>
        <v>#DIV/0!</v>
      </c>
      <c r="O61" s="21"/>
      <c r="P61" s="27"/>
      <c r="Q61" s="99"/>
      <c r="R61" s="110"/>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7"/>
      <c r="F62" s="117"/>
      <c r="G62" s="121"/>
      <c r="H62" s="95"/>
      <c r="I62" s="95"/>
      <c r="J62" s="95"/>
      <c r="K62" s="22"/>
      <c r="L62" s="18"/>
      <c r="M62" s="18"/>
      <c r="N62" s="98"/>
      <c r="O62" s="19"/>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ht="24.75" hidden="1" customHeight="1">
      <c r="A63" s="111" t="s">
        <v>74</v>
      </c>
      <c r="B63" s="112"/>
      <c r="C63" s="112"/>
      <c r="D63" s="112"/>
      <c r="E63" s="112"/>
      <c r="F63" s="112"/>
      <c r="G63" s="112"/>
      <c r="H63" s="112"/>
      <c r="I63" s="113"/>
      <c r="J63" s="5">
        <f>+SUMPRODUCT(((MOD(ROW(J51:J62),2)=1)*(J51:J62)))</f>
        <v>0</v>
      </c>
      <c r="K63" s="5">
        <f>+SUMPRODUCT(((MOD(ROW(K51:K62),2)=1)*(K51:K62)))</f>
        <v>0</v>
      </c>
      <c r="L63" s="5">
        <f>+SUMPRODUCT(((MOD(ROW(L51:L62),2)=1)*(L51:L62)))</f>
        <v>0</v>
      </c>
      <c r="M63" s="5">
        <f>+SUMPRODUCT(((MOD(ROW(M51:M62),2)=1)*(M51:M62)))</f>
        <v>0</v>
      </c>
      <c r="N63" s="23" t="e">
        <f>O63/L63</f>
        <v>#DIV/0!</v>
      </c>
      <c r="O63" s="5">
        <f>+SUMPRODUCT(((MOD(ROW(O51:O62),2)=1)*(O51:O62)))</f>
        <v>0</v>
      </c>
      <c r="P63" s="5">
        <f>+SUMPRODUCT(((MOD(ROW(P51:P62),2)=1)*(P51:P62)))</f>
        <v>0</v>
      </c>
      <c r="Q63" s="29">
        <f>SUM(Q51:Q62)</f>
        <v>0</v>
      </c>
      <c r="R63" s="29"/>
      <c r="S63" s="5">
        <f t="shared" ref="S63:BG63" si="4">SUM(S51:S62)</f>
        <v>0</v>
      </c>
      <c r="T63" s="5">
        <f t="shared" si="4"/>
        <v>0</v>
      </c>
      <c r="U63" s="5">
        <f t="shared" si="4"/>
        <v>0</v>
      </c>
      <c r="V63" s="5">
        <f t="shared" si="4"/>
        <v>0</v>
      </c>
      <c r="W63" s="5">
        <f t="shared" si="4"/>
        <v>0</v>
      </c>
      <c r="X63" s="5">
        <f t="shared" si="4"/>
        <v>0</v>
      </c>
      <c r="Y63" s="5">
        <f t="shared" si="4"/>
        <v>0</v>
      </c>
      <c r="Z63" s="5">
        <f t="shared" si="4"/>
        <v>0</v>
      </c>
      <c r="AA63" s="5">
        <f t="shared" si="4"/>
        <v>0</v>
      </c>
      <c r="AB63" s="5">
        <f t="shared" si="4"/>
        <v>0</v>
      </c>
      <c r="AC63" s="5">
        <f t="shared" si="4"/>
        <v>0</v>
      </c>
      <c r="AD63" s="5">
        <f t="shared" si="4"/>
        <v>0</v>
      </c>
      <c r="AE63" s="5">
        <f t="shared" si="4"/>
        <v>0</v>
      </c>
      <c r="AF63" s="5">
        <f t="shared" si="4"/>
        <v>0</v>
      </c>
      <c r="AG63" s="5">
        <f t="shared" si="4"/>
        <v>0</v>
      </c>
      <c r="AH63" s="5">
        <f t="shared" si="4"/>
        <v>0</v>
      </c>
      <c r="AI63" s="5">
        <f t="shared" si="4"/>
        <v>0</v>
      </c>
      <c r="AJ63" s="5">
        <f t="shared" si="4"/>
        <v>0</v>
      </c>
      <c r="AK63" s="5">
        <f t="shared" si="4"/>
        <v>0</v>
      </c>
      <c r="AL63" s="5">
        <f t="shared" si="4"/>
        <v>0</v>
      </c>
      <c r="AM63" s="5">
        <f t="shared" si="4"/>
        <v>0</v>
      </c>
      <c r="AN63" s="5">
        <f t="shared" si="4"/>
        <v>0</v>
      </c>
      <c r="AO63" s="5">
        <f t="shared" si="4"/>
        <v>0</v>
      </c>
      <c r="AP63" s="5">
        <f t="shared" si="4"/>
        <v>0</v>
      </c>
      <c r="AQ63" s="5">
        <f t="shared" si="4"/>
        <v>0</v>
      </c>
      <c r="AR63" s="5">
        <f t="shared" si="4"/>
        <v>0</v>
      </c>
      <c r="AS63" s="5">
        <f t="shared" si="4"/>
        <v>0</v>
      </c>
      <c r="AT63" s="5">
        <f t="shared" si="4"/>
        <v>0</v>
      </c>
      <c r="AU63" s="5">
        <f t="shared" si="4"/>
        <v>0</v>
      </c>
      <c r="AV63" s="5">
        <f t="shared" si="4"/>
        <v>0</v>
      </c>
      <c r="AW63" s="5">
        <f t="shared" si="4"/>
        <v>0</v>
      </c>
      <c r="AX63" s="5">
        <f t="shared" si="4"/>
        <v>0</v>
      </c>
      <c r="AY63" s="5">
        <f t="shared" si="4"/>
        <v>0</v>
      </c>
      <c r="AZ63" s="5">
        <f t="shared" si="4"/>
        <v>0</v>
      </c>
      <c r="BA63" s="5">
        <f t="shared" si="4"/>
        <v>0</v>
      </c>
      <c r="BB63" s="5">
        <f t="shared" si="4"/>
        <v>0</v>
      </c>
      <c r="BC63" s="5">
        <f t="shared" si="4"/>
        <v>0</v>
      </c>
      <c r="BD63" s="5">
        <f t="shared" si="4"/>
        <v>0</v>
      </c>
      <c r="BE63" s="5">
        <f t="shared" si="4"/>
        <v>0</v>
      </c>
      <c r="BF63" s="5">
        <f t="shared" si="4"/>
        <v>0</v>
      </c>
      <c r="BG63" s="5">
        <f t="shared" si="4"/>
        <v>0</v>
      </c>
    </row>
    <row r="64" spans="1:59" ht="24.75" customHeight="1">
      <c r="A64" s="122" t="s">
        <v>5</v>
      </c>
      <c r="B64" s="122"/>
      <c r="C64" s="122"/>
      <c r="D64" s="122"/>
      <c r="E64" s="122"/>
      <c r="F64" s="122"/>
      <c r="G64" s="122"/>
      <c r="H64" s="122"/>
      <c r="I64" s="122"/>
      <c r="J64" s="30">
        <f>J43+J63+J50</f>
        <v>20130</v>
      </c>
      <c r="K64" s="50">
        <f>K43+K50+K63</f>
        <v>976</v>
      </c>
      <c r="L64" s="50">
        <f>L43+L50+L63</f>
        <v>591</v>
      </c>
      <c r="M64" s="50">
        <f>M43+M50+M63</f>
        <v>226</v>
      </c>
      <c r="N64" s="32">
        <f>O64/L64</f>
        <v>0.61759729272419628</v>
      </c>
      <c r="O64" s="50">
        <f>O43+O50+O63</f>
        <v>365</v>
      </c>
      <c r="P64" s="50">
        <f>P43+P50+P63</f>
        <v>1328</v>
      </c>
      <c r="Q64" s="50">
        <f>Q43+Q50+Q63</f>
        <v>1805</v>
      </c>
      <c r="R64" s="50"/>
      <c r="S64" s="50">
        <f t="shared" ref="S64:BG64" si="5">S43+S50+S63</f>
        <v>4</v>
      </c>
      <c r="T64" s="50">
        <f t="shared" si="5"/>
        <v>100</v>
      </c>
      <c r="U64" s="50">
        <f t="shared" si="5"/>
        <v>14</v>
      </c>
      <c r="V64" s="50">
        <f t="shared" si="5"/>
        <v>0</v>
      </c>
      <c r="W64" s="50">
        <f t="shared" si="5"/>
        <v>0</v>
      </c>
      <c r="X64" s="50">
        <f t="shared" si="5"/>
        <v>9</v>
      </c>
      <c r="Y64" s="50">
        <f t="shared" si="5"/>
        <v>1</v>
      </c>
      <c r="Z64" s="50">
        <f t="shared" si="5"/>
        <v>0</v>
      </c>
      <c r="AA64" s="50">
        <f t="shared" si="5"/>
        <v>0</v>
      </c>
      <c r="AB64" s="50">
        <f t="shared" si="5"/>
        <v>0</v>
      </c>
      <c r="AC64" s="50">
        <f t="shared" si="5"/>
        <v>40</v>
      </c>
      <c r="AD64" s="50">
        <f t="shared" si="5"/>
        <v>0</v>
      </c>
      <c r="AE64" s="50">
        <f t="shared" si="5"/>
        <v>15</v>
      </c>
      <c r="AF64" s="50">
        <f t="shared" si="5"/>
        <v>29</v>
      </c>
      <c r="AG64" s="50">
        <f t="shared" si="5"/>
        <v>74</v>
      </c>
      <c r="AH64" s="50">
        <f t="shared" si="5"/>
        <v>51</v>
      </c>
      <c r="AI64" s="50">
        <f t="shared" si="5"/>
        <v>0</v>
      </c>
      <c r="AJ64" s="50">
        <f t="shared" si="5"/>
        <v>0</v>
      </c>
      <c r="AK64" s="50">
        <f t="shared" si="5"/>
        <v>0</v>
      </c>
      <c r="AL64" s="50">
        <f t="shared" si="5"/>
        <v>28</v>
      </c>
      <c r="AM64" s="50">
        <f t="shared" si="5"/>
        <v>0</v>
      </c>
      <c r="AN64" s="50">
        <f t="shared" si="5"/>
        <v>0</v>
      </c>
      <c r="AO64" s="50">
        <f t="shared" si="5"/>
        <v>0</v>
      </c>
      <c r="AP64" s="50">
        <f t="shared" si="5"/>
        <v>0</v>
      </c>
      <c r="AQ64" s="50">
        <f t="shared" si="5"/>
        <v>0</v>
      </c>
      <c r="AR64" s="50">
        <f t="shared" si="5"/>
        <v>0</v>
      </c>
      <c r="AS64" s="50">
        <f t="shared" si="5"/>
        <v>0</v>
      </c>
      <c r="AT64" s="50">
        <f t="shared" si="5"/>
        <v>0</v>
      </c>
      <c r="AU64" s="50">
        <f t="shared" si="5"/>
        <v>0</v>
      </c>
      <c r="AV64" s="50">
        <f t="shared" si="5"/>
        <v>0</v>
      </c>
      <c r="AW64" s="50">
        <f t="shared" si="5"/>
        <v>0</v>
      </c>
      <c r="AX64" s="50">
        <f t="shared" si="5"/>
        <v>0</v>
      </c>
      <c r="AY64" s="50">
        <f t="shared" si="5"/>
        <v>0</v>
      </c>
      <c r="AZ64" s="50">
        <f t="shared" si="5"/>
        <v>0</v>
      </c>
      <c r="BA64" s="50">
        <f t="shared" si="5"/>
        <v>0</v>
      </c>
      <c r="BB64" s="50">
        <f t="shared" si="5"/>
        <v>0</v>
      </c>
      <c r="BC64" s="50">
        <f t="shared" si="5"/>
        <v>0</v>
      </c>
      <c r="BD64" s="50">
        <f t="shared" si="5"/>
        <v>0</v>
      </c>
      <c r="BE64" s="50">
        <f t="shared" si="5"/>
        <v>0</v>
      </c>
      <c r="BF64" s="50">
        <f t="shared" si="5"/>
        <v>0</v>
      </c>
      <c r="BG64" s="50">
        <f t="shared" si="5"/>
        <v>0</v>
      </c>
    </row>
    <row r="65" spans="1:59" ht="31.8">
      <c r="A65" s="81" t="s">
        <v>36</v>
      </c>
      <c r="B65" s="81"/>
      <c r="C65" s="81"/>
      <c r="D65" s="81"/>
      <c r="E65" s="81"/>
      <c r="F65" s="81"/>
      <c r="G65" s="81"/>
      <c r="H65" s="81"/>
      <c r="I65" s="81"/>
      <c r="J65" s="81"/>
      <c r="K65" s="81"/>
      <c r="L65" s="81"/>
      <c r="M65" s="81"/>
      <c r="N65" s="81"/>
      <c r="O65" s="81"/>
      <c r="P65" s="24"/>
      <c r="Q65" s="24"/>
      <c r="R65" s="24"/>
      <c r="AM65" s="34"/>
      <c r="AN65" s="34"/>
      <c r="AO65" s="34"/>
      <c r="AP65" s="34"/>
      <c r="AQ65" s="34"/>
      <c r="AR65" s="34"/>
      <c r="AS65" s="34"/>
      <c r="AT65" s="34"/>
      <c r="AU65" s="34"/>
      <c r="AV65" s="34"/>
      <c r="AW65" s="34"/>
      <c r="AX65" s="34"/>
      <c r="AY65" s="34"/>
      <c r="AZ65" s="34"/>
      <c r="BA65" s="34"/>
      <c r="BB65" s="34"/>
      <c r="BC65" s="34"/>
      <c r="BD65" s="34"/>
      <c r="BE65" s="34"/>
      <c r="BF65" s="34"/>
      <c r="BG65" s="34"/>
    </row>
    <row r="66" spans="1:59" ht="33.75" customHeight="1">
      <c r="A66" s="82" t="s">
        <v>13</v>
      </c>
      <c r="B66" s="82"/>
      <c r="C66" s="82"/>
      <c r="D66" s="82"/>
      <c r="E66" s="82"/>
      <c r="F66" s="82"/>
      <c r="G66" s="82"/>
      <c r="H66" s="82"/>
      <c r="I66" s="82"/>
      <c r="J66" s="82"/>
      <c r="K66" s="82"/>
      <c r="L66" s="82"/>
      <c r="M66" s="82"/>
      <c r="N66" s="82"/>
      <c r="O66" s="82"/>
      <c r="AM66" s="34"/>
      <c r="AN66" s="34"/>
      <c r="AO66" s="34"/>
      <c r="AP66" s="34"/>
      <c r="AQ66" s="34"/>
      <c r="AR66" s="34"/>
      <c r="AS66" s="34"/>
      <c r="AT66" s="34"/>
      <c r="AU66" s="34"/>
      <c r="AV66" s="34"/>
      <c r="AW66" s="34"/>
      <c r="AX66" s="34"/>
      <c r="AY66" s="34"/>
      <c r="AZ66" s="34"/>
      <c r="BA66" s="34"/>
      <c r="BB66" s="34"/>
      <c r="BC66" s="34"/>
      <c r="BD66" s="34"/>
      <c r="BE66" s="34"/>
      <c r="BF66" s="34"/>
      <c r="BG66" s="34"/>
    </row>
    <row r="67" spans="1:59" ht="62.4">
      <c r="A67" s="9" t="s">
        <v>0</v>
      </c>
      <c r="B67" s="10" t="s">
        <v>34</v>
      </c>
      <c r="C67" s="11" t="s">
        <v>7</v>
      </c>
      <c r="D67" s="12" t="s">
        <v>1</v>
      </c>
      <c r="E67" s="13" t="s">
        <v>4</v>
      </c>
      <c r="F67" s="13" t="s">
        <v>2</v>
      </c>
      <c r="G67" s="13" t="s">
        <v>3</v>
      </c>
      <c r="H67" s="11" t="s">
        <v>6</v>
      </c>
      <c r="I67" s="14" t="s">
        <v>8</v>
      </c>
      <c r="J67" s="14" t="s">
        <v>17</v>
      </c>
      <c r="K67" s="12" t="s">
        <v>9</v>
      </c>
      <c r="L67" s="15" t="s">
        <v>10</v>
      </c>
      <c r="M67" s="15" t="s">
        <v>11</v>
      </c>
      <c r="N67" s="15" t="s">
        <v>12</v>
      </c>
      <c r="O67" s="15" t="s">
        <v>14</v>
      </c>
      <c r="P67" s="26" t="s">
        <v>16</v>
      </c>
      <c r="Q67" s="15" t="s">
        <v>42</v>
      </c>
      <c r="R67" s="15" t="s">
        <v>44</v>
      </c>
      <c r="S67" s="83">
        <v>101</v>
      </c>
      <c r="T67" s="83">
        <v>102</v>
      </c>
      <c r="U67" s="80">
        <v>106</v>
      </c>
      <c r="V67" s="80">
        <v>108</v>
      </c>
      <c r="W67" s="80">
        <v>109</v>
      </c>
      <c r="X67" s="80">
        <v>113</v>
      </c>
      <c r="Y67" s="80">
        <v>114</v>
      </c>
      <c r="Z67" s="80">
        <v>115</v>
      </c>
      <c r="AA67" s="80">
        <v>116</v>
      </c>
      <c r="AB67" s="80">
        <v>199</v>
      </c>
      <c r="AC67" s="80">
        <v>201</v>
      </c>
      <c r="AD67" s="80">
        <v>202</v>
      </c>
      <c r="AE67" s="80">
        <v>203</v>
      </c>
      <c r="AF67" s="80">
        <v>205</v>
      </c>
      <c r="AG67" s="80">
        <v>206</v>
      </c>
      <c r="AH67" s="79">
        <v>209</v>
      </c>
      <c r="AI67" s="79">
        <v>212</v>
      </c>
      <c r="AJ67" s="79">
        <v>216</v>
      </c>
      <c r="AK67" s="79">
        <v>217</v>
      </c>
      <c r="AL67" s="79">
        <v>299</v>
      </c>
      <c r="AM67" s="79">
        <v>301</v>
      </c>
      <c r="AN67" s="79">
        <v>302</v>
      </c>
      <c r="AO67" s="79">
        <v>399</v>
      </c>
      <c r="AP67" s="79">
        <v>401</v>
      </c>
      <c r="AQ67" s="79">
        <v>402</v>
      </c>
      <c r="AR67" s="79">
        <v>411</v>
      </c>
      <c r="AS67" s="79">
        <v>412</v>
      </c>
      <c r="AT67" s="79">
        <v>413</v>
      </c>
      <c r="AU67" s="79">
        <v>499</v>
      </c>
      <c r="AV67" s="79">
        <v>501</v>
      </c>
      <c r="AW67" s="79">
        <v>502</v>
      </c>
      <c r="AX67" s="79">
        <v>599</v>
      </c>
      <c r="AY67" s="79">
        <v>604</v>
      </c>
      <c r="AZ67" s="79">
        <v>605</v>
      </c>
      <c r="BA67" s="79">
        <v>699</v>
      </c>
      <c r="BB67" s="79">
        <v>701</v>
      </c>
      <c r="BC67" s="79">
        <v>702</v>
      </c>
      <c r="BD67" s="79">
        <v>703</v>
      </c>
      <c r="BE67" s="79">
        <v>704</v>
      </c>
      <c r="BF67" s="79">
        <v>799</v>
      </c>
      <c r="BG67" s="84">
        <v>999</v>
      </c>
    </row>
    <row r="68" spans="1:59" ht="62.25" customHeight="1">
      <c r="A68" s="10" t="s">
        <v>18</v>
      </c>
      <c r="B68" s="10" t="s">
        <v>19</v>
      </c>
      <c r="C68" s="13" t="s">
        <v>20</v>
      </c>
      <c r="D68" s="12" t="s">
        <v>21</v>
      </c>
      <c r="E68" s="13" t="s">
        <v>22</v>
      </c>
      <c r="F68" s="13" t="s">
        <v>23</v>
      </c>
      <c r="G68" s="13" t="s">
        <v>25</v>
      </c>
      <c r="H68" s="13" t="s">
        <v>24</v>
      </c>
      <c r="I68" s="14" t="s">
        <v>26</v>
      </c>
      <c r="J68" s="14" t="s">
        <v>27</v>
      </c>
      <c r="K68" s="15" t="s">
        <v>28</v>
      </c>
      <c r="L68" s="15" t="s">
        <v>29</v>
      </c>
      <c r="M68" s="15" t="s">
        <v>30</v>
      </c>
      <c r="N68" s="15" t="s">
        <v>32</v>
      </c>
      <c r="O68" s="15" t="s">
        <v>31</v>
      </c>
      <c r="P68" s="26" t="s">
        <v>33</v>
      </c>
      <c r="Q68" s="15" t="s">
        <v>43</v>
      </c>
      <c r="R68" s="15" t="s">
        <v>45</v>
      </c>
      <c r="S68" s="83"/>
      <c r="T68" s="83"/>
      <c r="U68" s="80"/>
      <c r="V68" s="80"/>
      <c r="W68" s="80"/>
      <c r="X68" s="80"/>
      <c r="Y68" s="80"/>
      <c r="Z68" s="80"/>
      <c r="AA68" s="80"/>
      <c r="AB68" s="80"/>
      <c r="AC68" s="80"/>
      <c r="AD68" s="80"/>
      <c r="AE68" s="80"/>
      <c r="AF68" s="80"/>
      <c r="AG68" s="80"/>
      <c r="AH68" s="79"/>
      <c r="AI68" s="79"/>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84"/>
    </row>
    <row r="69" spans="1:59" s="17" customFormat="1" ht="15.75" hidden="1" customHeight="1">
      <c r="A69" s="108"/>
      <c r="B69" s="87"/>
      <c r="C69" s="89"/>
      <c r="D69" s="91"/>
      <c r="E69" s="89"/>
      <c r="F69" s="89"/>
      <c r="G69" s="93"/>
      <c r="H69" s="89"/>
      <c r="I69" s="89"/>
      <c r="J69" s="89"/>
      <c r="K69" s="20"/>
      <c r="L69" s="20"/>
      <c r="M69" s="20"/>
      <c r="N69" s="146" t="e">
        <f>O70/L70</f>
        <v>#DIV/0!</v>
      </c>
      <c r="O69" s="21">
        <f t="shared" ref="O69:O74" si="6">L69-M69</f>
        <v>0</v>
      </c>
      <c r="P69" s="27"/>
      <c r="Q69" s="99">
        <f>+L70-P70</f>
        <v>0</v>
      </c>
      <c r="R69" s="108"/>
      <c r="S69" s="149"/>
      <c r="T69" s="149"/>
      <c r="U69" s="149"/>
      <c r="V69" s="149"/>
      <c r="W69" s="149"/>
      <c r="X69" s="149"/>
      <c r="Y69" s="149"/>
      <c r="Z69" s="149"/>
      <c r="AA69" s="149"/>
      <c r="AB69" s="149"/>
      <c r="AC69" s="149"/>
      <c r="AD69" s="149"/>
      <c r="AE69" s="149"/>
      <c r="AF69" s="149"/>
      <c r="AG69" s="149"/>
      <c r="AH69" s="149"/>
      <c r="AI69" s="149"/>
      <c r="AJ69" s="149"/>
      <c r="AK69" s="149"/>
      <c r="AL69" s="149"/>
      <c r="AM69" s="163"/>
      <c r="AN69" s="163"/>
      <c r="AO69" s="163"/>
      <c r="AP69" s="163"/>
      <c r="AQ69" s="163"/>
      <c r="AR69" s="163"/>
      <c r="AS69" s="163"/>
      <c r="AT69" s="163"/>
      <c r="AU69" s="163"/>
      <c r="AV69" s="163"/>
      <c r="AW69" s="163"/>
      <c r="AX69" s="163"/>
      <c r="AY69" s="167"/>
      <c r="AZ69" s="167"/>
      <c r="BA69" s="167"/>
      <c r="BB69" s="167"/>
      <c r="BC69" s="167"/>
      <c r="BD69" s="161"/>
      <c r="BE69" s="163"/>
      <c r="BF69" s="165"/>
      <c r="BG69" s="165"/>
    </row>
    <row r="70" spans="1:59" s="17" customFormat="1" ht="15.75" hidden="1" customHeight="1">
      <c r="A70" s="85"/>
      <c r="B70" s="88"/>
      <c r="C70" s="90"/>
      <c r="D70" s="92"/>
      <c r="E70" s="90"/>
      <c r="F70" s="90"/>
      <c r="G70" s="94"/>
      <c r="H70" s="90"/>
      <c r="I70" s="90"/>
      <c r="J70" s="90"/>
      <c r="K70" s="22"/>
      <c r="L70" s="18"/>
      <c r="M70" s="18"/>
      <c r="N70" s="147"/>
      <c r="O70" s="19">
        <f t="shared" si="6"/>
        <v>0</v>
      </c>
      <c r="P70" s="22"/>
      <c r="Q70" s="100"/>
      <c r="R70" s="85"/>
      <c r="S70" s="150"/>
      <c r="T70" s="150"/>
      <c r="U70" s="150"/>
      <c r="V70" s="150"/>
      <c r="W70" s="150"/>
      <c r="X70" s="150"/>
      <c r="Y70" s="150"/>
      <c r="Z70" s="150"/>
      <c r="AA70" s="150"/>
      <c r="AB70" s="150"/>
      <c r="AC70" s="150"/>
      <c r="AD70" s="150"/>
      <c r="AE70" s="150"/>
      <c r="AF70" s="150"/>
      <c r="AG70" s="150"/>
      <c r="AH70" s="150"/>
      <c r="AI70" s="150"/>
      <c r="AJ70" s="150"/>
      <c r="AK70" s="150"/>
      <c r="AL70" s="150"/>
      <c r="AM70" s="164"/>
      <c r="AN70" s="164"/>
      <c r="AO70" s="164"/>
      <c r="AP70" s="164"/>
      <c r="AQ70" s="164"/>
      <c r="AR70" s="164"/>
      <c r="AS70" s="164"/>
      <c r="AT70" s="164"/>
      <c r="AU70" s="164"/>
      <c r="AV70" s="164"/>
      <c r="AW70" s="164"/>
      <c r="AX70" s="164"/>
      <c r="AY70" s="168"/>
      <c r="AZ70" s="168"/>
      <c r="BA70" s="168"/>
      <c r="BB70" s="168"/>
      <c r="BC70" s="168"/>
      <c r="BD70" s="162"/>
      <c r="BE70" s="164"/>
      <c r="BF70" s="166"/>
      <c r="BG70" s="166"/>
    </row>
    <row r="71" spans="1:59" s="17" customFormat="1" ht="18" customHeight="1">
      <c r="A71" s="108">
        <v>45271</v>
      </c>
      <c r="B71" s="138" t="s">
        <v>37</v>
      </c>
      <c r="C71" s="90" t="s">
        <v>56</v>
      </c>
      <c r="D71" s="91" t="s">
        <v>38</v>
      </c>
      <c r="E71" s="89">
        <v>84217</v>
      </c>
      <c r="F71" s="89" t="s">
        <v>49</v>
      </c>
      <c r="G71" s="137" t="s">
        <v>61</v>
      </c>
      <c r="H71" s="95" t="s">
        <v>39</v>
      </c>
      <c r="I71" s="90">
        <v>4497</v>
      </c>
      <c r="J71" s="90">
        <v>4097</v>
      </c>
      <c r="K71" s="20">
        <f>115+50</f>
        <v>165</v>
      </c>
      <c r="L71" s="20">
        <v>200</v>
      </c>
      <c r="M71" s="20">
        <v>73</v>
      </c>
      <c r="N71" s="97">
        <f>O72/L72</f>
        <v>0.61728880157170929</v>
      </c>
      <c r="O71" s="21">
        <f t="shared" si="6"/>
        <v>127</v>
      </c>
      <c r="P71" s="27">
        <f>20+151</f>
        <v>171</v>
      </c>
      <c r="Q71" s="99">
        <f>+L72-P72</f>
        <v>350</v>
      </c>
      <c r="R71" s="85"/>
      <c r="S71" s="96"/>
      <c r="T71" s="96">
        <v>8</v>
      </c>
      <c r="U71" s="96">
        <v>18</v>
      </c>
      <c r="V71" s="96"/>
      <c r="W71" s="96"/>
      <c r="X71" s="96">
        <v>2</v>
      </c>
      <c r="Y71" s="96"/>
      <c r="Z71" s="96"/>
      <c r="AA71" s="96"/>
      <c r="AB71" s="96"/>
      <c r="AC71" s="96">
        <v>33</v>
      </c>
      <c r="AD71" s="96">
        <v>19</v>
      </c>
      <c r="AE71" s="96">
        <v>4</v>
      </c>
      <c r="AF71" s="96">
        <v>5</v>
      </c>
      <c r="AG71" s="96"/>
      <c r="AH71" s="96">
        <v>23</v>
      </c>
      <c r="AI71" s="96"/>
      <c r="AJ71" s="96"/>
      <c r="AK71" s="96"/>
      <c r="AL71" s="96">
        <v>15</v>
      </c>
      <c r="AM71" s="103"/>
      <c r="AN71" s="103"/>
      <c r="AO71" s="103"/>
      <c r="AP71" s="103"/>
      <c r="AQ71" s="103"/>
      <c r="AR71" s="103"/>
      <c r="AS71" s="103"/>
      <c r="AT71" s="103"/>
      <c r="AU71" s="103"/>
      <c r="AV71" s="103"/>
      <c r="AW71" s="103"/>
      <c r="AX71" s="103"/>
      <c r="AY71" s="106"/>
      <c r="AZ71" s="106"/>
      <c r="BA71" s="106"/>
      <c r="BB71" s="106"/>
      <c r="BC71" s="106"/>
      <c r="BD71" s="106"/>
      <c r="BE71" s="103"/>
      <c r="BF71" s="104"/>
      <c r="BG71" s="104"/>
    </row>
    <row r="72" spans="1:59" s="17" customFormat="1" ht="17.25" customHeight="1">
      <c r="A72" s="85"/>
      <c r="B72" s="139"/>
      <c r="C72" s="95"/>
      <c r="D72" s="92"/>
      <c r="E72" s="90"/>
      <c r="F72" s="90"/>
      <c r="G72" s="95"/>
      <c r="H72" s="95"/>
      <c r="I72" s="95"/>
      <c r="J72" s="95"/>
      <c r="K72" s="18">
        <f>260+160+50+100+100+240+349+166+150+60+120+30+30+230+80+125+115+200+209+115+50</f>
        <v>2939</v>
      </c>
      <c r="L72" s="18">
        <f>260+160+50+100+140+100+240+150+60+370+60+150+75+245+185+200</f>
        <v>2545</v>
      </c>
      <c r="M72" s="18">
        <f>120+55+27+40+30+60+87+45+34+74+40+100+40+75+74+73</f>
        <v>974</v>
      </c>
      <c r="N72" s="98"/>
      <c r="O72" s="19">
        <f t="shared" si="6"/>
        <v>1571</v>
      </c>
      <c r="P72" s="22">
        <f>170+70+15+112+30+30+83+50+100+127+218+53+42+60+34+200+66+100+130+190+144+20+151</f>
        <v>2195</v>
      </c>
      <c r="Q72" s="100"/>
      <c r="R72" s="86"/>
      <c r="S72" s="96"/>
      <c r="T72" s="96"/>
      <c r="U72" s="96"/>
      <c r="V72" s="96"/>
      <c r="W72" s="96"/>
      <c r="X72" s="96"/>
      <c r="Y72" s="96"/>
      <c r="Z72" s="96"/>
      <c r="AA72" s="96"/>
      <c r="AB72" s="96"/>
      <c r="AC72" s="96"/>
      <c r="AD72" s="96"/>
      <c r="AE72" s="96"/>
      <c r="AF72" s="96"/>
      <c r="AG72" s="96"/>
      <c r="AH72" s="96"/>
      <c r="AI72" s="96"/>
      <c r="AJ72" s="96"/>
      <c r="AK72" s="96"/>
      <c r="AL72" s="96"/>
      <c r="AM72" s="103"/>
      <c r="AN72" s="103"/>
      <c r="AO72" s="103"/>
      <c r="AP72" s="103"/>
      <c r="AQ72" s="103"/>
      <c r="AR72" s="103"/>
      <c r="AS72" s="103"/>
      <c r="AT72" s="103"/>
      <c r="AU72" s="103"/>
      <c r="AV72" s="103"/>
      <c r="AW72" s="103"/>
      <c r="AX72" s="103"/>
      <c r="AY72" s="107"/>
      <c r="AZ72" s="107"/>
      <c r="BA72" s="107"/>
      <c r="BB72" s="107"/>
      <c r="BC72" s="107"/>
      <c r="BD72" s="107"/>
      <c r="BE72" s="103"/>
      <c r="BF72" s="105"/>
      <c r="BG72" s="105"/>
    </row>
    <row r="73" spans="1:59" s="17" customFormat="1" ht="18" hidden="1" customHeight="1">
      <c r="A73" s="101">
        <v>45217</v>
      </c>
      <c r="B73" s="132" t="s">
        <v>37</v>
      </c>
      <c r="C73" s="117"/>
      <c r="D73" s="118" t="s">
        <v>38</v>
      </c>
      <c r="E73" s="116">
        <v>84217</v>
      </c>
      <c r="F73" s="116" t="s">
        <v>49</v>
      </c>
      <c r="G73" s="141"/>
      <c r="H73" s="95"/>
      <c r="I73" s="90"/>
      <c r="J73" s="90"/>
      <c r="K73" s="20"/>
      <c r="L73" s="20"/>
      <c r="M73" s="20"/>
      <c r="N73" s="143" t="e">
        <f>O74/L74</f>
        <v>#DIV/0!</v>
      </c>
      <c r="O73" s="21">
        <f t="shared" si="6"/>
        <v>0</v>
      </c>
      <c r="P73" s="27"/>
      <c r="Q73" s="99">
        <f>+L74-P74</f>
        <v>0</v>
      </c>
      <c r="R73" s="101">
        <v>45023</v>
      </c>
      <c r="S73" s="96"/>
      <c r="T73" s="96"/>
      <c r="U73" s="96"/>
      <c r="V73" s="96"/>
      <c r="W73" s="96"/>
      <c r="X73" s="96"/>
      <c r="Y73" s="96"/>
      <c r="Z73" s="96"/>
      <c r="AA73" s="96"/>
      <c r="AB73" s="96"/>
      <c r="AC73" s="140"/>
      <c r="AD73" s="96"/>
      <c r="AE73" s="96"/>
      <c r="AF73" s="96"/>
      <c r="AG73" s="96"/>
      <c r="AH73" s="96"/>
      <c r="AI73" s="96"/>
      <c r="AJ73" s="96"/>
      <c r="AK73" s="96"/>
      <c r="AL73" s="96"/>
      <c r="AM73" s="96"/>
      <c r="AN73" s="96"/>
      <c r="AO73" s="96"/>
      <c r="AP73" s="96"/>
      <c r="AQ73" s="96"/>
      <c r="AR73" s="96"/>
      <c r="AS73" s="96"/>
      <c r="AT73" s="96"/>
      <c r="AU73" s="96"/>
      <c r="AV73" s="96"/>
      <c r="AW73" s="96"/>
      <c r="AX73" s="96"/>
      <c r="AY73" s="124"/>
      <c r="AZ73" s="123"/>
      <c r="BA73" s="123"/>
      <c r="BB73" s="123"/>
      <c r="BC73" s="123"/>
      <c r="BD73" s="123"/>
      <c r="BE73" s="123"/>
      <c r="BF73" s="123"/>
      <c r="BG73" s="123"/>
    </row>
    <row r="74" spans="1:59" s="17" customFormat="1" ht="17.25" hidden="1" customHeight="1">
      <c r="A74" s="102"/>
      <c r="B74" s="145"/>
      <c r="C74" s="142"/>
      <c r="D74" s="119"/>
      <c r="E74" s="117"/>
      <c r="F74" s="117"/>
      <c r="G74" s="142"/>
      <c r="H74" s="95"/>
      <c r="I74" s="95"/>
      <c r="J74" s="95"/>
      <c r="K74" s="3"/>
      <c r="L74" s="3"/>
      <c r="M74" s="3"/>
      <c r="N74" s="144"/>
      <c r="O74" s="7">
        <f t="shared" si="6"/>
        <v>0</v>
      </c>
      <c r="P74" s="28"/>
      <c r="Q74" s="100"/>
      <c r="R74" s="102"/>
      <c r="S74" s="96"/>
      <c r="T74" s="96"/>
      <c r="U74" s="96"/>
      <c r="V74" s="96"/>
      <c r="W74" s="96"/>
      <c r="X74" s="96"/>
      <c r="Y74" s="96"/>
      <c r="Z74" s="96"/>
      <c r="AA74" s="96"/>
      <c r="AB74" s="96"/>
      <c r="AC74" s="140"/>
      <c r="AD74" s="96"/>
      <c r="AE74" s="96"/>
      <c r="AF74" s="96"/>
      <c r="AG74" s="96"/>
      <c r="AH74" s="96"/>
      <c r="AI74" s="96"/>
      <c r="AJ74" s="96"/>
      <c r="AK74" s="96"/>
      <c r="AL74" s="96"/>
      <c r="AM74" s="96"/>
      <c r="AN74" s="96"/>
      <c r="AO74" s="96"/>
      <c r="AP74" s="96"/>
      <c r="AQ74" s="96"/>
      <c r="AR74" s="96"/>
      <c r="AS74" s="96"/>
      <c r="AT74" s="96"/>
      <c r="AU74" s="96"/>
      <c r="AV74" s="96"/>
      <c r="AW74" s="96"/>
      <c r="AX74" s="96"/>
      <c r="AY74" s="124"/>
      <c r="AZ74" s="124"/>
      <c r="BA74" s="124"/>
      <c r="BB74" s="124"/>
      <c r="BC74" s="124"/>
      <c r="BD74" s="124"/>
      <c r="BE74" s="124"/>
      <c r="BF74" s="124"/>
      <c r="BG74" s="124"/>
    </row>
    <row r="75" spans="1:59" ht="24.75" customHeight="1">
      <c r="A75" s="111" t="s">
        <v>15</v>
      </c>
      <c r="B75" s="112"/>
      <c r="C75" s="112"/>
      <c r="D75" s="112"/>
      <c r="E75" s="112"/>
      <c r="F75" s="112"/>
      <c r="G75" s="112"/>
      <c r="H75" s="112"/>
      <c r="I75" s="113"/>
      <c r="J75" s="5">
        <f>SUM(J69:J74)</f>
        <v>4097</v>
      </c>
      <c r="K75" s="5">
        <f>+K69++K71</f>
        <v>165</v>
      </c>
      <c r="L75" s="5">
        <f>+SUMPRODUCT(((MOD(ROW(L69:L74),2)=1)*(L69:L74)))</f>
        <v>200</v>
      </c>
      <c r="M75" s="5">
        <f>+SUMPRODUCT(((MOD(ROW(M69:M74),2)=1)*(M69:M74)))</f>
        <v>73</v>
      </c>
      <c r="N75" s="23">
        <f>O75/L75</f>
        <v>0.63500000000000001</v>
      </c>
      <c r="O75" s="5">
        <f>+SUMPRODUCT(((MOD(ROW(O69:O74),2)=1)*(O69:O74)))</f>
        <v>127</v>
      </c>
      <c r="P75" s="5">
        <f>+SUMPRODUCT(((MOD(ROW(P69:P74),2)=1)*(P69:P74)))</f>
        <v>171</v>
      </c>
      <c r="Q75" s="5">
        <f>+SUMPRODUCT(((MOD(ROW(Q69:Q74),2)=1)*(Q69:Q74)))</f>
        <v>350</v>
      </c>
      <c r="R75" s="5"/>
      <c r="S75" s="5">
        <f t="shared" ref="S75:BG75" si="7">SUM(S69:S74)</f>
        <v>0</v>
      </c>
      <c r="T75" s="5">
        <f t="shared" si="7"/>
        <v>8</v>
      </c>
      <c r="U75" s="5">
        <f t="shared" si="7"/>
        <v>18</v>
      </c>
      <c r="V75" s="5">
        <f t="shared" si="7"/>
        <v>0</v>
      </c>
      <c r="W75" s="5">
        <f t="shared" si="7"/>
        <v>0</v>
      </c>
      <c r="X75" s="5">
        <f t="shared" si="7"/>
        <v>2</v>
      </c>
      <c r="Y75" s="5">
        <f t="shared" si="7"/>
        <v>0</v>
      </c>
      <c r="Z75" s="5">
        <f t="shared" si="7"/>
        <v>0</v>
      </c>
      <c r="AA75" s="5">
        <f t="shared" si="7"/>
        <v>0</v>
      </c>
      <c r="AB75" s="5">
        <f t="shared" si="7"/>
        <v>0</v>
      </c>
      <c r="AC75" s="5">
        <f t="shared" si="7"/>
        <v>33</v>
      </c>
      <c r="AD75" s="5">
        <f t="shared" si="7"/>
        <v>19</v>
      </c>
      <c r="AE75" s="5">
        <f t="shared" si="7"/>
        <v>4</v>
      </c>
      <c r="AF75" s="5">
        <f t="shared" si="7"/>
        <v>5</v>
      </c>
      <c r="AG75" s="5">
        <f t="shared" si="7"/>
        <v>0</v>
      </c>
      <c r="AH75" s="5">
        <f t="shared" si="7"/>
        <v>23</v>
      </c>
      <c r="AI75" s="5">
        <f t="shared" si="7"/>
        <v>0</v>
      </c>
      <c r="AJ75" s="5">
        <f t="shared" si="7"/>
        <v>0</v>
      </c>
      <c r="AK75" s="5">
        <f t="shared" si="7"/>
        <v>0</v>
      </c>
      <c r="AL75" s="5">
        <f t="shared" si="7"/>
        <v>15</v>
      </c>
      <c r="AM75" s="5">
        <f t="shared" si="7"/>
        <v>0</v>
      </c>
      <c r="AN75" s="5">
        <f t="shared" si="7"/>
        <v>0</v>
      </c>
      <c r="AO75" s="5">
        <f t="shared" si="7"/>
        <v>0</v>
      </c>
      <c r="AP75" s="5">
        <f t="shared" si="7"/>
        <v>0</v>
      </c>
      <c r="AQ75" s="5">
        <f t="shared" si="7"/>
        <v>0</v>
      </c>
      <c r="AR75" s="5">
        <f t="shared" si="7"/>
        <v>0</v>
      </c>
      <c r="AS75" s="5">
        <f t="shared" si="7"/>
        <v>0</v>
      </c>
      <c r="AT75" s="5">
        <f t="shared" si="7"/>
        <v>0</v>
      </c>
      <c r="AU75" s="5">
        <f t="shared" si="7"/>
        <v>0</v>
      </c>
      <c r="AV75" s="5">
        <f t="shared" si="7"/>
        <v>0</v>
      </c>
      <c r="AW75" s="5">
        <f t="shared" si="7"/>
        <v>0</v>
      </c>
      <c r="AX75" s="5">
        <f t="shared" si="7"/>
        <v>0</v>
      </c>
      <c r="AY75" s="5">
        <f t="shared" si="7"/>
        <v>0</v>
      </c>
      <c r="AZ75" s="5">
        <f t="shared" si="7"/>
        <v>0</v>
      </c>
      <c r="BA75" s="5">
        <f t="shared" si="7"/>
        <v>0</v>
      </c>
      <c r="BB75" s="5">
        <f t="shared" si="7"/>
        <v>0</v>
      </c>
      <c r="BC75" s="5">
        <f t="shared" si="7"/>
        <v>0</v>
      </c>
      <c r="BD75" s="5">
        <f t="shared" si="7"/>
        <v>0</v>
      </c>
      <c r="BE75" s="5">
        <f t="shared" si="7"/>
        <v>0</v>
      </c>
      <c r="BF75" s="5">
        <f t="shared" si="7"/>
        <v>0</v>
      </c>
      <c r="BG75" s="5">
        <f t="shared" si="7"/>
        <v>0</v>
      </c>
    </row>
    <row r="76" spans="1:59" s="17" customFormat="1" ht="15.75" hidden="1" customHeight="1">
      <c r="A76" s="101"/>
      <c r="B76" s="114"/>
      <c r="C76" s="116"/>
      <c r="D76" s="118"/>
      <c r="E76" s="116"/>
      <c r="F76" s="116"/>
      <c r="G76" s="120"/>
      <c r="H76" s="151"/>
      <c r="I76" s="89"/>
      <c r="J76" s="89"/>
      <c r="K76" s="20"/>
      <c r="L76" s="20"/>
      <c r="M76" s="20"/>
      <c r="N76" s="146"/>
      <c r="O76" s="21"/>
      <c r="P76" s="27"/>
      <c r="Q76" s="99"/>
      <c r="R76" s="148"/>
      <c r="S76" s="149"/>
      <c r="T76" s="149"/>
      <c r="U76" s="149"/>
      <c r="V76" s="149"/>
      <c r="W76" s="149"/>
      <c r="X76" s="149"/>
      <c r="Y76" s="149"/>
      <c r="Z76" s="149"/>
      <c r="AA76" s="149"/>
      <c r="AB76" s="149"/>
      <c r="AC76" s="149"/>
      <c r="AD76" s="149"/>
      <c r="AE76" s="149"/>
      <c r="AF76" s="149"/>
      <c r="AG76" s="149"/>
      <c r="AH76" s="149"/>
      <c r="AI76" s="149"/>
      <c r="AJ76" s="149"/>
      <c r="AK76" s="149"/>
      <c r="AL76" s="149"/>
      <c r="AM76" s="149"/>
      <c r="AN76" s="149"/>
      <c r="AO76" s="149"/>
      <c r="AP76" s="149"/>
      <c r="AQ76" s="149"/>
      <c r="AR76" s="149"/>
      <c r="AS76" s="149"/>
      <c r="AT76" s="149"/>
      <c r="AU76" s="149"/>
      <c r="AV76" s="149"/>
      <c r="AW76" s="149"/>
      <c r="AX76" s="149"/>
      <c r="AY76" s="152"/>
      <c r="AZ76" s="152"/>
      <c r="BA76" s="152"/>
      <c r="BB76" s="152"/>
      <c r="BC76" s="152"/>
      <c r="BD76" s="152"/>
      <c r="BE76" s="149"/>
      <c r="BF76" s="152"/>
      <c r="BG76" s="152"/>
    </row>
    <row r="77" spans="1:59" s="17" customFormat="1" ht="15.75" hidden="1" customHeight="1">
      <c r="A77" s="102"/>
      <c r="B77" s="115"/>
      <c r="C77" s="117"/>
      <c r="D77" s="119"/>
      <c r="E77" s="117"/>
      <c r="F77" s="117"/>
      <c r="G77" s="121"/>
      <c r="H77" s="90"/>
      <c r="I77" s="90"/>
      <c r="J77" s="90"/>
      <c r="K77" s="22"/>
      <c r="L77" s="18"/>
      <c r="M77" s="18"/>
      <c r="N77" s="147"/>
      <c r="O77" s="19"/>
      <c r="P77" s="22"/>
      <c r="Q77" s="100"/>
      <c r="R77" s="101"/>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3"/>
      <c r="AZ77" s="153"/>
      <c r="BA77" s="153"/>
      <c r="BB77" s="153"/>
      <c r="BC77" s="153"/>
      <c r="BD77" s="153"/>
      <c r="BE77" s="150"/>
      <c r="BF77" s="153"/>
      <c r="BG77" s="153"/>
    </row>
    <row r="78" spans="1:59" s="17" customFormat="1" ht="15.75" hidden="1" customHeight="1">
      <c r="A78" s="101"/>
      <c r="B78" s="114"/>
      <c r="C78" s="116"/>
      <c r="D78" s="118"/>
      <c r="E78" s="116"/>
      <c r="F78" s="116"/>
      <c r="G78" s="120"/>
      <c r="H78" s="151"/>
      <c r="I78" s="89"/>
      <c r="J78" s="89"/>
      <c r="K78" s="20"/>
      <c r="L78" s="20"/>
      <c r="M78" s="20"/>
      <c r="N78" s="146"/>
      <c r="O78" s="21"/>
      <c r="P78" s="27"/>
      <c r="Q78" s="99"/>
      <c r="R78" s="148"/>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52"/>
      <c r="AZ78" s="152"/>
      <c r="BA78" s="152"/>
      <c r="BB78" s="152"/>
      <c r="BC78" s="152"/>
      <c r="BD78" s="152"/>
      <c r="BE78" s="149"/>
      <c r="BF78" s="152"/>
      <c r="BG78" s="152"/>
    </row>
    <row r="79" spans="1:59" s="17" customFormat="1" ht="15.75" hidden="1" customHeight="1">
      <c r="A79" s="102"/>
      <c r="B79" s="115"/>
      <c r="C79" s="117"/>
      <c r="D79" s="119"/>
      <c r="E79" s="117"/>
      <c r="F79" s="117"/>
      <c r="G79" s="121"/>
      <c r="H79" s="90"/>
      <c r="I79" s="90"/>
      <c r="J79" s="90"/>
      <c r="K79" s="22"/>
      <c r="L79" s="18"/>
      <c r="M79" s="18"/>
      <c r="N79" s="147"/>
      <c r="O79" s="19"/>
      <c r="P79" s="22"/>
      <c r="Q79" s="100"/>
      <c r="R79" s="101"/>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3"/>
      <c r="AZ79" s="153"/>
      <c r="BA79" s="153"/>
      <c r="BB79" s="153"/>
      <c r="BC79" s="153"/>
      <c r="BD79" s="153"/>
      <c r="BE79" s="150"/>
      <c r="BF79" s="153"/>
      <c r="BG79" s="153"/>
    </row>
    <row r="80" spans="1:59" s="17" customFormat="1" ht="15.75" hidden="1" customHeight="1">
      <c r="A80" s="101"/>
      <c r="B80" s="114"/>
      <c r="C80" s="116"/>
      <c r="D80" s="118"/>
      <c r="E80" s="116"/>
      <c r="F80" s="116"/>
      <c r="G80" s="120"/>
      <c r="H80" s="109"/>
      <c r="I80" s="90"/>
      <c r="J80" s="90"/>
      <c r="K80" s="20"/>
      <c r="L80" s="20"/>
      <c r="M80" s="20"/>
      <c r="N80" s="97"/>
      <c r="O80" s="21"/>
      <c r="P80" s="27"/>
      <c r="Q80" s="99"/>
      <c r="R80" s="154"/>
      <c r="S80" s="96"/>
      <c r="T80" s="96"/>
      <c r="U80" s="96"/>
      <c r="V80" s="96"/>
      <c r="W80" s="96"/>
      <c r="X80" s="96"/>
      <c r="Y80" s="96"/>
      <c r="Z80" s="96"/>
      <c r="AA80" s="96"/>
      <c r="AB80" s="96"/>
      <c r="AC80" s="96"/>
      <c r="AD80" s="96"/>
      <c r="AE80" s="96"/>
      <c r="AF80" s="96"/>
      <c r="AG80" s="96"/>
      <c r="AH80" s="96"/>
      <c r="AI80" s="96"/>
      <c r="AJ80" s="96"/>
      <c r="AK80" s="96"/>
      <c r="AL80" s="96"/>
      <c r="AM80" s="96"/>
      <c r="AN80" s="96"/>
      <c r="AO80" s="96"/>
      <c r="AP80" s="96"/>
      <c r="AQ80" s="96"/>
      <c r="AR80" s="96"/>
      <c r="AS80" s="96"/>
      <c r="AT80" s="96"/>
      <c r="AU80" s="96"/>
      <c r="AV80" s="96"/>
      <c r="AW80" s="96"/>
      <c r="AX80" s="96"/>
      <c r="AY80" s="155"/>
      <c r="AZ80" s="155"/>
      <c r="BA80" s="155"/>
      <c r="BB80" s="155"/>
      <c r="BC80" s="155"/>
      <c r="BD80" s="155"/>
      <c r="BE80" s="96"/>
      <c r="BF80" s="155"/>
      <c r="BG80" s="155"/>
    </row>
    <row r="81" spans="1:61" s="17" customFormat="1" ht="15.75" hidden="1" customHeight="1">
      <c r="A81" s="102"/>
      <c r="B81" s="115"/>
      <c r="C81" s="117"/>
      <c r="D81" s="119"/>
      <c r="E81" s="117"/>
      <c r="F81" s="117"/>
      <c r="G81" s="121"/>
      <c r="H81" s="95"/>
      <c r="I81" s="95"/>
      <c r="J81" s="95"/>
      <c r="K81" s="22"/>
      <c r="L81" s="18"/>
      <c r="M81" s="18"/>
      <c r="N81" s="98"/>
      <c r="O81" s="19"/>
      <c r="P81" s="22"/>
      <c r="Q81" s="100"/>
      <c r="R81" s="101"/>
      <c r="S81" s="96"/>
      <c r="T81" s="96"/>
      <c r="U81" s="96"/>
      <c r="V81" s="96"/>
      <c r="W81" s="96"/>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6"/>
      <c r="AY81" s="156"/>
      <c r="AZ81" s="156"/>
      <c r="BA81" s="156"/>
      <c r="BB81" s="156"/>
      <c r="BC81" s="156"/>
      <c r="BD81" s="156"/>
      <c r="BE81" s="96"/>
      <c r="BF81" s="156"/>
      <c r="BG81" s="156"/>
    </row>
    <row r="82" spans="1:61" s="17" customFormat="1" ht="15.75" hidden="1" customHeight="1">
      <c r="A82" s="101"/>
      <c r="B82" s="114"/>
      <c r="C82" s="116"/>
      <c r="D82" s="118"/>
      <c r="E82" s="116"/>
      <c r="F82" s="116"/>
      <c r="G82" s="120"/>
      <c r="H82" s="109"/>
      <c r="I82" s="90"/>
      <c r="J82" s="90"/>
      <c r="K82" s="20"/>
      <c r="L82" s="20"/>
      <c r="M82" s="20"/>
      <c r="N82" s="97"/>
      <c r="O82" s="21"/>
      <c r="P82" s="27"/>
      <c r="Q82" s="99"/>
      <c r="R82" s="148"/>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5"/>
      <c r="AZ82" s="155"/>
      <c r="BA82" s="155"/>
      <c r="BB82" s="155"/>
      <c r="BC82" s="155"/>
      <c r="BD82" s="155"/>
      <c r="BE82" s="96"/>
      <c r="BF82" s="155"/>
      <c r="BG82" s="155"/>
    </row>
    <row r="83" spans="1:61" s="17" customFormat="1" ht="15.75" hidden="1" customHeight="1">
      <c r="A83" s="102"/>
      <c r="B83" s="115"/>
      <c r="C83" s="117"/>
      <c r="D83" s="119"/>
      <c r="E83" s="117"/>
      <c r="F83" s="117"/>
      <c r="G83" s="121"/>
      <c r="H83" s="95"/>
      <c r="I83" s="95"/>
      <c r="J83" s="95"/>
      <c r="K83" s="22"/>
      <c r="L83" s="18"/>
      <c r="M83" s="18"/>
      <c r="N83" s="98"/>
      <c r="O83" s="19"/>
      <c r="P83" s="22"/>
      <c r="Q83" s="100"/>
      <c r="R83" s="101"/>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6"/>
      <c r="AZ83" s="156"/>
      <c r="BA83" s="156"/>
      <c r="BB83" s="156"/>
      <c r="BC83" s="156"/>
      <c r="BD83" s="156"/>
      <c r="BE83" s="96"/>
      <c r="BF83" s="156"/>
      <c r="BG83" s="156"/>
    </row>
    <row r="84" spans="1:61" s="17" customFormat="1" ht="15.75" hidden="1" customHeight="1">
      <c r="A84" s="101">
        <v>45084</v>
      </c>
      <c r="B84" s="114" t="s">
        <v>37</v>
      </c>
      <c r="C84" s="116"/>
      <c r="D84" s="118"/>
      <c r="E84" s="116"/>
      <c r="F84" s="116"/>
      <c r="G84" s="120"/>
      <c r="H84" s="109"/>
      <c r="I84" s="90"/>
      <c r="J84" s="90"/>
      <c r="K84" s="20"/>
      <c r="L84" s="20"/>
      <c r="M84" s="20"/>
      <c r="N84" s="97" t="e">
        <f>O85/L85</f>
        <v>#DIV/0!</v>
      </c>
      <c r="O84" s="21"/>
      <c r="P84" s="27"/>
      <c r="Q84" s="99">
        <f>+L85-P85</f>
        <v>0</v>
      </c>
      <c r="R84" s="101"/>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2"/>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ht="24.75" hidden="1" customHeight="1">
      <c r="A86" s="111" t="s">
        <v>40</v>
      </c>
      <c r="B86" s="112"/>
      <c r="C86" s="112"/>
      <c r="D86" s="112"/>
      <c r="E86" s="112"/>
      <c r="F86" s="112"/>
      <c r="G86" s="112"/>
      <c r="H86" s="112"/>
      <c r="I86" s="113"/>
      <c r="J86" s="5">
        <f>SUM(J76:J85)</f>
        <v>0</v>
      </c>
      <c r="K86" s="5">
        <f>+SUMPRODUCT(((MOD(ROW(K76:K83),2)=0)*(K76:K83)))</f>
        <v>0</v>
      </c>
      <c r="L86" s="5">
        <f>+SUMPRODUCT(((MOD(ROW(L76:L83),2)=0)*(L76:L83)))</f>
        <v>0</v>
      </c>
      <c r="M86" s="5">
        <f>+SUMPRODUCT(((MOD(ROW(M76:M83),2)=0)*(M76:M83)))</f>
        <v>0</v>
      </c>
      <c r="N86" s="6" t="e">
        <f>O86/L86</f>
        <v>#DIV/0!</v>
      </c>
      <c r="O86" s="5">
        <f>+SUMPRODUCT(((MOD(ROW(O76:O83),2)=0)*(O76:O83)))</f>
        <v>0</v>
      </c>
      <c r="P86" s="5">
        <f>+SUMPRODUCT(((MOD(ROW(P76:P83),2)=0)*(P76:P83)))</f>
        <v>0</v>
      </c>
      <c r="Q86" s="29">
        <f>SUM(Q76:Q85)</f>
        <v>0</v>
      </c>
      <c r="R86" s="29"/>
      <c r="S86" s="29">
        <f t="shared" ref="S86:BG86" si="8">SUM(S76:S85)</f>
        <v>0</v>
      </c>
      <c r="T86" s="29">
        <f t="shared" si="8"/>
        <v>0</v>
      </c>
      <c r="U86" s="29">
        <f t="shared" si="8"/>
        <v>0</v>
      </c>
      <c r="V86" s="29">
        <f t="shared" si="8"/>
        <v>0</v>
      </c>
      <c r="W86" s="29">
        <f t="shared" si="8"/>
        <v>0</v>
      </c>
      <c r="X86" s="29">
        <f t="shared" si="8"/>
        <v>0</v>
      </c>
      <c r="Y86" s="29">
        <f t="shared" si="8"/>
        <v>0</v>
      </c>
      <c r="Z86" s="29">
        <f t="shared" si="8"/>
        <v>0</v>
      </c>
      <c r="AA86" s="29">
        <f t="shared" si="8"/>
        <v>0</v>
      </c>
      <c r="AB86" s="29">
        <f t="shared" si="8"/>
        <v>0</v>
      </c>
      <c r="AC86" s="29">
        <f t="shared" si="8"/>
        <v>0</v>
      </c>
      <c r="AD86" s="29">
        <f t="shared" si="8"/>
        <v>0</v>
      </c>
      <c r="AE86" s="29">
        <f t="shared" si="8"/>
        <v>0</v>
      </c>
      <c r="AF86" s="29">
        <f t="shared" si="8"/>
        <v>0</v>
      </c>
      <c r="AG86" s="29">
        <f t="shared" si="8"/>
        <v>0</v>
      </c>
      <c r="AH86" s="29">
        <f t="shared" si="8"/>
        <v>0</v>
      </c>
      <c r="AI86" s="29">
        <f t="shared" si="8"/>
        <v>0</v>
      </c>
      <c r="AJ86" s="29">
        <f t="shared" si="8"/>
        <v>0</v>
      </c>
      <c r="AK86" s="29">
        <f t="shared" si="8"/>
        <v>0</v>
      </c>
      <c r="AL86" s="29">
        <f t="shared" si="8"/>
        <v>0</v>
      </c>
      <c r="AM86" s="29">
        <f t="shared" si="8"/>
        <v>0</v>
      </c>
      <c r="AN86" s="29">
        <f t="shared" si="8"/>
        <v>0</v>
      </c>
      <c r="AO86" s="29">
        <f t="shared" si="8"/>
        <v>0</v>
      </c>
      <c r="AP86" s="29">
        <f t="shared" si="8"/>
        <v>0</v>
      </c>
      <c r="AQ86" s="29">
        <f t="shared" si="8"/>
        <v>0</v>
      </c>
      <c r="AR86" s="29">
        <f t="shared" si="8"/>
        <v>0</v>
      </c>
      <c r="AS86" s="29">
        <f t="shared" si="8"/>
        <v>0</v>
      </c>
      <c r="AT86" s="29">
        <f t="shared" si="8"/>
        <v>0</v>
      </c>
      <c r="AU86" s="29">
        <f t="shared" si="8"/>
        <v>0</v>
      </c>
      <c r="AV86" s="29">
        <f t="shared" si="8"/>
        <v>0</v>
      </c>
      <c r="AW86" s="29">
        <f t="shared" si="8"/>
        <v>0</v>
      </c>
      <c r="AX86" s="29">
        <f t="shared" si="8"/>
        <v>0</v>
      </c>
      <c r="AY86" s="29">
        <f t="shared" si="8"/>
        <v>0</v>
      </c>
      <c r="AZ86" s="29">
        <f t="shared" si="8"/>
        <v>0</v>
      </c>
      <c r="BA86" s="29">
        <f t="shared" si="8"/>
        <v>0</v>
      </c>
      <c r="BB86" s="29">
        <f t="shared" si="8"/>
        <v>0</v>
      </c>
      <c r="BC86" s="29">
        <f t="shared" si="8"/>
        <v>0</v>
      </c>
      <c r="BD86" s="29">
        <f t="shared" si="8"/>
        <v>0</v>
      </c>
      <c r="BE86" s="29">
        <f t="shared" si="8"/>
        <v>0</v>
      </c>
      <c r="BF86" s="29">
        <f t="shared" si="8"/>
        <v>0</v>
      </c>
      <c r="BG86" s="29">
        <f t="shared" si="8"/>
        <v>0</v>
      </c>
      <c r="BH86" s="17"/>
      <c r="BI86" s="17"/>
    </row>
    <row r="87" spans="1:61" s="17" customFormat="1" ht="15.75" hidden="1" customHeight="1">
      <c r="A87" s="101"/>
      <c r="B87" s="114"/>
      <c r="C87" s="116"/>
      <c r="D87" s="118"/>
      <c r="E87" s="116"/>
      <c r="F87" s="116"/>
      <c r="G87" s="120"/>
      <c r="H87" s="109"/>
      <c r="I87" s="90"/>
      <c r="J87" s="90"/>
      <c r="K87" s="20"/>
      <c r="L87" s="20"/>
      <c r="M87" s="20"/>
      <c r="N87" s="97"/>
      <c r="O87" s="21"/>
      <c r="P87" s="27"/>
      <c r="Q87" s="99"/>
      <c r="R87" s="154"/>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5"/>
      <c r="AZ87" s="155"/>
      <c r="BA87" s="155"/>
      <c r="BB87" s="155"/>
      <c r="BC87" s="155"/>
      <c r="BD87" s="155"/>
      <c r="BE87" s="96"/>
      <c r="BF87" s="155"/>
      <c r="BG87" s="155"/>
    </row>
    <row r="88" spans="1:61" s="17" customFormat="1" ht="15.75" hidden="1" customHeight="1">
      <c r="A88" s="102"/>
      <c r="B88" s="115"/>
      <c r="C88" s="117"/>
      <c r="D88" s="119"/>
      <c r="E88" s="117"/>
      <c r="F88" s="117"/>
      <c r="G88" s="121"/>
      <c r="H88" s="95"/>
      <c r="I88" s="95"/>
      <c r="J88" s="95"/>
      <c r="K88" s="22"/>
      <c r="L88" s="18"/>
      <c r="M88" s="18"/>
      <c r="N88" s="98"/>
      <c r="O88" s="19"/>
      <c r="P88" s="22"/>
      <c r="Q88" s="100"/>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6"/>
      <c r="AZ88" s="156"/>
      <c r="BA88" s="156"/>
      <c r="BB88" s="156"/>
      <c r="BC88" s="156"/>
      <c r="BD88" s="156"/>
      <c r="BE88" s="96"/>
      <c r="BF88" s="156"/>
      <c r="BG88" s="156"/>
    </row>
    <row r="89" spans="1:61" s="17" customFormat="1" ht="15.75" hidden="1" customHeight="1">
      <c r="A89" s="101"/>
      <c r="B89" s="114"/>
      <c r="C89" s="116"/>
      <c r="D89" s="118"/>
      <c r="E89" s="116"/>
      <c r="F89" s="116"/>
      <c r="G89" s="120"/>
      <c r="H89" s="90"/>
      <c r="I89" s="90"/>
      <c r="J89" s="90"/>
      <c r="K89" s="20"/>
      <c r="L89" s="20"/>
      <c r="M89" s="20"/>
      <c r="N89" s="97"/>
      <c r="O89" s="21"/>
      <c r="P89" s="27"/>
      <c r="Q89" s="99"/>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row>
    <row r="91" spans="1:61" s="17" customFormat="1" ht="15.75" hidden="1" customHeight="1">
      <c r="A91" s="101">
        <v>45163</v>
      </c>
      <c r="B91" s="114" t="s">
        <v>37</v>
      </c>
      <c r="C91" s="116"/>
      <c r="D91" s="118"/>
      <c r="E91" s="116"/>
      <c r="F91" s="116"/>
      <c r="G91" s="120"/>
      <c r="H91" s="90"/>
      <c r="I91" s="90"/>
      <c r="J91" s="90"/>
      <c r="K91" s="20"/>
      <c r="L91" s="20"/>
      <c r="M91" s="20"/>
      <c r="N91" s="97" t="e">
        <f>O92/L92</f>
        <v>#DIV/0!</v>
      </c>
      <c r="O91" s="21">
        <f>L91-M91</f>
        <v>0</v>
      </c>
      <c r="P91" s="27"/>
      <c r="Q91" s="99">
        <f>+L92-P92</f>
        <v>0</v>
      </c>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f>L92-M92</f>
        <v>0</v>
      </c>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v>45163</v>
      </c>
      <c r="B93" s="114" t="s">
        <v>37</v>
      </c>
      <c r="C93" s="116"/>
      <c r="D93" s="118"/>
      <c r="E93" s="116"/>
      <c r="F93" s="116"/>
      <c r="G93" s="120"/>
      <c r="H93" s="90"/>
      <c r="I93" s="90"/>
      <c r="J93" s="90"/>
      <c r="K93" s="20"/>
      <c r="L93" s="20"/>
      <c r="M93" s="20"/>
      <c r="N93" s="97" t="e">
        <f>O94/L94</f>
        <v>#DIV/0!</v>
      </c>
      <c r="O93" s="21">
        <f>L93-M93</f>
        <v>0</v>
      </c>
      <c r="P93" s="27"/>
      <c r="Q93" s="99">
        <f>+L94-P94</f>
        <v>0</v>
      </c>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f>L94-M94</f>
        <v>0</v>
      </c>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c r="BH94" s="1"/>
      <c r="BI94" s="1"/>
    </row>
    <row r="95" spans="1:61" ht="24.75" hidden="1" customHeight="1">
      <c r="A95" s="111" t="s">
        <v>48</v>
      </c>
      <c r="B95" s="112"/>
      <c r="C95" s="112"/>
      <c r="D95" s="112"/>
      <c r="E95" s="112"/>
      <c r="F95" s="112"/>
      <c r="G95" s="112"/>
      <c r="H95" s="112"/>
      <c r="I95" s="113"/>
      <c r="J95" s="5">
        <f>SUM(J87:J94)</f>
        <v>0</v>
      </c>
      <c r="K95" s="5">
        <f>+SUMPRODUCT(((MOD(ROW(K87:K94),2)=0)*(K87:K94)))</f>
        <v>0</v>
      </c>
      <c r="L95" s="5">
        <f>+SUMPRODUCT(((MOD(ROW(L87:L94),2)=0)*(L87:L94)))</f>
        <v>0</v>
      </c>
      <c r="M95" s="5">
        <f>+SUMPRODUCT(((MOD(ROW(M87:M94),2)=0)*(M87:M94)))</f>
        <v>0</v>
      </c>
      <c r="N95" s="6" t="e">
        <f>O95/L95</f>
        <v>#DIV/0!</v>
      </c>
      <c r="O95" s="5">
        <f>+SUMPRODUCT(((MOD(ROW(O87:O94),2)=0)*(O87:O94)))</f>
        <v>0</v>
      </c>
      <c r="P95" s="5">
        <f>+SUMPRODUCT(((MOD(ROW(P87:P94),2)=0)*(P87:P94)))</f>
        <v>0</v>
      </c>
      <c r="Q95" s="29">
        <f>SUM(Q87:Q94)</f>
        <v>0</v>
      </c>
      <c r="R95" s="29"/>
      <c r="S95" s="29">
        <f t="shared" ref="S95:BG95" si="9">SUM(S87:S94)</f>
        <v>0</v>
      </c>
      <c r="T95" s="29">
        <f t="shared" si="9"/>
        <v>0</v>
      </c>
      <c r="U95" s="29">
        <f t="shared" si="9"/>
        <v>0</v>
      </c>
      <c r="V95" s="29">
        <f t="shared" si="9"/>
        <v>0</v>
      </c>
      <c r="W95" s="29">
        <f t="shared" si="9"/>
        <v>0</v>
      </c>
      <c r="X95" s="29">
        <f t="shared" si="9"/>
        <v>0</v>
      </c>
      <c r="Y95" s="29">
        <f t="shared" si="9"/>
        <v>0</v>
      </c>
      <c r="Z95" s="29">
        <f t="shared" si="9"/>
        <v>0</v>
      </c>
      <c r="AA95" s="29">
        <f t="shared" si="9"/>
        <v>0</v>
      </c>
      <c r="AB95" s="29">
        <f t="shared" si="9"/>
        <v>0</v>
      </c>
      <c r="AC95" s="29">
        <f t="shared" si="9"/>
        <v>0</v>
      </c>
      <c r="AD95" s="29">
        <f t="shared" si="9"/>
        <v>0</v>
      </c>
      <c r="AE95" s="29">
        <f t="shared" si="9"/>
        <v>0</v>
      </c>
      <c r="AF95" s="29">
        <f t="shared" si="9"/>
        <v>0</v>
      </c>
      <c r="AG95" s="29">
        <f t="shared" si="9"/>
        <v>0</v>
      </c>
      <c r="AH95" s="29">
        <f t="shared" si="9"/>
        <v>0</v>
      </c>
      <c r="AI95" s="29">
        <f t="shared" si="9"/>
        <v>0</v>
      </c>
      <c r="AJ95" s="29">
        <f t="shared" si="9"/>
        <v>0</v>
      </c>
      <c r="AK95" s="29">
        <f t="shared" si="9"/>
        <v>0</v>
      </c>
      <c r="AL95" s="29">
        <f t="shared" si="9"/>
        <v>0</v>
      </c>
      <c r="AM95" s="29">
        <f t="shared" si="9"/>
        <v>0</v>
      </c>
      <c r="AN95" s="29">
        <f t="shared" si="9"/>
        <v>0</v>
      </c>
      <c r="AO95" s="29">
        <f t="shared" si="9"/>
        <v>0</v>
      </c>
      <c r="AP95" s="29">
        <f t="shared" si="9"/>
        <v>0</v>
      </c>
      <c r="AQ95" s="29">
        <f t="shared" si="9"/>
        <v>0</v>
      </c>
      <c r="AR95" s="29">
        <f t="shared" si="9"/>
        <v>0</v>
      </c>
      <c r="AS95" s="29">
        <f t="shared" si="9"/>
        <v>0</v>
      </c>
      <c r="AT95" s="29">
        <f t="shared" si="9"/>
        <v>0</v>
      </c>
      <c r="AU95" s="29">
        <f t="shared" si="9"/>
        <v>0</v>
      </c>
      <c r="AV95" s="29">
        <f t="shared" si="9"/>
        <v>0</v>
      </c>
      <c r="AW95" s="29">
        <f t="shared" si="9"/>
        <v>0</v>
      </c>
      <c r="AX95" s="29">
        <f t="shared" si="9"/>
        <v>0</v>
      </c>
      <c r="AY95" s="29">
        <f t="shared" si="9"/>
        <v>0</v>
      </c>
      <c r="AZ95" s="29">
        <f t="shared" si="9"/>
        <v>0</v>
      </c>
      <c r="BA95" s="29">
        <f t="shared" si="9"/>
        <v>0</v>
      </c>
      <c r="BB95" s="29">
        <f t="shared" si="9"/>
        <v>0</v>
      </c>
      <c r="BC95" s="29">
        <f t="shared" si="9"/>
        <v>0</v>
      </c>
      <c r="BD95" s="29">
        <f t="shared" si="9"/>
        <v>0</v>
      </c>
      <c r="BE95" s="29">
        <f t="shared" si="9"/>
        <v>0</v>
      </c>
      <c r="BF95" s="29">
        <f t="shared" si="9"/>
        <v>0</v>
      </c>
      <c r="BG95" s="29">
        <f t="shared" si="9"/>
        <v>0</v>
      </c>
      <c r="BH95" s="17"/>
      <c r="BI95" s="17"/>
    </row>
    <row r="96" spans="1:61" s="17" customFormat="1" ht="15.75" hidden="1" customHeight="1">
      <c r="A96" s="101"/>
      <c r="B96" s="114"/>
      <c r="C96" s="116"/>
      <c r="D96" s="118"/>
      <c r="E96" s="157"/>
      <c r="F96" s="116"/>
      <c r="G96" s="120"/>
      <c r="H96" s="109"/>
      <c r="I96" s="90"/>
      <c r="J96" s="90"/>
      <c r="K96" s="20"/>
      <c r="L96" s="20"/>
      <c r="M96" s="20"/>
      <c r="N96" s="97"/>
      <c r="O96" s="21"/>
      <c r="P96" s="27"/>
      <c r="Q96" s="99"/>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5"/>
      <c r="AZ96" s="155"/>
      <c r="BA96" s="155"/>
      <c r="BB96" s="155"/>
      <c r="BC96" s="155"/>
      <c r="BD96" s="155"/>
      <c r="BE96" s="96"/>
      <c r="BF96" s="155"/>
      <c r="BG96" s="155"/>
    </row>
    <row r="97" spans="1:61" s="17" customFormat="1" ht="15.75" hidden="1" customHeight="1">
      <c r="A97" s="102"/>
      <c r="B97" s="115"/>
      <c r="C97" s="117"/>
      <c r="D97" s="119"/>
      <c r="E97" s="117"/>
      <c r="F97" s="117"/>
      <c r="G97" s="121"/>
      <c r="H97" s="95"/>
      <c r="I97" s="95"/>
      <c r="J97" s="95"/>
      <c r="K97" s="22"/>
      <c r="L97" s="18"/>
      <c r="M97" s="18"/>
      <c r="N97" s="98"/>
      <c r="O97" s="19"/>
      <c r="P97" s="22"/>
      <c r="Q97" s="100"/>
      <c r="R97" s="102"/>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6"/>
      <c r="AZ97" s="156"/>
      <c r="BA97" s="156"/>
      <c r="BB97" s="156"/>
      <c r="BC97" s="156"/>
      <c r="BD97" s="156"/>
      <c r="BE97" s="96"/>
      <c r="BF97" s="156"/>
      <c r="BG97" s="156"/>
    </row>
    <row r="98" spans="1:61" s="17" customFormat="1" ht="15.75" hidden="1" customHeight="1">
      <c r="A98" s="101">
        <v>45061</v>
      </c>
      <c r="B98" s="114" t="s">
        <v>37</v>
      </c>
      <c r="C98" s="116"/>
      <c r="D98" s="118"/>
      <c r="E98" s="157"/>
      <c r="F98" s="116"/>
      <c r="G98" s="120"/>
      <c r="H98" s="90"/>
      <c r="I98" s="90"/>
      <c r="J98" s="90"/>
      <c r="K98" s="20"/>
      <c r="L98" s="20"/>
      <c r="M98" s="20"/>
      <c r="N98" s="97" t="e">
        <f>O99/L99</f>
        <v>#DIV/0!</v>
      </c>
      <c r="O98" s="21">
        <f t="shared" ref="O98:O103" si="10">L98-M98</f>
        <v>0</v>
      </c>
      <c r="P98" s="27"/>
      <c r="Q98" s="99">
        <f>+L99-P99</f>
        <v>0</v>
      </c>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f t="shared" si="10"/>
        <v>0</v>
      </c>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row>
    <row r="100" spans="1:61" s="17" customFormat="1" ht="15.75" hidden="1" customHeight="1">
      <c r="A100" s="101">
        <v>44990</v>
      </c>
      <c r="B100" s="114" t="s">
        <v>37</v>
      </c>
      <c r="C100" s="116"/>
      <c r="D100" s="118"/>
      <c r="E100" s="116"/>
      <c r="F100" s="116"/>
      <c r="G100" s="120"/>
      <c r="H100" s="90"/>
      <c r="I100" s="90"/>
      <c r="J100" s="90"/>
      <c r="K100" s="20"/>
      <c r="L100" s="20"/>
      <c r="M100" s="20"/>
      <c r="N100" s="97" t="e">
        <f>O101/L101</f>
        <v>#DIV/0!</v>
      </c>
      <c r="O100" s="21">
        <f t="shared" si="10"/>
        <v>0</v>
      </c>
      <c r="P100" s="27"/>
      <c r="Q100" s="99">
        <f>+L101-P101</f>
        <v>0</v>
      </c>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f t="shared" si="10"/>
        <v>0</v>
      </c>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44990</v>
      </c>
      <c r="B102" s="114" t="s">
        <v>37</v>
      </c>
      <c r="C102" s="116"/>
      <c r="D102" s="118"/>
      <c r="E102" s="116"/>
      <c r="F102" s="116"/>
      <c r="G102" s="120"/>
      <c r="H102" s="90"/>
      <c r="I102" s="90"/>
      <c r="J102" s="90"/>
      <c r="K102" s="20"/>
      <c r="L102" s="20"/>
      <c r="M102" s="20"/>
      <c r="N102" s="97" t="e">
        <f>O103/L103</f>
        <v>#DIV/0!</v>
      </c>
      <c r="O102" s="21">
        <f t="shared" si="10"/>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c r="BH103" s="1"/>
      <c r="BI103" s="1"/>
    </row>
    <row r="104" spans="1:61" ht="24.75" hidden="1" customHeight="1">
      <c r="A104" s="111" t="s">
        <v>46</v>
      </c>
      <c r="B104" s="112"/>
      <c r="C104" s="112"/>
      <c r="D104" s="112"/>
      <c r="E104" s="112"/>
      <c r="F104" s="112"/>
      <c r="G104" s="112"/>
      <c r="H104" s="112"/>
      <c r="I104" s="113"/>
      <c r="J104" s="5">
        <f>SUM(J96:J103)</f>
        <v>0</v>
      </c>
      <c r="K104" s="5">
        <f>+SUMPRODUCT(((MOD(ROW(K96:K103),2)=0)*(K96:K103)))</f>
        <v>0</v>
      </c>
      <c r="L104" s="5">
        <f>+SUMPRODUCT(((MOD(ROW(L96:L103),2)=0)*(L96:L103)))</f>
        <v>0</v>
      </c>
      <c r="M104" s="5">
        <f>+SUMPRODUCT(((MOD(ROW(M96:M103),2)=0)*(M96:M103)))</f>
        <v>0</v>
      </c>
      <c r="N104" s="6" t="e">
        <f>O104/L104</f>
        <v>#DIV/0!</v>
      </c>
      <c r="O104" s="5">
        <f>+SUMPRODUCT(((MOD(ROW(O96:O103),2)=0)*(O96:O103)))</f>
        <v>0</v>
      </c>
      <c r="P104" s="5">
        <f>+SUMPRODUCT(((MOD(ROW(P96:P103),2)=0)*(P96:P103)))</f>
        <v>0</v>
      </c>
      <c r="Q104" s="29">
        <f>SUM(Q96:Q103)</f>
        <v>0</v>
      </c>
      <c r="R104" s="29"/>
      <c r="S104" s="29">
        <f t="shared" ref="S104:BG104" si="11">SUM(S96:S103)</f>
        <v>0</v>
      </c>
      <c r="T104" s="29">
        <f t="shared" si="11"/>
        <v>0</v>
      </c>
      <c r="U104" s="29">
        <f t="shared" si="11"/>
        <v>0</v>
      </c>
      <c r="V104" s="29">
        <f t="shared" si="11"/>
        <v>0</v>
      </c>
      <c r="W104" s="29">
        <f t="shared" si="11"/>
        <v>0</v>
      </c>
      <c r="X104" s="29">
        <f t="shared" si="11"/>
        <v>0</v>
      </c>
      <c r="Y104" s="29">
        <f t="shared" si="11"/>
        <v>0</v>
      </c>
      <c r="Z104" s="29">
        <f t="shared" si="11"/>
        <v>0</v>
      </c>
      <c r="AA104" s="29">
        <f t="shared" si="11"/>
        <v>0</v>
      </c>
      <c r="AB104" s="29">
        <f t="shared" si="11"/>
        <v>0</v>
      </c>
      <c r="AC104" s="29">
        <f t="shared" si="11"/>
        <v>0</v>
      </c>
      <c r="AD104" s="29">
        <f t="shared" si="11"/>
        <v>0</v>
      </c>
      <c r="AE104" s="29">
        <f t="shared" si="11"/>
        <v>0</v>
      </c>
      <c r="AF104" s="29">
        <f t="shared" si="11"/>
        <v>0</v>
      </c>
      <c r="AG104" s="29">
        <f t="shared" si="11"/>
        <v>0</v>
      </c>
      <c r="AH104" s="29">
        <f t="shared" si="11"/>
        <v>0</v>
      </c>
      <c r="AI104" s="29">
        <f t="shared" si="11"/>
        <v>0</v>
      </c>
      <c r="AJ104" s="29">
        <f t="shared" si="11"/>
        <v>0</v>
      </c>
      <c r="AK104" s="29">
        <f t="shared" si="11"/>
        <v>0</v>
      </c>
      <c r="AL104" s="29">
        <f t="shared" si="11"/>
        <v>0</v>
      </c>
      <c r="AM104" s="29">
        <f t="shared" si="11"/>
        <v>0</v>
      </c>
      <c r="AN104" s="29">
        <f t="shared" si="11"/>
        <v>0</v>
      </c>
      <c r="AO104" s="29">
        <f t="shared" si="11"/>
        <v>0</v>
      </c>
      <c r="AP104" s="29">
        <f t="shared" si="11"/>
        <v>0</v>
      </c>
      <c r="AQ104" s="29">
        <f t="shared" si="11"/>
        <v>0</v>
      </c>
      <c r="AR104" s="29">
        <f t="shared" si="11"/>
        <v>0</v>
      </c>
      <c r="AS104" s="29">
        <f t="shared" si="11"/>
        <v>0</v>
      </c>
      <c r="AT104" s="29">
        <f t="shared" si="11"/>
        <v>0</v>
      </c>
      <c r="AU104" s="29">
        <f t="shared" si="11"/>
        <v>0</v>
      </c>
      <c r="AV104" s="29">
        <f t="shared" si="11"/>
        <v>0</v>
      </c>
      <c r="AW104" s="29">
        <f t="shared" si="11"/>
        <v>0</v>
      </c>
      <c r="AX104" s="29">
        <f t="shared" si="11"/>
        <v>0</v>
      </c>
      <c r="AY104" s="29">
        <f t="shared" si="11"/>
        <v>0</v>
      </c>
      <c r="AZ104" s="29">
        <f t="shared" si="11"/>
        <v>0</v>
      </c>
      <c r="BA104" s="29">
        <f t="shared" si="11"/>
        <v>0</v>
      </c>
      <c r="BB104" s="29">
        <f t="shared" si="11"/>
        <v>0</v>
      </c>
      <c r="BC104" s="29">
        <f t="shared" si="11"/>
        <v>0</v>
      </c>
      <c r="BD104" s="29">
        <f t="shared" si="11"/>
        <v>0</v>
      </c>
      <c r="BE104" s="29">
        <f t="shared" si="11"/>
        <v>0</v>
      </c>
      <c r="BF104" s="29">
        <f t="shared" si="11"/>
        <v>0</v>
      </c>
      <c r="BG104" s="29">
        <f t="shared" si="11"/>
        <v>0</v>
      </c>
    </row>
    <row r="105" spans="1:61" ht="24.75" customHeight="1">
      <c r="A105" s="122" t="s">
        <v>5</v>
      </c>
      <c r="B105" s="122"/>
      <c r="C105" s="122"/>
      <c r="D105" s="122"/>
      <c r="E105" s="122"/>
      <c r="F105" s="122"/>
      <c r="G105" s="122"/>
      <c r="H105" s="122"/>
      <c r="I105" s="122"/>
      <c r="J105" s="4">
        <f>J75+J86+J95+J104</f>
        <v>4097</v>
      </c>
      <c r="K105" s="4">
        <f>K75+K86+K95+K104</f>
        <v>165</v>
      </c>
      <c r="L105" s="4">
        <f>L75+L86+L95+L104</f>
        <v>200</v>
      </c>
      <c r="M105" s="4">
        <f>M75+M86+M95+M104</f>
        <v>73</v>
      </c>
      <c r="N105" s="33">
        <f>O105/L105</f>
        <v>0.63500000000000001</v>
      </c>
      <c r="O105" s="4">
        <f>O75+O86+O95+O104</f>
        <v>127</v>
      </c>
      <c r="P105" s="31">
        <f>P75+P86+P95+P104</f>
        <v>171</v>
      </c>
      <c r="Q105" s="31">
        <f>Q75+Q86+Q95+Q104</f>
        <v>350</v>
      </c>
      <c r="R105" s="4"/>
      <c r="S105" s="31">
        <f t="shared" ref="S105:BG105" si="12">S75+S86+S95+S104</f>
        <v>0</v>
      </c>
      <c r="T105" s="31">
        <f t="shared" si="12"/>
        <v>8</v>
      </c>
      <c r="U105" s="31">
        <f t="shared" si="12"/>
        <v>18</v>
      </c>
      <c r="V105" s="31">
        <f t="shared" si="12"/>
        <v>0</v>
      </c>
      <c r="W105" s="31">
        <f t="shared" si="12"/>
        <v>0</v>
      </c>
      <c r="X105" s="31">
        <f t="shared" si="12"/>
        <v>2</v>
      </c>
      <c r="Y105" s="31">
        <f t="shared" si="12"/>
        <v>0</v>
      </c>
      <c r="Z105" s="31">
        <f t="shared" si="12"/>
        <v>0</v>
      </c>
      <c r="AA105" s="31">
        <f t="shared" si="12"/>
        <v>0</v>
      </c>
      <c r="AB105" s="31">
        <f t="shared" si="12"/>
        <v>0</v>
      </c>
      <c r="AC105" s="31">
        <f t="shared" si="12"/>
        <v>33</v>
      </c>
      <c r="AD105" s="31">
        <f t="shared" si="12"/>
        <v>19</v>
      </c>
      <c r="AE105" s="31">
        <f t="shared" si="12"/>
        <v>4</v>
      </c>
      <c r="AF105" s="31">
        <f t="shared" si="12"/>
        <v>5</v>
      </c>
      <c r="AG105" s="31">
        <f t="shared" si="12"/>
        <v>0</v>
      </c>
      <c r="AH105" s="31">
        <f t="shared" si="12"/>
        <v>23</v>
      </c>
      <c r="AI105" s="31">
        <f t="shared" si="12"/>
        <v>0</v>
      </c>
      <c r="AJ105" s="31">
        <f t="shared" si="12"/>
        <v>0</v>
      </c>
      <c r="AK105" s="31">
        <f t="shared" si="12"/>
        <v>0</v>
      </c>
      <c r="AL105" s="31">
        <f t="shared" si="12"/>
        <v>15</v>
      </c>
      <c r="AM105" s="31">
        <f t="shared" si="12"/>
        <v>0</v>
      </c>
      <c r="AN105" s="31">
        <f t="shared" si="12"/>
        <v>0</v>
      </c>
      <c r="AO105" s="31">
        <f t="shared" si="12"/>
        <v>0</v>
      </c>
      <c r="AP105" s="31">
        <f t="shared" si="12"/>
        <v>0</v>
      </c>
      <c r="AQ105" s="31">
        <f t="shared" si="12"/>
        <v>0</v>
      </c>
      <c r="AR105" s="31">
        <f t="shared" si="12"/>
        <v>0</v>
      </c>
      <c r="AS105" s="31">
        <f t="shared" si="12"/>
        <v>0</v>
      </c>
      <c r="AT105" s="31">
        <f t="shared" si="12"/>
        <v>0</v>
      </c>
      <c r="AU105" s="31">
        <f t="shared" si="12"/>
        <v>0</v>
      </c>
      <c r="AV105" s="31">
        <f t="shared" si="12"/>
        <v>0</v>
      </c>
      <c r="AW105" s="31">
        <f t="shared" si="12"/>
        <v>0</v>
      </c>
      <c r="AX105" s="31">
        <f t="shared" si="12"/>
        <v>0</v>
      </c>
      <c r="AY105" s="31">
        <f t="shared" si="12"/>
        <v>0</v>
      </c>
      <c r="AZ105" s="31">
        <f t="shared" si="12"/>
        <v>0</v>
      </c>
      <c r="BA105" s="31">
        <f t="shared" si="12"/>
        <v>0</v>
      </c>
      <c r="BB105" s="31">
        <f t="shared" si="12"/>
        <v>0</v>
      </c>
      <c r="BC105" s="31">
        <f t="shared" si="12"/>
        <v>0</v>
      </c>
      <c r="BD105" s="31">
        <f t="shared" si="12"/>
        <v>0</v>
      </c>
      <c r="BE105" s="31">
        <f t="shared" si="12"/>
        <v>0</v>
      </c>
      <c r="BF105" s="31">
        <f t="shared" si="12"/>
        <v>0</v>
      </c>
      <c r="BG105" s="31">
        <f t="shared" si="12"/>
        <v>0</v>
      </c>
    </row>
    <row r="108" spans="1:61" s="25" customFormat="1" ht="35.25" customHeight="1">
      <c r="A108" s="2"/>
      <c r="B108" s="2"/>
      <c r="C108" s="2"/>
      <c r="D108" s="1"/>
      <c r="E108" s="1"/>
      <c r="F108" s="1"/>
      <c r="G108" s="1"/>
      <c r="H108" s="1"/>
      <c r="I108" s="1"/>
      <c r="J108" s="1"/>
      <c r="K108" s="35"/>
      <c r="L108" s="35"/>
      <c r="M108" s="35"/>
      <c r="N108" s="35"/>
      <c r="O108" s="35"/>
      <c r="P108" s="35"/>
      <c r="Q108" s="36"/>
      <c r="S108" s="8"/>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row>
    <row r="111" spans="1:61" s="25" customFormat="1" ht="33" customHeight="1">
      <c r="A111" s="2"/>
      <c r="B111" s="2"/>
      <c r="C111" s="2"/>
      <c r="D111" s="1"/>
      <c r="E111" s="1"/>
      <c r="F111" s="1"/>
      <c r="G111" s="1"/>
      <c r="H111" s="1"/>
      <c r="I111" s="1"/>
      <c r="J111" s="1"/>
      <c r="K111" s="1"/>
      <c r="L111" s="1"/>
      <c r="M111" s="1"/>
      <c r="N111" s="1"/>
      <c r="O111" s="1"/>
      <c r="S111" s="8"/>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row>
  </sheetData>
  <mergeCells count="2471">
    <mergeCell ref="AE3:AE4"/>
    <mergeCell ref="AF3:AF4"/>
    <mergeCell ref="AG3:AG4"/>
    <mergeCell ref="AH3:AH4"/>
    <mergeCell ref="AP3:AP4"/>
    <mergeCell ref="AQ3:AQ4"/>
    <mergeCell ref="AR3:AR4"/>
    <mergeCell ref="AS3:AS4"/>
    <mergeCell ref="AT3:AT4"/>
    <mergeCell ref="AI3:AI4"/>
    <mergeCell ref="AJ3:AJ4"/>
    <mergeCell ref="AK3:AK4"/>
    <mergeCell ref="AL3:AL4"/>
    <mergeCell ref="AM3:AM4"/>
    <mergeCell ref="A1:O1"/>
    <mergeCell ref="A2:O2"/>
    <mergeCell ref="S3:S4"/>
    <mergeCell ref="T3:T4"/>
    <mergeCell ref="U3:U4"/>
    <mergeCell ref="V3:V4"/>
    <mergeCell ref="AO3:AO4"/>
    <mergeCell ref="W3:W4"/>
    <mergeCell ref="X3:X4"/>
    <mergeCell ref="Y3:Y4"/>
    <mergeCell ref="Z3:Z4"/>
    <mergeCell ref="AA3:AA4"/>
    <mergeCell ref="AB3:AB4"/>
    <mergeCell ref="AN3:AN4"/>
    <mergeCell ref="AC3:AC4"/>
    <mergeCell ref="AD3:AD4"/>
    <mergeCell ref="AU3:AU4"/>
    <mergeCell ref="AV3:AV4"/>
    <mergeCell ref="AW3:AW4"/>
    <mergeCell ref="AX3:AX4"/>
    <mergeCell ref="AY3:AY4"/>
    <mergeCell ref="AZ3:AZ4"/>
    <mergeCell ref="BA3:BA4"/>
    <mergeCell ref="BB3:BB4"/>
    <mergeCell ref="BC3:BC4"/>
    <mergeCell ref="BD3:BD4"/>
    <mergeCell ref="BE3:BE4"/>
    <mergeCell ref="BF3:BF4"/>
    <mergeCell ref="BG3:BG4"/>
    <mergeCell ref="A5:A6"/>
    <mergeCell ref="B5:B6"/>
    <mergeCell ref="C5:C6"/>
    <mergeCell ref="D5:D6"/>
    <mergeCell ref="E5:E6"/>
    <mergeCell ref="F5:F6"/>
    <mergeCell ref="G5:G6"/>
    <mergeCell ref="H5:H6"/>
    <mergeCell ref="I5:I6"/>
    <mergeCell ref="X5:X6"/>
    <mergeCell ref="Y5:Y6"/>
    <mergeCell ref="Z5:Z6"/>
    <mergeCell ref="J5:J6"/>
    <mergeCell ref="N5:N6"/>
    <mergeCell ref="Q5:Q6"/>
    <mergeCell ref="R5:R6"/>
    <mergeCell ref="S5:S6"/>
    <mergeCell ref="T5:T6"/>
    <mergeCell ref="AM5:AM6"/>
    <mergeCell ref="AN5:AN6"/>
    <mergeCell ref="AO5:AO6"/>
    <mergeCell ref="AP5:AP6"/>
    <mergeCell ref="AQ5:AQ6"/>
    <mergeCell ref="AR5:AR6"/>
    <mergeCell ref="AS5:AS6"/>
    <mergeCell ref="AT5:AT6"/>
    <mergeCell ref="AU5:AU6"/>
    <mergeCell ref="AV5:AV6"/>
    <mergeCell ref="AW5:AW6"/>
    <mergeCell ref="AX5:AX6"/>
    <mergeCell ref="U5:U6"/>
    <mergeCell ref="V5:V6"/>
    <mergeCell ref="W5:W6"/>
    <mergeCell ref="BG5:BG6"/>
    <mergeCell ref="AY5:AY6"/>
    <mergeCell ref="AZ5:AZ6"/>
    <mergeCell ref="BA5:BA6"/>
    <mergeCell ref="BB5:BB6"/>
    <mergeCell ref="BC5:BC6"/>
    <mergeCell ref="BD5:BD6"/>
    <mergeCell ref="AL5:AL6"/>
    <mergeCell ref="AA5:AA6"/>
    <mergeCell ref="AB5:AB6"/>
    <mergeCell ref="AC5:AC6"/>
    <mergeCell ref="AD5:AD6"/>
    <mergeCell ref="AE5:AE6"/>
    <mergeCell ref="AF5:AF6"/>
    <mergeCell ref="G7:G8"/>
    <mergeCell ref="H7:H8"/>
    <mergeCell ref="I7:I8"/>
    <mergeCell ref="BE5:BE6"/>
    <mergeCell ref="BF5:BF6"/>
    <mergeCell ref="AG5:AG6"/>
    <mergeCell ref="AH5:AH6"/>
    <mergeCell ref="AI5:AI6"/>
    <mergeCell ref="AJ5:AJ6"/>
    <mergeCell ref="AK5:AK6"/>
    <mergeCell ref="A7:A8"/>
    <mergeCell ref="B7:B8"/>
    <mergeCell ref="C7:C8"/>
    <mergeCell ref="D7:D8"/>
    <mergeCell ref="E7:E8"/>
    <mergeCell ref="F7:F8"/>
    <mergeCell ref="J7:J8"/>
    <mergeCell ref="N7:N8"/>
    <mergeCell ref="Q7:Q8"/>
    <mergeCell ref="R7:R8"/>
    <mergeCell ref="S7:S8"/>
    <mergeCell ref="T7:T8"/>
    <mergeCell ref="U7:U8"/>
    <mergeCell ref="V7:V8"/>
    <mergeCell ref="W7:W8"/>
    <mergeCell ref="X7:X8"/>
    <mergeCell ref="Y7:Y8"/>
    <mergeCell ref="Z7:Z8"/>
    <mergeCell ref="AA7:AA8"/>
    <mergeCell ref="AB7:AB8"/>
    <mergeCell ref="AC7:AC8"/>
    <mergeCell ref="AD7:AD8"/>
    <mergeCell ref="AE7:AE8"/>
    <mergeCell ref="AF7:AF8"/>
    <mergeCell ref="AG7:AG8"/>
    <mergeCell ref="AH7:AH8"/>
    <mergeCell ref="AI7:AI8"/>
    <mergeCell ref="AJ7:AJ8"/>
    <mergeCell ref="AK7:AK8"/>
    <mergeCell ref="AL7:AL8"/>
    <mergeCell ref="AM7:AM8"/>
    <mergeCell ref="AN7:AN8"/>
    <mergeCell ref="AO7:AO8"/>
    <mergeCell ref="AP7:AP8"/>
    <mergeCell ref="AQ7:AQ8"/>
    <mergeCell ref="AR7:AR8"/>
    <mergeCell ref="AS7:AS8"/>
    <mergeCell ref="AT7:AT8"/>
    <mergeCell ref="AU7:AU8"/>
    <mergeCell ref="AV7:AV8"/>
    <mergeCell ref="AW7:AW8"/>
    <mergeCell ref="AX7:AX8"/>
    <mergeCell ref="AY7:AY8"/>
    <mergeCell ref="AZ7:AZ8"/>
    <mergeCell ref="BA7:BA8"/>
    <mergeCell ref="BB7:BB8"/>
    <mergeCell ref="BC7:BC8"/>
    <mergeCell ref="BD7:BD8"/>
    <mergeCell ref="BE7:BE8"/>
    <mergeCell ref="BF7:BF8"/>
    <mergeCell ref="BG7:BG8"/>
    <mergeCell ref="A9:A10"/>
    <mergeCell ref="B9:B10"/>
    <mergeCell ref="C9:C10"/>
    <mergeCell ref="D9:D10"/>
    <mergeCell ref="E9:E10"/>
    <mergeCell ref="F9:F10"/>
    <mergeCell ref="G9:G10"/>
    <mergeCell ref="H9:H10"/>
    <mergeCell ref="I9:I10"/>
    <mergeCell ref="J9:J10"/>
    <mergeCell ref="N9:N10"/>
    <mergeCell ref="Q9:Q10"/>
    <mergeCell ref="R9:R10"/>
    <mergeCell ref="S9:S10"/>
    <mergeCell ref="T9:T10"/>
    <mergeCell ref="U9:U10"/>
    <mergeCell ref="V9:V10"/>
    <mergeCell ref="W9:W10"/>
    <mergeCell ref="X9:X10"/>
    <mergeCell ref="Y9:Y10"/>
    <mergeCell ref="Z9:Z10"/>
    <mergeCell ref="AA9:AA10"/>
    <mergeCell ref="AB9:AB10"/>
    <mergeCell ref="AC9:AC10"/>
    <mergeCell ref="AD9:AD10"/>
    <mergeCell ref="AE9:AE10"/>
    <mergeCell ref="AF9:AF10"/>
    <mergeCell ref="AG9:AG10"/>
    <mergeCell ref="AH9:AH10"/>
    <mergeCell ref="AI9:AI10"/>
    <mergeCell ref="AJ9:AJ10"/>
    <mergeCell ref="AK9:AK10"/>
    <mergeCell ref="AL9:AL10"/>
    <mergeCell ref="AM9:AM10"/>
    <mergeCell ref="AN9:AN10"/>
    <mergeCell ref="AO9:AO10"/>
    <mergeCell ref="AP9:AP10"/>
    <mergeCell ref="AQ9:AQ10"/>
    <mergeCell ref="AR9:AR10"/>
    <mergeCell ref="AS9:AS10"/>
    <mergeCell ref="AT9:AT10"/>
    <mergeCell ref="AU9:AU10"/>
    <mergeCell ref="AV9:AV10"/>
    <mergeCell ref="AW9:AW10"/>
    <mergeCell ref="AX9:AX10"/>
    <mergeCell ref="AY9:AY10"/>
    <mergeCell ref="AZ9:AZ10"/>
    <mergeCell ref="BA9:BA10"/>
    <mergeCell ref="BB9:BB10"/>
    <mergeCell ref="BC9:BC10"/>
    <mergeCell ref="BD9:BD10"/>
    <mergeCell ref="BE9:BE10"/>
    <mergeCell ref="BF9:BF10"/>
    <mergeCell ref="BG9:BG10"/>
    <mergeCell ref="A11:A12"/>
    <mergeCell ref="B11:B12"/>
    <mergeCell ref="C11:C12"/>
    <mergeCell ref="D11:D12"/>
    <mergeCell ref="E11:E12"/>
    <mergeCell ref="F11:F12"/>
    <mergeCell ref="G11:G12"/>
    <mergeCell ref="H11:H12"/>
    <mergeCell ref="I11:I12"/>
    <mergeCell ref="J11:J12"/>
    <mergeCell ref="N11:N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11:AF12"/>
    <mergeCell ref="AG11:AG12"/>
    <mergeCell ref="AH11:AH12"/>
    <mergeCell ref="AI11:AI12"/>
    <mergeCell ref="AJ11:AJ12"/>
    <mergeCell ref="AK11:AK12"/>
    <mergeCell ref="AL11:AL12"/>
    <mergeCell ref="AM11:AM12"/>
    <mergeCell ref="AN11:AN12"/>
    <mergeCell ref="AO11:AO12"/>
    <mergeCell ref="AP11:AP12"/>
    <mergeCell ref="AQ11:AQ12"/>
    <mergeCell ref="AR11:AR12"/>
    <mergeCell ref="AS11:AS12"/>
    <mergeCell ref="AT11:AT12"/>
    <mergeCell ref="AU11:AU12"/>
    <mergeCell ref="AV11:AV12"/>
    <mergeCell ref="AW11:AW12"/>
    <mergeCell ref="AX11:AX12"/>
    <mergeCell ref="AY11:AY12"/>
    <mergeCell ref="AZ11:AZ12"/>
    <mergeCell ref="BA11:BA12"/>
    <mergeCell ref="BB11:BB12"/>
    <mergeCell ref="BC11:BC12"/>
    <mergeCell ref="BD11:BD12"/>
    <mergeCell ref="BE11:BE12"/>
    <mergeCell ref="BF11:BF12"/>
    <mergeCell ref="BG11:BG12"/>
    <mergeCell ref="A15:A16"/>
    <mergeCell ref="B15:B16"/>
    <mergeCell ref="C15:C16"/>
    <mergeCell ref="D15:D16"/>
    <mergeCell ref="E15:E16"/>
    <mergeCell ref="F15:F16"/>
    <mergeCell ref="G15:G16"/>
    <mergeCell ref="H15:H16"/>
    <mergeCell ref="I15:I16"/>
    <mergeCell ref="J15:J16"/>
    <mergeCell ref="N15:N16"/>
    <mergeCell ref="Q15:Q16"/>
    <mergeCell ref="R15:R16"/>
    <mergeCell ref="S15:S16"/>
    <mergeCell ref="T15:T16"/>
    <mergeCell ref="U15:U16"/>
    <mergeCell ref="V15:V16"/>
    <mergeCell ref="W15:W16"/>
    <mergeCell ref="X15:X16"/>
    <mergeCell ref="Y15:Y16"/>
    <mergeCell ref="Z15:Z16"/>
    <mergeCell ref="AL15:AL16"/>
    <mergeCell ref="AA15:AA16"/>
    <mergeCell ref="AB15:AB16"/>
    <mergeCell ref="AC15:AC16"/>
    <mergeCell ref="AD15:AD16"/>
    <mergeCell ref="AE15:AE16"/>
    <mergeCell ref="AF15:AF16"/>
    <mergeCell ref="AN15:AN16"/>
    <mergeCell ref="AO15:AO16"/>
    <mergeCell ref="AP15:AP16"/>
    <mergeCell ref="AQ15:AQ16"/>
    <mergeCell ref="AR15:AR16"/>
    <mergeCell ref="AG15:AG16"/>
    <mergeCell ref="AH15:AH16"/>
    <mergeCell ref="AI15:AI16"/>
    <mergeCell ref="AJ15:AJ16"/>
    <mergeCell ref="AK15:AK16"/>
    <mergeCell ref="G17:G18"/>
    <mergeCell ref="AY15:AY16"/>
    <mergeCell ref="AZ15:AZ16"/>
    <mergeCell ref="BA15:BA16"/>
    <mergeCell ref="BB15:BB16"/>
    <mergeCell ref="BC15:BC16"/>
    <mergeCell ref="AS15:AS16"/>
    <mergeCell ref="AT15:AT16"/>
    <mergeCell ref="AU15:AU16"/>
    <mergeCell ref="AV15:AV16"/>
    <mergeCell ref="AV17:AV18"/>
    <mergeCell ref="BC17:BC18"/>
    <mergeCell ref="A17:A18"/>
    <mergeCell ref="B17:B18"/>
    <mergeCell ref="C17:C18"/>
    <mergeCell ref="D17:D18"/>
    <mergeCell ref="E17:E18"/>
    <mergeCell ref="F17:F18"/>
    <mergeCell ref="Y17:Y18"/>
    <mergeCell ref="Z17:Z18"/>
    <mergeCell ref="AA17:AA18"/>
    <mergeCell ref="BE15:BE16"/>
    <mergeCell ref="BF15:BF16"/>
    <mergeCell ref="BG15:BG16"/>
    <mergeCell ref="BD15:BD16"/>
    <mergeCell ref="AW15:AW16"/>
    <mergeCell ref="AX15:AX16"/>
    <mergeCell ref="AM15:AM16"/>
    <mergeCell ref="AO17:AO18"/>
    <mergeCell ref="AP17:AP18"/>
    <mergeCell ref="AE17:AE18"/>
    <mergeCell ref="AF17:AF18"/>
    <mergeCell ref="AG17:AG18"/>
    <mergeCell ref="AH17:AH18"/>
    <mergeCell ref="AI17:AI18"/>
    <mergeCell ref="AJ17:AJ18"/>
    <mergeCell ref="AZ17:AZ18"/>
    <mergeCell ref="BA17:BA18"/>
    <mergeCell ref="BB17:BB18"/>
    <mergeCell ref="AQ17:AQ18"/>
    <mergeCell ref="AR17:AR18"/>
    <mergeCell ref="AS17:AS18"/>
    <mergeCell ref="AT17:AT18"/>
    <mergeCell ref="AU17:AU18"/>
    <mergeCell ref="A19:A20"/>
    <mergeCell ref="B19:B20"/>
    <mergeCell ref="C19:C20"/>
    <mergeCell ref="D19:D20"/>
    <mergeCell ref="E19:E20"/>
    <mergeCell ref="AW17:AW18"/>
    <mergeCell ref="AK17:AK18"/>
    <mergeCell ref="AL17:AL18"/>
    <mergeCell ref="AM17:AM18"/>
    <mergeCell ref="AN17:AN18"/>
    <mergeCell ref="H17:H18"/>
    <mergeCell ref="I17:I18"/>
    <mergeCell ref="J17:J18"/>
    <mergeCell ref="N17:N18"/>
    <mergeCell ref="Q17:Q18"/>
    <mergeCell ref="R17:R18"/>
    <mergeCell ref="S17:S18"/>
    <mergeCell ref="T17:T18"/>
    <mergeCell ref="U17:U18"/>
    <mergeCell ref="V17:V18"/>
    <mergeCell ref="W17:W18"/>
    <mergeCell ref="X17:X18"/>
    <mergeCell ref="AH19:AH20"/>
    <mergeCell ref="AI19:AI20"/>
    <mergeCell ref="AJ19:AJ20"/>
    <mergeCell ref="AK19:AK20"/>
    <mergeCell ref="AL19:AL20"/>
    <mergeCell ref="AM19:AM20"/>
    <mergeCell ref="AN19:AN20"/>
    <mergeCell ref="AO19:AO20"/>
    <mergeCell ref="AP19:AP20"/>
    <mergeCell ref="AQ19:AQ20"/>
    <mergeCell ref="BD17:BD18"/>
    <mergeCell ref="BE17:BE18"/>
    <mergeCell ref="BF17:BF18"/>
    <mergeCell ref="BG17:BG18"/>
    <mergeCell ref="AB17:AB18"/>
    <mergeCell ref="AC17:AC18"/>
    <mergeCell ref="AD17:AD18"/>
    <mergeCell ref="AX17:AX18"/>
    <mergeCell ref="AY17:AY18"/>
    <mergeCell ref="F19:F20"/>
    <mergeCell ref="G19:G20"/>
    <mergeCell ref="H19:H20"/>
    <mergeCell ref="I19:I20"/>
    <mergeCell ref="J19:J20"/>
    <mergeCell ref="N19:N20"/>
    <mergeCell ref="Q19:Q20"/>
    <mergeCell ref="R19:R20"/>
    <mergeCell ref="S19:S20"/>
    <mergeCell ref="T19:T20"/>
    <mergeCell ref="U19:U20"/>
    <mergeCell ref="V19:V20"/>
    <mergeCell ref="W19:W20"/>
    <mergeCell ref="X19:X20"/>
    <mergeCell ref="Y19:Y20"/>
    <mergeCell ref="Z19:Z20"/>
    <mergeCell ref="AA19:AA20"/>
    <mergeCell ref="AB19:AB20"/>
    <mergeCell ref="AC19:AC20"/>
    <mergeCell ref="AD19:AD20"/>
    <mergeCell ref="AE19:AE20"/>
    <mergeCell ref="AF19:AF20"/>
    <mergeCell ref="AG19:AG20"/>
    <mergeCell ref="AR19:AR20"/>
    <mergeCell ref="AS19:AS20"/>
    <mergeCell ref="AT19:AT20"/>
    <mergeCell ref="AU19:AU20"/>
    <mergeCell ref="AV19:AV20"/>
    <mergeCell ref="AW19:AW20"/>
    <mergeCell ref="AX19:AX20"/>
    <mergeCell ref="AY19:AY20"/>
    <mergeCell ref="AZ19:AZ20"/>
    <mergeCell ref="BA19:BA20"/>
    <mergeCell ref="BB19:BB20"/>
    <mergeCell ref="BC19:BC20"/>
    <mergeCell ref="BD19:BD20"/>
    <mergeCell ref="BE19:BE20"/>
    <mergeCell ref="BF19:BF20"/>
    <mergeCell ref="BG19:BG20"/>
    <mergeCell ref="A21:A22"/>
    <mergeCell ref="B21:B22"/>
    <mergeCell ref="C21:C22"/>
    <mergeCell ref="D21:D22"/>
    <mergeCell ref="E21:E22"/>
    <mergeCell ref="F21:F22"/>
    <mergeCell ref="G21:G22"/>
    <mergeCell ref="H21:H22"/>
    <mergeCell ref="I21:I22"/>
    <mergeCell ref="J21:J22"/>
    <mergeCell ref="N21:N22"/>
    <mergeCell ref="Q21:Q22"/>
    <mergeCell ref="R21:R22"/>
    <mergeCell ref="S21:S22"/>
    <mergeCell ref="T21:T22"/>
    <mergeCell ref="U21:U22"/>
    <mergeCell ref="V21:V22"/>
    <mergeCell ref="W21:W22"/>
    <mergeCell ref="X21:X22"/>
    <mergeCell ref="Y21:Y22"/>
    <mergeCell ref="Z21:Z22"/>
    <mergeCell ref="AA21:AA22"/>
    <mergeCell ref="AB21:AB22"/>
    <mergeCell ref="AC21:AC22"/>
    <mergeCell ref="AD21:AD22"/>
    <mergeCell ref="AE21:AE22"/>
    <mergeCell ref="AF21:AF22"/>
    <mergeCell ref="AG21:AG22"/>
    <mergeCell ref="AH21:AH22"/>
    <mergeCell ref="AI21:AI22"/>
    <mergeCell ref="AJ21:AJ22"/>
    <mergeCell ref="AK21:AK22"/>
    <mergeCell ref="AL21:AL22"/>
    <mergeCell ref="AM21:AM22"/>
    <mergeCell ref="AN21:AN22"/>
    <mergeCell ref="AO21:AO22"/>
    <mergeCell ref="AP21:AP22"/>
    <mergeCell ref="AQ21:AQ22"/>
    <mergeCell ref="AR21:AR22"/>
    <mergeCell ref="AS21:AS22"/>
    <mergeCell ref="AT21:AT22"/>
    <mergeCell ref="AU21:AU22"/>
    <mergeCell ref="AV21:AV22"/>
    <mergeCell ref="AW21:AW22"/>
    <mergeCell ref="AX21:AX22"/>
    <mergeCell ref="AY21:AY22"/>
    <mergeCell ref="AZ21:AZ22"/>
    <mergeCell ref="BA21:BA22"/>
    <mergeCell ref="BB21:BB22"/>
    <mergeCell ref="BC21:BC22"/>
    <mergeCell ref="BD21:BD22"/>
    <mergeCell ref="BE21:BE22"/>
    <mergeCell ref="BF21:BF22"/>
    <mergeCell ref="BG21:BG22"/>
    <mergeCell ref="A23:A24"/>
    <mergeCell ref="B23:B24"/>
    <mergeCell ref="C23:C24"/>
    <mergeCell ref="D23:D24"/>
    <mergeCell ref="E23:E24"/>
    <mergeCell ref="F23:F24"/>
    <mergeCell ref="G23:G24"/>
    <mergeCell ref="H23:H24"/>
    <mergeCell ref="I23:I24"/>
    <mergeCell ref="J23:J24"/>
    <mergeCell ref="N23:N24"/>
    <mergeCell ref="Q23:Q24"/>
    <mergeCell ref="R23:R24"/>
    <mergeCell ref="S23:S24"/>
    <mergeCell ref="T23:T24"/>
    <mergeCell ref="U23:U24"/>
    <mergeCell ref="V23:V24"/>
    <mergeCell ref="W23:W24"/>
    <mergeCell ref="X23:X24"/>
    <mergeCell ref="Y23:Y24"/>
    <mergeCell ref="Z23:Z24"/>
    <mergeCell ref="AA23:AA24"/>
    <mergeCell ref="AB23:AB24"/>
    <mergeCell ref="AC23:AC24"/>
    <mergeCell ref="AD23:AD24"/>
    <mergeCell ref="AE23:AE24"/>
    <mergeCell ref="AF23:AF24"/>
    <mergeCell ref="AG23:AG24"/>
    <mergeCell ref="AH23:AH24"/>
    <mergeCell ref="AI23:AI24"/>
    <mergeCell ref="AJ23:AJ24"/>
    <mergeCell ref="AK23:AK24"/>
    <mergeCell ref="AL23:AL24"/>
    <mergeCell ref="AM23:AM24"/>
    <mergeCell ref="AN23:AN24"/>
    <mergeCell ref="AO23:AO24"/>
    <mergeCell ref="AP23:AP24"/>
    <mergeCell ref="AQ23:AQ24"/>
    <mergeCell ref="AR23:AR24"/>
    <mergeCell ref="AS23:AS24"/>
    <mergeCell ref="AT23:AT24"/>
    <mergeCell ref="AU23:AU24"/>
    <mergeCell ref="AV23:AV24"/>
    <mergeCell ref="AW23:AW24"/>
    <mergeCell ref="AX23:AX24"/>
    <mergeCell ref="AY23:AY24"/>
    <mergeCell ref="AZ23:AZ24"/>
    <mergeCell ref="BA23:BA24"/>
    <mergeCell ref="BB23:BB24"/>
    <mergeCell ref="BC23:BC24"/>
    <mergeCell ref="BD23:BD24"/>
    <mergeCell ref="BE23:BE24"/>
    <mergeCell ref="BF23:BF24"/>
    <mergeCell ref="BG23:BG24"/>
    <mergeCell ref="A25:A26"/>
    <mergeCell ref="B25:B26"/>
    <mergeCell ref="C25:C26"/>
    <mergeCell ref="D25:D26"/>
    <mergeCell ref="E25:E26"/>
    <mergeCell ref="F25:F26"/>
    <mergeCell ref="G25:G26"/>
    <mergeCell ref="H25:H26"/>
    <mergeCell ref="I25:I26"/>
    <mergeCell ref="J25:J26"/>
    <mergeCell ref="N25:N26"/>
    <mergeCell ref="Q25:Q26"/>
    <mergeCell ref="R25:R26"/>
    <mergeCell ref="S25:S26"/>
    <mergeCell ref="T25:T26"/>
    <mergeCell ref="U25:U26"/>
    <mergeCell ref="V25:V26"/>
    <mergeCell ref="W25:W26"/>
    <mergeCell ref="X25:X26"/>
    <mergeCell ref="Y25:Y26"/>
    <mergeCell ref="Z25:Z26"/>
    <mergeCell ref="AA25:AA26"/>
    <mergeCell ref="AB25:AB26"/>
    <mergeCell ref="BE25:BE26"/>
    <mergeCell ref="BF25:BF26"/>
    <mergeCell ref="BG25:BG26"/>
    <mergeCell ref="A27:A28"/>
    <mergeCell ref="B27:B28"/>
    <mergeCell ref="C27:C28"/>
    <mergeCell ref="D27:D28"/>
    <mergeCell ref="E27:E28"/>
    <mergeCell ref="F27:F28"/>
    <mergeCell ref="G27:G28"/>
    <mergeCell ref="H27:H28"/>
    <mergeCell ref="I27:I28"/>
    <mergeCell ref="J27:J28"/>
    <mergeCell ref="N27:N28"/>
    <mergeCell ref="Q27:Q28"/>
    <mergeCell ref="R27:R28"/>
    <mergeCell ref="S27:S28"/>
    <mergeCell ref="T27:T28"/>
    <mergeCell ref="U27:U28"/>
    <mergeCell ref="V27:V28"/>
    <mergeCell ref="W27:W28"/>
    <mergeCell ref="AC25:AC26"/>
    <mergeCell ref="AD25:AD26"/>
    <mergeCell ref="AE25:AE26"/>
    <mergeCell ref="AF25:AF26"/>
    <mergeCell ref="AG25:AG26"/>
    <mergeCell ref="AH25:AH26"/>
    <mergeCell ref="AI25:AI26"/>
    <mergeCell ref="AJ25:AJ26"/>
    <mergeCell ref="AK25:AK26"/>
    <mergeCell ref="AL25:AL26"/>
    <mergeCell ref="AM25:AM26"/>
    <mergeCell ref="AR27:AR28"/>
    <mergeCell ref="AG27:AG28"/>
    <mergeCell ref="AH27:AH28"/>
    <mergeCell ref="AI27:AI28"/>
    <mergeCell ref="AJ27:AJ28"/>
    <mergeCell ref="AK27:AK28"/>
    <mergeCell ref="AT25:AT26"/>
    <mergeCell ref="AU25:AU26"/>
    <mergeCell ref="AV25:AV26"/>
    <mergeCell ref="AW25:AW26"/>
    <mergeCell ref="AX25:AX26"/>
    <mergeCell ref="AY25:AY26"/>
    <mergeCell ref="AZ25:AZ26"/>
    <mergeCell ref="BA25:BA26"/>
    <mergeCell ref="BB25:BB26"/>
    <mergeCell ref="BC25:BC26"/>
    <mergeCell ref="BD25:BD26"/>
    <mergeCell ref="AN25:AN26"/>
    <mergeCell ref="AO25:AO26"/>
    <mergeCell ref="AP25:AP26"/>
    <mergeCell ref="AQ25:AQ26"/>
    <mergeCell ref="AR25:AR26"/>
    <mergeCell ref="AS25:AS26"/>
    <mergeCell ref="G29:G30"/>
    <mergeCell ref="AY27:AY28"/>
    <mergeCell ref="AZ27:AZ28"/>
    <mergeCell ref="BA27:BA28"/>
    <mergeCell ref="BB27:BB28"/>
    <mergeCell ref="BC27:BC28"/>
    <mergeCell ref="AS27:AS28"/>
    <mergeCell ref="AT27:AT28"/>
    <mergeCell ref="AU27:AU28"/>
    <mergeCell ref="AV27:AV28"/>
    <mergeCell ref="A29:A30"/>
    <mergeCell ref="B29:B30"/>
    <mergeCell ref="C29:C30"/>
    <mergeCell ref="D29:D30"/>
    <mergeCell ref="E29:E30"/>
    <mergeCell ref="F29:F30"/>
    <mergeCell ref="Y29:Y30"/>
    <mergeCell ref="Z29:Z30"/>
    <mergeCell ref="AA29:AA30"/>
    <mergeCell ref="X27:X28"/>
    <mergeCell ref="Y27:Y28"/>
    <mergeCell ref="Z27:Z28"/>
    <mergeCell ref="AL27:AL28"/>
    <mergeCell ref="AA27:AA28"/>
    <mergeCell ref="AB27:AB28"/>
    <mergeCell ref="AC27:AC28"/>
    <mergeCell ref="AD27:AD28"/>
    <mergeCell ref="AE27:AE28"/>
    <mergeCell ref="AF27:AF28"/>
    <mergeCell ref="AN27:AN28"/>
    <mergeCell ref="AO27:AO28"/>
    <mergeCell ref="AP27:AP28"/>
    <mergeCell ref="BE27:BE28"/>
    <mergeCell ref="BF27:BF28"/>
    <mergeCell ref="BG27:BG28"/>
    <mergeCell ref="BD27:BD28"/>
    <mergeCell ref="AW27:AW28"/>
    <mergeCell ref="AX27:AX28"/>
    <mergeCell ref="AM27:AM28"/>
    <mergeCell ref="AO29:AO30"/>
    <mergeCell ref="AP29:AP30"/>
    <mergeCell ref="AE29:AE30"/>
    <mergeCell ref="AF29:AF30"/>
    <mergeCell ref="AG29:AG30"/>
    <mergeCell ref="AH29:AH30"/>
    <mergeCell ref="AI29:AI30"/>
    <mergeCell ref="AJ29:AJ30"/>
    <mergeCell ref="AZ29:AZ30"/>
    <mergeCell ref="BA29:BA30"/>
    <mergeCell ref="BB29:BB30"/>
    <mergeCell ref="AQ29:AQ30"/>
    <mergeCell ref="AR29:AR30"/>
    <mergeCell ref="AS29:AS30"/>
    <mergeCell ref="AT29:AT30"/>
    <mergeCell ref="AU29:AU30"/>
    <mergeCell ref="AV29:AV30"/>
    <mergeCell ref="BC29:BC30"/>
    <mergeCell ref="BD29:BD30"/>
    <mergeCell ref="BE29:BE30"/>
    <mergeCell ref="BF29:BF30"/>
    <mergeCell ref="BG29:BG30"/>
    <mergeCell ref="AX29:AX30"/>
    <mergeCell ref="AY29:AY30"/>
    <mergeCell ref="AQ27:AQ28"/>
    <mergeCell ref="A31:A32"/>
    <mergeCell ref="B31:B32"/>
    <mergeCell ref="C31:C32"/>
    <mergeCell ref="D31:D32"/>
    <mergeCell ref="E31:E32"/>
    <mergeCell ref="AW29:AW30"/>
    <mergeCell ref="AK29:AK30"/>
    <mergeCell ref="AL29:AL30"/>
    <mergeCell ref="AM29:AM30"/>
    <mergeCell ref="AN29:AN30"/>
    <mergeCell ref="H29:H30"/>
    <mergeCell ref="I29:I30"/>
    <mergeCell ref="J29:J30"/>
    <mergeCell ref="N29:N30"/>
    <mergeCell ref="Q29:Q30"/>
    <mergeCell ref="R29:R30"/>
    <mergeCell ref="S29:S30"/>
    <mergeCell ref="T29:T30"/>
    <mergeCell ref="U29:U30"/>
    <mergeCell ref="V29:V30"/>
    <mergeCell ref="W29:W30"/>
    <mergeCell ref="X29:X30"/>
    <mergeCell ref="AB29:AB30"/>
    <mergeCell ref="AC29:AC30"/>
    <mergeCell ref="AD29:AD30"/>
    <mergeCell ref="F31:F32"/>
    <mergeCell ref="G31:G32"/>
    <mergeCell ref="H31:H32"/>
    <mergeCell ref="I31:I32"/>
    <mergeCell ref="J31:J32"/>
    <mergeCell ref="N31:N32"/>
    <mergeCell ref="Q31:Q32"/>
    <mergeCell ref="R31:R32"/>
    <mergeCell ref="S31:S32"/>
    <mergeCell ref="T31:T32"/>
    <mergeCell ref="U31:U32"/>
    <mergeCell ref="V31:V32"/>
    <mergeCell ref="W31:W32"/>
    <mergeCell ref="X31:X32"/>
    <mergeCell ref="Y31:Y32"/>
    <mergeCell ref="Z31:Z32"/>
    <mergeCell ref="AA31:AA32"/>
    <mergeCell ref="AB31:AB32"/>
    <mergeCell ref="AC31:AC32"/>
    <mergeCell ref="AD31:AD32"/>
    <mergeCell ref="AE31:AE32"/>
    <mergeCell ref="AF31:AF32"/>
    <mergeCell ref="AG31:AG32"/>
    <mergeCell ref="AH31:AH32"/>
    <mergeCell ref="AI31:AI32"/>
    <mergeCell ref="AJ31:AJ32"/>
    <mergeCell ref="AK31:AK32"/>
    <mergeCell ref="AL31:AL32"/>
    <mergeCell ref="AM31:AM32"/>
    <mergeCell ref="AN31:AN32"/>
    <mergeCell ref="AO31:AO32"/>
    <mergeCell ref="AP31:AP32"/>
    <mergeCell ref="AQ31:AQ32"/>
    <mergeCell ref="AR31:AR32"/>
    <mergeCell ref="AS31:AS32"/>
    <mergeCell ref="AT31:AT32"/>
    <mergeCell ref="AU31:AU32"/>
    <mergeCell ref="AV31:AV32"/>
    <mergeCell ref="AW31:AW32"/>
    <mergeCell ref="AX31:AX32"/>
    <mergeCell ref="AY31:AY32"/>
    <mergeCell ref="AZ31:AZ32"/>
    <mergeCell ref="BA31:BA32"/>
    <mergeCell ref="BB31:BB32"/>
    <mergeCell ref="BC31:BC32"/>
    <mergeCell ref="BD31:BD32"/>
    <mergeCell ref="BE31:BE32"/>
    <mergeCell ref="BF31:BF32"/>
    <mergeCell ref="BG31:BG32"/>
    <mergeCell ref="A33:A34"/>
    <mergeCell ref="B33:B34"/>
    <mergeCell ref="C33:C34"/>
    <mergeCell ref="D33:D34"/>
    <mergeCell ref="E33:E34"/>
    <mergeCell ref="F33:F34"/>
    <mergeCell ref="G33:G34"/>
    <mergeCell ref="H33:H34"/>
    <mergeCell ref="I33:I34"/>
    <mergeCell ref="J33:J34"/>
    <mergeCell ref="N33:N34"/>
    <mergeCell ref="Q33:Q34"/>
    <mergeCell ref="R33:R34"/>
    <mergeCell ref="S33:S34"/>
    <mergeCell ref="T33:T34"/>
    <mergeCell ref="U33:U34"/>
    <mergeCell ref="V33:V34"/>
    <mergeCell ref="W33:W34"/>
    <mergeCell ref="X33:X34"/>
    <mergeCell ref="Y33:Y34"/>
    <mergeCell ref="Z33:Z34"/>
    <mergeCell ref="AA33:AA34"/>
    <mergeCell ref="AB33:AB34"/>
    <mergeCell ref="AC33:AC34"/>
    <mergeCell ref="AD33:AD34"/>
    <mergeCell ref="AE33:AE34"/>
    <mergeCell ref="AF33:AF34"/>
    <mergeCell ref="AG33:AG34"/>
    <mergeCell ref="AH33:AH34"/>
    <mergeCell ref="AI33:AI34"/>
    <mergeCell ref="AJ33:AJ34"/>
    <mergeCell ref="AK33:AK34"/>
    <mergeCell ref="AL33:AL34"/>
    <mergeCell ref="AM33:AM34"/>
    <mergeCell ref="AN33:AN34"/>
    <mergeCell ref="AO33:AO34"/>
    <mergeCell ref="AP33:AP34"/>
    <mergeCell ref="AQ33:AQ34"/>
    <mergeCell ref="AR33:AR34"/>
    <mergeCell ref="AS33:AS34"/>
    <mergeCell ref="AT33:AT34"/>
    <mergeCell ref="AU33:AU34"/>
    <mergeCell ref="AV33:AV34"/>
    <mergeCell ref="AW33:AW34"/>
    <mergeCell ref="AX33:AX34"/>
    <mergeCell ref="AY33:AY34"/>
    <mergeCell ref="AZ33:AZ34"/>
    <mergeCell ref="BA33:BA34"/>
    <mergeCell ref="BB33:BB34"/>
    <mergeCell ref="BC33:BC34"/>
    <mergeCell ref="BD33:BD34"/>
    <mergeCell ref="BE33:BE34"/>
    <mergeCell ref="BF33:BF34"/>
    <mergeCell ref="BG33:BG34"/>
    <mergeCell ref="A35:A36"/>
    <mergeCell ref="B35:B36"/>
    <mergeCell ref="C35:C36"/>
    <mergeCell ref="D35:D36"/>
    <mergeCell ref="E35:E36"/>
    <mergeCell ref="F35:F36"/>
    <mergeCell ref="G35:G36"/>
    <mergeCell ref="H35:H36"/>
    <mergeCell ref="I35:I36"/>
    <mergeCell ref="J35:J36"/>
    <mergeCell ref="N35:N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35:AF36"/>
    <mergeCell ref="AG35:AG36"/>
    <mergeCell ref="AH35:AH36"/>
    <mergeCell ref="AI35:AI36"/>
    <mergeCell ref="AJ35:AJ36"/>
    <mergeCell ref="AK35:AK36"/>
    <mergeCell ref="AL35:AL36"/>
    <mergeCell ref="AM35:AM36"/>
    <mergeCell ref="AN35:AN36"/>
    <mergeCell ref="AO35:AO36"/>
    <mergeCell ref="AP35:AP36"/>
    <mergeCell ref="AQ35:AQ36"/>
    <mergeCell ref="AR35:AR36"/>
    <mergeCell ref="AS35:AS36"/>
    <mergeCell ref="AT35:AT36"/>
    <mergeCell ref="AU35:AU36"/>
    <mergeCell ref="AV35:AV36"/>
    <mergeCell ref="AW35:AW36"/>
    <mergeCell ref="AX35:AX36"/>
    <mergeCell ref="AY35:AY36"/>
    <mergeCell ref="AZ35:AZ36"/>
    <mergeCell ref="BA35:BA36"/>
    <mergeCell ref="BB35:BB36"/>
    <mergeCell ref="BC35:BC36"/>
    <mergeCell ref="BD35:BD36"/>
    <mergeCell ref="BE35:BE36"/>
    <mergeCell ref="BF35:BF36"/>
    <mergeCell ref="BG35:BG36"/>
    <mergeCell ref="A37:A38"/>
    <mergeCell ref="B37:B38"/>
    <mergeCell ref="C37:C38"/>
    <mergeCell ref="D37:D38"/>
    <mergeCell ref="E37:E38"/>
    <mergeCell ref="F37:F38"/>
    <mergeCell ref="G37:G38"/>
    <mergeCell ref="H37:H38"/>
    <mergeCell ref="I37:I38"/>
    <mergeCell ref="J37:J38"/>
    <mergeCell ref="N37:N38"/>
    <mergeCell ref="Q37:Q38"/>
    <mergeCell ref="R37:R38"/>
    <mergeCell ref="S37:S38"/>
    <mergeCell ref="T37:T38"/>
    <mergeCell ref="U37:U38"/>
    <mergeCell ref="V37:V38"/>
    <mergeCell ref="W37:W38"/>
    <mergeCell ref="X37:X38"/>
    <mergeCell ref="Y37:Y38"/>
    <mergeCell ref="Z37:Z38"/>
    <mergeCell ref="AA37:AA38"/>
    <mergeCell ref="AB37:AB38"/>
    <mergeCell ref="AC37:AC38"/>
    <mergeCell ref="AD37:AD38"/>
    <mergeCell ref="AE37:AE38"/>
    <mergeCell ref="AF37:AF38"/>
    <mergeCell ref="AG37:AG38"/>
    <mergeCell ref="AH37:AH38"/>
    <mergeCell ref="AI37:AI38"/>
    <mergeCell ref="AJ37:AJ38"/>
    <mergeCell ref="AK37:AK38"/>
    <mergeCell ref="AL37:AL38"/>
    <mergeCell ref="AM37:AM38"/>
    <mergeCell ref="AN37:AN38"/>
    <mergeCell ref="AO37:AO38"/>
    <mergeCell ref="AP37:AP38"/>
    <mergeCell ref="AQ37:AQ38"/>
    <mergeCell ref="AR37:AR38"/>
    <mergeCell ref="AS37:AS38"/>
    <mergeCell ref="AT37:AT38"/>
    <mergeCell ref="AU37:AU38"/>
    <mergeCell ref="AV37:AV38"/>
    <mergeCell ref="AW37:AW38"/>
    <mergeCell ref="AX37:AX38"/>
    <mergeCell ref="AY37:AY38"/>
    <mergeCell ref="AZ37:AZ38"/>
    <mergeCell ref="BA37:BA38"/>
    <mergeCell ref="BB37:BB38"/>
    <mergeCell ref="BC37:BC38"/>
    <mergeCell ref="BD37:BD38"/>
    <mergeCell ref="BE37:BE38"/>
    <mergeCell ref="BF37:BF38"/>
    <mergeCell ref="BG37:BG38"/>
    <mergeCell ref="A39:A40"/>
    <mergeCell ref="B39:B40"/>
    <mergeCell ref="C39:C40"/>
    <mergeCell ref="D39:D40"/>
    <mergeCell ref="E39:E40"/>
    <mergeCell ref="F39:F40"/>
    <mergeCell ref="G39:G40"/>
    <mergeCell ref="H39:H40"/>
    <mergeCell ref="I39:I40"/>
    <mergeCell ref="J39:J40"/>
    <mergeCell ref="N39:N40"/>
    <mergeCell ref="Q39:Q40"/>
    <mergeCell ref="R39:R40"/>
    <mergeCell ref="S39:S40"/>
    <mergeCell ref="T39:T40"/>
    <mergeCell ref="U39:U40"/>
    <mergeCell ref="V39:V40"/>
    <mergeCell ref="W39:W40"/>
    <mergeCell ref="X39:X40"/>
    <mergeCell ref="Y39:Y40"/>
    <mergeCell ref="Z39:Z40"/>
    <mergeCell ref="AA39:AA40"/>
    <mergeCell ref="AB39:AB40"/>
    <mergeCell ref="AC39:AC40"/>
    <mergeCell ref="AD39:AD40"/>
    <mergeCell ref="AE39:AE40"/>
    <mergeCell ref="AF39:AF40"/>
    <mergeCell ref="AG39:AG40"/>
    <mergeCell ref="AH39:AH40"/>
    <mergeCell ref="AI39:AI40"/>
    <mergeCell ref="AJ39:AJ40"/>
    <mergeCell ref="AK39:AK40"/>
    <mergeCell ref="AL39:AL40"/>
    <mergeCell ref="AM39:AM40"/>
    <mergeCell ref="AN39:AN40"/>
    <mergeCell ref="AO39:AO40"/>
    <mergeCell ref="AP39:AP40"/>
    <mergeCell ref="AQ39:AQ40"/>
    <mergeCell ref="AR39:AR40"/>
    <mergeCell ref="AS39:AS40"/>
    <mergeCell ref="AT39:AT40"/>
    <mergeCell ref="AU39:AU40"/>
    <mergeCell ref="AV39:AV40"/>
    <mergeCell ref="AW39:AW40"/>
    <mergeCell ref="AX39:AX40"/>
    <mergeCell ref="BG39:BG40"/>
    <mergeCell ref="A41:A42"/>
    <mergeCell ref="B41:B42"/>
    <mergeCell ref="C41:C42"/>
    <mergeCell ref="D41:D42"/>
    <mergeCell ref="E41:E42"/>
    <mergeCell ref="F41:F42"/>
    <mergeCell ref="G41:G42"/>
    <mergeCell ref="AY39:AY40"/>
    <mergeCell ref="AZ39:AZ40"/>
    <mergeCell ref="Y41:Y42"/>
    <mergeCell ref="Z41:Z42"/>
    <mergeCell ref="AA41:AA42"/>
    <mergeCell ref="AB41:AB42"/>
    <mergeCell ref="BE39:BE40"/>
    <mergeCell ref="BF39:BF40"/>
    <mergeCell ref="BA39:BA40"/>
    <mergeCell ref="BB39:BB40"/>
    <mergeCell ref="BC39:BC40"/>
    <mergeCell ref="BD39:BD40"/>
    <mergeCell ref="AE41:AE42"/>
    <mergeCell ref="AF41:AF42"/>
    <mergeCell ref="AG41:AG42"/>
    <mergeCell ref="AH41:AH42"/>
    <mergeCell ref="AI41:AI42"/>
    <mergeCell ref="AJ41:AJ42"/>
    <mergeCell ref="AK41:AK42"/>
    <mergeCell ref="AL41:AL42"/>
    <mergeCell ref="AM41:AM42"/>
    <mergeCell ref="AN41:AN42"/>
    <mergeCell ref="AV41:AV42"/>
    <mergeCell ref="BD44:BD45"/>
    <mergeCell ref="BE41:BE42"/>
    <mergeCell ref="BF41:BF42"/>
    <mergeCell ref="BG41:BG42"/>
    <mergeCell ref="A43:I43"/>
    <mergeCell ref="AW41:AW42"/>
    <mergeCell ref="AX41:AX42"/>
    <mergeCell ref="AY41:AY42"/>
    <mergeCell ref="AZ41:AZ42"/>
    <mergeCell ref="BA41:BA42"/>
    <mergeCell ref="H41:H42"/>
    <mergeCell ref="I41:I42"/>
    <mergeCell ref="J41:J42"/>
    <mergeCell ref="N41:N42"/>
    <mergeCell ref="Q41:Q42"/>
    <mergeCell ref="R41:R42"/>
    <mergeCell ref="BC41:BC42"/>
    <mergeCell ref="BD41:BD42"/>
    <mergeCell ref="AC41:AC42"/>
    <mergeCell ref="AD41:AD42"/>
    <mergeCell ref="S41:S42"/>
    <mergeCell ref="T41:T42"/>
    <mergeCell ref="U41:U42"/>
    <mergeCell ref="AU44:AU45"/>
    <mergeCell ref="R44:R45"/>
    <mergeCell ref="S44:S45"/>
    <mergeCell ref="T44:T45"/>
    <mergeCell ref="BE44:BE45"/>
    <mergeCell ref="BF44:BF45"/>
    <mergeCell ref="V41:V42"/>
    <mergeCell ref="W41:W42"/>
    <mergeCell ref="X41:X42"/>
    <mergeCell ref="A44:A45"/>
    <mergeCell ref="B44:B45"/>
    <mergeCell ref="C44:C45"/>
    <mergeCell ref="D44:D45"/>
    <mergeCell ref="E44:E45"/>
    <mergeCell ref="F44:F45"/>
    <mergeCell ref="U44:U45"/>
    <mergeCell ref="V44:V45"/>
    <mergeCell ref="W44:W45"/>
    <mergeCell ref="G44:G45"/>
    <mergeCell ref="H44:H45"/>
    <mergeCell ref="I44:I45"/>
    <mergeCell ref="J44:J45"/>
    <mergeCell ref="N44:N45"/>
    <mergeCell ref="Q44:Q45"/>
    <mergeCell ref="AO41:AO42"/>
    <mergeCell ref="AN44:AN45"/>
    <mergeCell ref="AO44:AO45"/>
    <mergeCell ref="AP41:AP42"/>
    <mergeCell ref="BB41:BB42"/>
    <mergeCell ref="AQ41:AQ42"/>
    <mergeCell ref="AR41:AR42"/>
    <mergeCell ref="AS41:AS42"/>
    <mergeCell ref="AT41:AT42"/>
    <mergeCell ref="AU41:AU42"/>
    <mergeCell ref="BG44:BG45"/>
    <mergeCell ref="AV44:AV45"/>
    <mergeCell ref="AW44:AW45"/>
    <mergeCell ref="AX44:AX45"/>
    <mergeCell ref="AY44:AY45"/>
    <mergeCell ref="X44:X45"/>
    <mergeCell ref="Y44:Y45"/>
    <mergeCell ref="Z44:Z45"/>
    <mergeCell ref="AA44:AA45"/>
    <mergeCell ref="AB44:AB45"/>
    <mergeCell ref="AC44:AC45"/>
    <mergeCell ref="BB44:BB45"/>
    <mergeCell ref="BC44:BC45"/>
    <mergeCell ref="AD44:AD45"/>
    <mergeCell ref="AE44:AE45"/>
    <mergeCell ref="AF44:AF45"/>
    <mergeCell ref="AG44:AG45"/>
    <mergeCell ref="AH44:AH45"/>
    <mergeCell ref="AI44:AI45"/>
    <mergeCell ref="AZ44:AZ45"/>
    <mergeCell ref="BA44:BA45"/>
    <mergeCell ref="AJ44:AJ45"/>
    <mergeCell ref="AK44:AK45"/>
    <mergeCell ref="AL44:AL45"/>
    <mergeCell ref="AM44:AM45"/>
    <mergeCell ref="AP44:AP45"/>
    <mergeCell ref="AQ44:AQ45"/>
    <mergeCell ref="AR44:AR45"/>
    <mergeCell ref="AS44:AS45"/>
    <mergeCell ref="AT44:AT45"/>
    <mergeCell ref="A46:A47"/>
    <mergeCell ref="B46:B47"/>
    <mergeCell ref="C46:C47"/>
    <mergeCell ref="D46:D47"/>
    <mergeCell ref="E46:E47"/>
    <mergeCell ref="F46:F47"/>
    <mergeCell ref="U46:U47"/>
    <mergeCell ref="V46:V47"/>
    <mergeCell ref="W46:W47"/>
    <mergeCell ref="G46:G47"/>
    <mergeCell ref="H46:H47"/>
    <mergeCell ref="I46:I47"/>
    <mergeCell ref="J46:J47"/>
    <mergeCell ref="N46:N47"/>
    <mergeCell ref="Q46:Q47"/>
    <mergeCell ref="AJ46:AJ47"/>
    <mergeCell ref="AK46:AK47"/>
    <mergeCell ref="AD46:AD47"/>
    <mergeCell ref="AE46:AE47"/>
    <mergeCell ref="AF46:AF47"/>
    <mergeCell ref="AG46:AG47"/>
    <mergeCell ref="AH46:AH47"/>
    <mergeCell ref="AL46:AL47"/>
    <mergeCell ref="AM46:AM47"/>
    <mergeCell ref="AN46:AN47"/>
    <mergeCell ref="AO46:AO47"/>
    <mergeCell ref="AP46:AP47"/>
    <mergeCell ref="AQ46:AQ47"/>
    <mergeCell ref="AR46:AR47"/>
    <mergeCell ref="AS46:AS47"/>
    <mergeCell ref="AT46:AT47"/>
    <mergeCell ref="AU46:AU47"/>
    <mergeCell ref="R46:R47"/>
    <mergeCell ref="S46:S47"/>
    <mergeCell ref="T46:T47"/>
    <mergeCell ref="BG46:BG47"/>
    <mergeCell ref="AV46:AV47"/>
    <mergeCell ref="AW46:AW47"/>
    <mergeCell ref="AX46:AX47"/>
    <mergeCell ref="AY46:AY47"/>
    <mergeCell ref="AZ46:AZ47"/>
    <mergeCell ref="BA46:BA47"/>
    <mergeCell ref="AI46:AI47"/>
    <mergeCell ref="X46:X47"/>
    <mergeCell ref="Y46:Y47"/>
    <mergeCell ref="Z46:Z47"/>
    <mergeCell ref="AA46:AA47"/>
    <mergeCell ref="AB46:AB47"/>
    <mergeCell ref="AC46:AC47"/>
    <mergeCell ref="BB46:BB47"/>
    <mergeCell ref="BC46:BC47"/>
    <mergeCell ref="BD46:BD47"/>
    <mergeCell ref="BE46:BE47"/>
    <mergeCell ref="BF46:BF47"/>
    <mergeCell ref="A48:A49"/>
    <mergeCell ref="B48:B49"/>
    <mergeCell ref="C48:C49"/>
    <mergeCell ref="D48:D49"/>
    <mergeCell ref="E48:E49"/>
    <mergeCell ref="F48:F49"/>
    <mergeCell ref="G48:G49"/>
    <mergeCell ref="H48:H49"/>
    <mergeCell ref="I48:I49"/>
    <mergeCell ref="J48:J49"/>
    <mergeCell ref="N48:N49"/>
    <mergeCell ref="Q48:Q49"/>
    <mergeCell ref="R48:R49"/>
    <mergeCell ref="S48:S49"/>
    <mergeCell ref="T48:T49"/>
    <mergeCell ref="U48:U49"/>
    <mergeCell ref="V48:V49"/>
    <mergeCell ref="W48:W49"/>
    <mergeCell ref="X48:X49"/>
    <mergeCell ref="Y48:Y49"/>
    <mergeCell ref="Z48:Z49"/>
    <mergeCell ref="AA48:AA49"/>
    <mergeCell ref="AB48:AB49"/>
    <mergeCell ref="AC48:AC49"/>
    <mergeCell ref="AD48:AD49"/>
    <mergeCell ref="AE48:AE49"/>
    <mergeCell ref="AF48:AF49"/>
    <mergeCell ref="AG48:AG49"/>
    <mergeCell ref="AH48:AH49"/>
    <mergeCell ref="AI48:AI49"/>
    <mergeCell ref="AJ48:AJ49"/>
    <mergeCell ref="AK48:AK49"/>
    <mergeCell ref="AL48:AL49"/>
    <mergeCell ref="AM48:AM49"/>
    <mergeCell ref="AN48:AN49"/>
    <mergeCell ref="AO48:AO49"/>
    <mergeCell ref="AP48:AP49"/>
    <mergeCell ref="AQ48:AQ49"/>
    <mergeCell ref="AR48:AR49"/>
    <mergeCell ref="AS48:AS49"/>
    <mergeCell ref="AT48:AT49"/>
    <mergeCell ref="AU48:AU49"/>
    <mergeCell ref="AV48:AV49"/>
    <mergeCell ref="AW48:AW49"/>
    <mergeCell ref="AX48:AX49"/>
    <mergeCell ref="AY48:AY49"/>
    <mergeCell ref="AZ48:AZ49"/>
    <mergeCell ref="BA48:BA49"/>
    <mergeCell ref="BB48:BB49"/>
    <mergeCell ref="BC48:BC49"/>
    <mergeCell ref="BD48:BD49"/>
    <mergeCell ref="BE48:BE49"/>
    <mergeCell ref="BF48:BF49"/>
    <mergeCell ref="BG48:BG49"/>
    <mergeCell ref="A50:I50"/>
    <mergeCell ref="A51:A52"/>
    <mergeCell ref="B51:B52"/>
    <mergeCell ref="C51:C52"/>
    <mergeCell ref="D51:D52"/>
    <mergeCell ref="E51:E52"/>
    <mergeCell ref="F51:F52"/>
    <mergeCell ref="G51:G52"/>
    <mergeCell ref="H51:H52"/>
    <mergeCell ref="I51:I52"/>
    <mergeCell ref="J51:J52"/>
    <mergeCell ref="N51:N52"/>
    <mergeCell ref="Q51:Q52"/>
    <mergeCell ref="R51:R52"/>
    <mergeCell ref="S51:S52"/>
    <mergeCell ref="T51:T52"/>
    <mergeCell ref="U51:U52"/>
    <mergeCell ref="V51:V52"/>
    <mergeCell ref="W51:W52"/>
    <mergeCell ref="X51:X52"/>
    <mergeCell ref="Y51:Y52"/>
    <mergeCell ref="Z51:Z52"/>
    <mergeCell ref="AL51:AL52"/>
    <mergeCell ref="AA51:AA52"/>
    <mergeCell ref="AB51:AB52"/>
    <mergeCell ref="AC51:AC52"/>
    <mergeCell ref="AD51:AD52"/>
    <mergeCell ref="AE51:AE52"/>
    <mergeCell ref="AF51:AF52"/>
    <mergeCell ref="AN51:AN52"/>
    <mergeCell ref="AO51:AO52"/>
    <mergeCell ref="AP51:AP52"/>
    <mergeCell ref="AQ51:AQ52"/>
    <mergeCell ref="AR51:AR52"/>
    <mergeCell ref="AG51:AG52"/>
    <mergeCell ref="AH51:AH52"/>
    <mergeCell ref="AI51:AI52"/>
    <mergeCell ref="AJ51:AJ52"/>
    <mergeCell ref="AK51:AK52"/>
    <mergeCell ref="G53:G54"/>
    <mergeCell ref="AY51:AY52"/>
    <mergeCell ref="AZ51:AZ52"/>
    <mergeCell ref="BA51:BA52"/>
    <mergeCell ref="BB51:BB52"/>
    <mergeCell ref="BC51:BC52"/>
    <mergeCell ref="AS51:AS52"/>
    <mergeCell ref="AT51:AT52"/>
    <mergeCell ref="AU51:AU52"/>
    <mergeCell ref="AV51:AV52"/>
    <mergeCell ref="AV53:AV54"/>
    <mergeCell ref="BC53:BC54"/>
    <mergeCell ref="A53:A54"/>
    <mergeCell ref="B53:B54"/>
    <mergeCell ref="C53:C54"/>
    <mergeCell ref="D53:D54"/>
    <mergeCell ref="E53:E54"/>
    <mergeCell ref="F53:F54"/>
    <mergeCell ref="Y53:Y54"/>
    <mergeCell ref="Z53:Z54"/>
    <mergeCell ref="AA53:AA54"/>
    <mergeCell ref="BE51:BE52"/>
    <mergeCell ref="BF51:BF52"/>
    <mergeCell ref="BG51:BG52"/>
    <mergeCell ref="BD51:BD52"/>
    <mergeCell ref="AW51:AW52"/>
    <mergeCell ref="AX51:AX52"/>
    <mergeCell ref="AM51:AM52"/>
    <mergeCell ref="AO53:AO54"/>
    <mergeCell ref="AP53:AP54"/>
    <mergeCell ref="AE53:AE54"/>
    <mergeCell ref="AF53:AF54"/>
    <mergeCell ref="AG53:AG54"/>
    <mergeCell ref="AH53:AH54"/>
    <mergeCell ref="AI53:AI54"/>
    <mergeCell ref="AJ53:AJ54"/>
    <mergeCell ref="AZ53:AZ54"/>
    <mergeCell ref="BA53:BA54"/>
    <mergeCell ref="BB53:BB54"/>
    <mergeCell ref="AQ53:AQ54"/>
    <mergeCell ref="AR53:AR54"/>
    <mergeCell ref="AS53:AS54"/>
    <mergeCell ref="AT53:AT54"/>
    <mergeCell ref="AU53:AU54"/>
    <mergeCell ref="A55:A56"/>
    <mergeCell ref="B55:B56"/>
    <mergeCell ref="C55:C56"/>
    <mergeCell ref="D55:D56"/>
    <mergeCell ref="E55:E56"/>
    <mergeCell ref="AW53:AW54"/>
    <mergeCell ref="AK53:AK54"/>
    <mergeCell ref="AL53:AL54"/>
    <mergeCell ref="AM53:AM54"/>
    <mergeCell ref="AN53:AN54"/>
    <mergeCell ref="H53:H54"/>
    <mergeCell ref="I53:I54"/>
    <mergeCell ref="J53:J54"/>
    <mergeCell ref="N53:N54"/>
    <mergeCell ref="Q53:Q54"/>
    <mergeCell ref="R53:R54"/>
    <mergeCell ref="S53:S54"/>
    <mergeCell ref="T53:T54"/>
    <mergeCell ref="U53:U54"/>
    <mergeCell ref="V53:V54"/>
    <mergeCell ref="W53:W54"/>
    <mergeCell ref="X53:X54"/>
    <mergeCell ref="AH55:AH56"/>
    <mergeCell ref="AI55:AI56"/>
    <mergeCell ref="AJ55:AJ56"/>
    <mergeCell ref="AK55:AK56"/>
    <mergeCell ref="AL55:AL56"/>
    <mergeCell ref="AM55:AM56"/>
    <mergeCell ref="AN55:AN56"/>
    <mergeCell ref="AO55:AO56"/>
    <mergeCell ref="AP55:AP56"/>
    <mergeCell ref="AQ55:AQ56"/>
    <mergeCell ref="BD53:BD54"/>
    <mergeCell ref="BE53:BE54"/>
    <mergeCell ref="BF53:BF54"/>
    <mergeCell ref="BG53:BG54"/>
    <mergeCell ref="AB53:AB54"/>
    <mergeCell ref="AC53:AC54"/>
    <mergeCell ref="AD53:AD54"/>
    <mergeCell ref="AX53:AX54"/>
    <mergeCell ref="AY53:AY54"/>
    <mergeCell ref="F55:F56"/>
    <mergeCell ref="G55:G56"/>
    <mergeCell ref="H55:H56"/>
    <mergeCell ref="I55:I56"/>
    <mergeCell ref="J55:J56"/>
    <mergeCell ref="N55:N56"/>
    <mergeCell ref="Q55:Q56"/>
    <mergeCell ref="R55:R56"/>
    <mergeCell ref="S55:S56"/>
    <mergeCell ref="T55:T56"/>
    <mergeCell ref="U55:U56"/>
    <mergeCell ref="V55:V56"/>
    <mergeCell ref="W55:W56"/>
    <mergeCell ref="X55:X56"/>
    <mergeCell ref="Y55:Y56"/>
    <mergeCell ref="Z55:Z56"/>
    <mergeCell ref="AA55:AA56"/>
    <mergeCell ref="AB55:AB56"/>
    <mergeCell ref="AC55:AC56"/>
    <mergeCell ref="AD55:AD56"/>
    <mergeCell ref="AE55:AE56"/>
    <mergeCell ref="AF55:AF56"/>
    <mergeCell ref="AG55:AG56"/>
    <mergeCell ref="AR55:AR56"/>
    <mergeCell ref="AS55:AS56"/>
    <mergeCell ref="AT55:AT56"/>
    <mergeCell ref="AU55:AU56"/>
    <mergeCell ref="AV55:AV56"/>
    <mergeCell ref="AW55:AW56"/>
    <mergeCell ref="AX55:AX56"/>
    <mergeCell ref="AY55:AY56"/>
    <mergeCell ref="AZ55:AZ56"/>
    <mergeCell ref="BA55:BA56"/>
    <mergeCell ref="BB55:BB56"/>
    <mergeCell ref="BC55:BC56"/>
    <mergeCell ref="BD55:BD56"/>
    <mergeCell ref="BE55:BE56"/>
    <mergeCell ref="BF55:BF56"/>
    <mergeCell ref="BG55:BG56"/>
    <mergeCell ref="A57:A58"/>
    <mergeCell ref="B57:B58"/>
    <mergeCell ref="C57:C58"/>
    <mergeCell ref="D57:D58"/>
    <mergeCell ref="E57:E58"/>
    <mergeCell ref="F57:F58"/>
    <mergeCell ref="G57:G58"/>
    <mergeCell ref="H57:H58"/>
    <mergeCell ref="I57:I58"/>
    <mergeCell ref="J57:J58"/>
    <mergeCell ref="N57:N58"/>
    <mergeCell ref="Q57:Q58"/>
    <mergeCell ref="R57:R58"/>
    <mergeCell ref="S57:S58"/>
    <mergeCell ref="T57:T58"/>
    <mergeCell ref="U57:U58"/>
    <mergeCell ref="BB57:BB58"/>
    <mergeCell ref="BC57:BC58"/>
    <mergeCell ref="V57:V58"/>
    <mergeCell ref="W57:W58"/>
    <mergeCell ref="X57:X58"/>
    <mergeCell ref="Y57:Y58"/>
    <mergeCell ref="Z57:Z58"/>
    <mergeCell ref="AA57:AA58"/>
    <mergeCell ref="AB57:AB58"/>
    <mergeCell ref="AC57:AC58"/>
    <mergeCell ref="AD57:AD58"/>
    <mergeCell ref="AE57:AE58"/>
    <mergeCell ref="AF57:AF58"/>
    <mergeCell ref="AG57:AG58"/>
    <mergeCell ref="AH57:AH58"/>
    <mergeCell ref="AI57:AI58"/>
    <mergeCell ref="AJ57:AJ58"/>
    <mergeCell ref="AK57:AK58"/>
    <mergeCell ref="AL57:AL58"/>
    <mergeCell ref="AD59:AD60"/>
    <mergeCell ref="AE59:AE60"/>
    <mergeCell ref="AM57:AM58"/>
    <mergeCell ref="AN57:AN58"/>
    <mergeCell ref="AO57:AO58"/>
    <mergeCell ref="AP57:AP58"/>
    <mergeCell ref="AQ57:AQ58"/>
    <mergeCell ref="AR57:AR58"/>
    <mergeCell ref="AS57:AS58"/>
    <mergeCell ref="AT57:AT58"/>
    <mergeCell ref="AU57:AU58"/>
    <mergeCell ref="AV57:AV58"/>
    <mergeCell ref="AW57:AW58"/>
    <mergeCell ref="AX57:AX58"/>
    <mergeCell ref="AY57:AY58"/>
    <mergeCell ref="AZ57:AZ58"/>
    <mergeCell ref="BA57:BA58"/>
    <mergeCell ref="AH59:AH60"/>
    <mergeCell ref="AI59:AI60"/>
    <mergeCell ref="AJ59:AJ60"/>
    <mergeCell ref="AK59:AK60"/>
    <mergeCell ref="AL59:AL60"/>
    <mergeCell ref="AM59:AM60"/>
    <mergeCell ref="AN59:AN60"/>
    <mergeCell ref="AO59:AO60"/>
    <mergeCell ref="AP59:AP60"/>
    <mergeCell ref="AQ59:AQ60"/>
    <mergeCell ref="AR59:AR60"/>
    <mergeCell ref="AS59:AS60"/>
    <mergeCell ref="AT59:AT60"/>
    <mergeCell ref="AU59:AU60"/>
    <mergeCell ref="AV59:AV60"/>
    <mergeCell ref="AS61:AS62"/>
    <mergeCell ref="AV61:AV62"/>
    <mergeCell ref="AW59:AW60"/>
    <mergeCell ref="AX59:AX60"/>
    <mergeCell ref="BD57:BD58"/>
    <mergeCell ref="BE57:BE58"/>
    <mergeCell ref="BF57:BF58"/>
    <mergeCell ref="BG57:BG58"/>
    <mergeCell ref="A59:A60"/>
    <mergeCell ref="B59:B60"/>
    <mergeCell ref="C59:C60"/>
    <mergeCell ref="D59:D60"/>
    <mergeCell ref="E59:E60"/>
    <mergeCell ref="F59:F60"/>
    <mergeCell ref="G59:G60"/>
    <mergeCell ref="H59:H60"/>
    <mergeCell ref="I59:I60"/>
    <mergeCell ref="J59:J60"/>
    <mergeCell ref="N59:N60"/>
    <mergeCell ref="Q59:Q60"/>
    <mergeCell ref="R59:R60"/>
    <mergeCell ref="S59:S60"/>
    <mergeCell ref="T59:T60"/>
    <mergeCell ref="U59:U60"/>
    <mergeCell ref="V59:V60"/>
    <mergeCell ref="W59:W60"/>
    <mergeCell ref="X59:X60"/>
    <mergeCell ref="Y59:Y60"/>
    <mergeCell ref="Z59:Z60"/>
    <mergeCell ref="AA59:AA60"/>
    <mergeCell ref="AB59:AB60"/>
    <mergeCell ref="AC59:AC60"/>
    <mergeCell ref="AF59:AF60"/>
    <mergeCell ref="AG59:AG60"/>
    <mergeCell ref="AY59:AY60"/>
    <mergeCell ref="AZ59:AZ60"/>
    <mergeCell ref="BA59:BA60"/>
    <mergeCell ref="BB59:BB60"/>
    <mergeCell ref="BC59:BC60"/>
    <mergeCell ref="BD59:BD60"/>
    <mergeCell ref="BE59:BE60"/>
    <mergeCell ref="BF59:BF60"/>
    <mergeCell ref="BG59:BG60"/>
    <mergeCell ref="A61:A62"/>
    <mergeCell ref="B61:B62"/>
    <mergeCell ref="C61:C62"/>
    <mergeCell ref="D61:D62"/>
    <mergeCell ref="E61:E62"/>
    <mergeCell ref="F61:F62"/>
    <mergeCell ref="G61:G62"/>
    <mergeCell ref="H61:H62"/>
    <mergeCell ref="I61:I62"/>
    <mergeCell ref="J61:J62"/>
    <mergeCell ref="N61:N62"/>
    <mergeCell ref="Q61:Q62"/>
    <mergeCell ref="R61:R62"/>
    <mergeCell ref="S61:S62"/>
    <mergeCell ref="T61:T62"/>
    <mergeCell ref="U61:U62"/>
    <mergeCell ref="V61:V62"/>
    <mergeCell ref="W61:W62"/>
    <mergeCell ref="X61:X62"/>
    <mergeCell ref="Y61:Y62"/>
    <mergeCell ref="Z61:Z62"/>
    <mergeCell ref="AT61:AT62"/>
    <mergeCell ref="AU61:AU62"/>
    <mergeCell ref="AW61:AW62"/>
    <mergeCell ref="AX61:AX62"/>
    <mergeCell ref="AY61:AY62"/>
    <mergeCell ref="AZ61:AZ62"/>
    <mergeCell ref="BA61:BA62"/>
    <mergeCell ref="BB61:BB62"/>
    <mergeCell ref="BC61:BC62"/>
    <mergeCell ref="BD61:BD62"/>
    <mergeCell ref="BE61:BE62"/>
    <mergeCell ref="BF61:BF62"/>
    <mergeCell ref="BG61:BG62"/>
    <mergeCell ref="A63:I63"/>
    <mergeCell ref="A64:I64"/>
    <mergeCell ref="A65:O65"/>
    <mergeCell ref="AC61:AC62"/>
    <mergeCell ref="AD61:AD62"/>
    <mergeCell ref="AE61:AE62"/>
    <mergeCell ref="AF61:AF62"/>
    <mergeCell ref="AG61:AG62"/>
    <mergeCell ref="AH61:AH62"/>
    <mergeCell ref="AI61:AI62"/>
    <mergeCell ref="AJ61:AJ62"/>
    <mergeCell ref="AK61:AK62"/>
    <mergeCell ref="AL61:AL62"/>
    <mergeCell ref="AM61:AM62"/>
    <mergeCell ref="AN61:AN62"/>
    <mergeCell ref="AO61:AO62"/>
    <mergeCell ref="AP61:AP62"/>
    <mergeCell ref="AQ61:AQ62"/>
    <mergeCell ref="AA61:AA62"/>
    <mergeCell ref="AB61:AB62"/>
    <mergeCell ref="AR61:AR62"/>
    <mergeCell ref="A66:O66"/>
    <mergeCell ref="S67:S68"/>
    <mergeCell ref="T67:T68"/>
    <mergeCell ref="U67:U68"/>
    <mergeCell ref="V67:V68"/>
    <mergeCell ref="W67:W68"/>
    <mergeCell ref="X67:X68"/>
    <mergeCell ref="Y67:Y68"/>
    <mergeCell ref="Z67:Z68"/>
    <mergeCell ref="AA67:AA68"/>
    <mergeCell ref="AB67:AB68"/>
    <mergeCell ref="AC67:AC68"/>
    <mergeCell ref="AD67:AD68"/>
    <mergeCell ref="AE67:AE68"/>
    <mergeCell ref="AF67:AF68"/>
    <mergeCell ref="AG67:AG68"/>
    <mergeCell ref="AH67:AH68"/>
    <mergeCell ref="AI67:AI68"/>
    <mergeCell ref="AJ67:AJ68"/>
    <mergeCell ref="AK67:AK68"/>
    <mergeCell ref="AL67:AL68"/>
    <mergeCell ref="AM67:AM68"/>
    <mergeCell ref="AN67:AN68"/>
    <mergeCell ref="AO67:AO68"/>
    <mergeCell ref="AP67:AP68"/>
    <mergeCell ref="AQ67:AQ68"/>
    <mergeCell ref="AR67:AR68"/>
    <mergeCell ref="AS67:AS68"/>
    <mergeCell ref="AT67:AT68"/>
    <mergeCell ref="AU67:AU68"/>
    <mergeCell ref="AV67:AV68"/>
    <mergeCell ref="AW67:AW68"/>
    <mergeCell ref="AX67:AX68"/>
    <mergeCell ref="AY67:AY68"/>
    <mergeCell ref="AZ67:AZ68"/>
    <mergeCell ref="BA67:BA68"/>
    <mergeCell ref="BB67:BB68"/>
    <mergeCell ref="BC67:BC68"/>
    <mergeCell ref="BD67:BD68"/>
    <mergeCell ref="BE67:BE68"/>
    <mergeCell ref="BF67:BF68"/>
    <mergeCell ref="BG67:BG68"/>
    <mergeCell ref="A69:A70"/>
    <mergeCell ref="B69:B70"/>
    <mergeCell ref="C69:C70"/>
    <mergeCell ref="D69:D70"/>
    <mergeCell ref="E69:E70"/>
    <mergeCell ref="F69:F70"/>
    <mergeCell ref="G69:G70"/>
    <mergeCell ref="H69:H70"/>
    <mergeCell ref="I69:I70"/>
    <mergeCell ref="J69:J70"/>
    <mergeCell ref="N69:N70"/>
    <mergeCell ref="Q69:Q70"/>
    <mergeCell ref="R69:R70"/>
    <mergeCell ref="S69:S70"/>
    <mergeCell ref="T69:T70"/>
    <mergeCell ref="U69:U70"/>
    <mergeCell ref="V69:V70"/>
    <mergeCell ref="W69:W70"/>
    <mergeCell ref="X69:X70"/>
    <mergeCell ref="Y69:Y70"/>
    <mergeCell ref="Z69:Z70"/>
    <mergeCell ref="AA69:AA70"/>
    <mergeCell ref="AB69:AB70"/>
    <mergeCell ref="AC69:AC70"/>
    <mergeCell ref="AD69:AD70"/>
    <mergeCell ref="AE69:AE70"/>
    <mergeCell ref="AF69:AF70"/>
    <mergeCell ref="AG69:AG70"/>
    <mergeCell ref="AH69:AH70"/>
    <mergeCell ref="AI69:AI70"/>
    <mergeCell ref="AJ69:AJ70"/>
    <mergeCell ref="AK69:AK70"/>
    <mergeCell ref="AL69:AL70"/>
    <mergeCell ref="AM69:AM70"/>
    <mergeCell ref="AN69:AN70"/>
    <mergeCell ref="AO69:AO70"/>
    <mergeCell ref="AP69:AP70"/>
    <mergeCell ref="AQ69:AQ70"/>
    <mergeCell ref="AR69:AR70"/>
    <mergeCell ref="AS69:AS70"/>
    <mergeCell ref="AT69:AT70"/>
    <mergeCell ref="AU69:AU70"/>
    <mergeCell ref="AV69:AV70"/>
    <mergeCell ref="AW69:AW70"/>
    <mergeCell ref="AX69:AX70"/>
    <mergeCell ref="AY69:AY70"/>
    <mergeCell ref="AZ69:AZ70"/>
    <mergeCell ref="BA69:BA70"/>
    <mergeCell ref="BB69:BB70"/>
    <mergeCell ref="BC69:BC70"/>
    <mergeCell ref="BD69:BD70"/>
    <mergeCell ref="BE69:BE70"/>
    <mergeCell ref="BF69:BF70"/>
    <mergeCell ref="BG69:BG70"/>
    <mergeCell ref="A71:A72"/>
    <mergeCell ref="B71:B72"/>
    <mergeCell ref="C71:C72"/>
    <mergeCell ref="D71:D72"/>
    <mergeCell ref="E71:E72"/>
    <mergeCell ref="F71:F72"/>
    <mergeCell ref="G71:G72"/>
    <mergeCell ref="H71:H72"/>
    <mergeCell ref="I71:I72"/>
    <mergeCell ref="J71:J72"/>
    <mergeCell ref="N71:N72"/>
    <mergeCell ref="Q71:Q72"/>
    <mergeCell ref="R71:R72"/>
    <mergeCell ref="S71:S72"/>
    <mergeCell ref="T71:T72"/>
    <mergeCell ref="U71:U72"/>
    <mergeCell ref="V71:V72"/>
    <mergeCell ref="W71:W72"/>
    <mergeCell ref="X71:X72"/>
    <mergeCell ref="Y71:Y72"/>
    <mergeCell ref="Z71:Z72"/>
    <mergeCell ref="AA71:AA72"/>
    <mergeCell ref="AB71:AB72"/>
    <mergeCell ref="AC71:AC72"/>
    <mergeCell ref="AD71:AD72"/>
    <mergeCell ref="AE71:AE72"/>
    <mergeCell ref="AF71:AF72"/>
    <mergeCell ref="AG71:AG72"/>
    <mergeCell ref="AH71:AH72"/>
    <mergeCell ref="AI71:AI72"/>
    <mergeCell ref="AJ71:AJ72"/>
    <mergeCell ref="AK71:AK72"/>
    <mergeCell ref="AL71:AL72"/>
    <mergeCell ref="AM71:AM72"/>
    <mergeCell ref="AN71:AN72"/>
    <mergeCell ref="AO71:AO72"/>
    <mergeCell ref="AP71:AP72"/>
    <mergeCell ref="AQ71:AQ72"/>
    <mergeCell ref="AR71:AR72"/>
    <mergeCell ref="AS71:AS72"/>
    <mergeCell ref="AT71:AT72"/>
    <mergeCell ref="AU71:AU72"/>
    <mergeCell ref="AV71:AV72"/>
    <mergeCell ref="AW71:AW72"/>
    <mergeCell ref="AX71:AX72"/>
    <mergeCell ref="AY71:AY72"/>
    <mergeCell ref="AZ71:AZ72"/>
    <mergeCell ref="BA71:BA72"/>
    <mergeCell ref="BB71:BB72"/>
    <mergeCell ref="BC71:BC72"/>
    <mergeCell ref="BD71:BD72"/>
    <mergeCell ref="BE71:BE72"/>
    <mergeCell ref="BF71:BF72"/>
    <mergeCell ref="BG71:BG72"/>
    <mergeCell ref="A73:A74"/>
    <mergeCell ref="B73:B74"/>
    <mergeCell ref="C73:C74"/>
    <mergeCell ref="D73:D74"/>
    <mergeCell ref="E73:E74"/>
    <mergeCell ref="F73:F74"/>
    <mergeCell ref="G73:G74"/>
    <mergeCell ref="H73:H74"/>
    <mergeCell ref="I73:I74"/>
    <mergeCell ref="J73:J74"/>
    <mergeCell ref="N73:N74"/>
    <mergeCell ref="Q73:Q74"/>
    <mergeCell ref="AA73:AA74"/>
    <mergeCell ref="AB73:AB74"/>
    <mergeCell ref="AC73:AC74"/>
    <mergeCell ref="R73:R74"/>
    <mergeCell ref="S73:S74"/>
    <mergeCell ref="T73:T74"/>
    <mergeCell ref="U73:U74"/>
    <mergeCell ref="V73:V74"/>
    <mergeCell ref="W73:W74"/>
    <mergeCell ref="BF73:BF74"/>
    <mergeCell ref="BG73:BG74"/>
    <mergeCell ref="AV73:AV74"/>
    <mergeCell ref="AW73:AW74"/>
    <mergeCell ref="AX73:AX74"/>
    <mergeCell ref="AY73:AY74"/>
    <mergeCell ref="AZ73:AZ74"/>
    <mergeCell ref="BA73:BA74"/>
    <mergeCell ref="X73:X74"/>
    <mergeCell ref="Y73:Y74"/>
    <mergeCell ref="Z73:Z74"/>
    <mergeCell ref="BC73:BC74"/>
    <mergeCell ref="BD73:BD74"/>
    <mergeCell ref="BE73:BE74"/>
    <mergeCell ref="AP73:AP74"/>
    <mergeCell ref="AQ73:AQ74"/>
    <mergeCell ref="AR73:AR74"/>
    <mergeCell ref="AS73:AS74"/>
    <mergeCell ref="AD73:AD74"/>
    <mergeCell ref="AE73:AE74"/>
    <mergeCell ref="AF73:AF74"/>
    <mergeCell ref="AG73:AG74"/>
    <mergeCell ref="AH73:AH74"/>
    <mergeCell ref="AI73:AI74"/>
    <mergeCell ref="BB73:BB74"/>
    <mergeCell ref="AJ73:AJ74"/>
    <mergeCell ref="AK73:AK74"/>
    <mergeCell ref="AL73:AL74"/>
    <mergeCell ref="AM73:AM74"/>
    <mergeCell ref="AN73:AN74"/>
    <mergeCell ref="AO73:AO74"/>
    <mergeCell ref="AT73:AT74"/>
    <mergeCell ref="AU73:AU74"/>
    <mergeCell ref="A75:I75"/>
    <mergeCell ref="A76:A77"/>
    <mergeCell ref="B76:B77"/>
    <mergeCell ref="C76:C77"/>
    <mergeCell ref="D76:D77"/>
    <mergeCell ref="E76:E77"/>
    <mergeCell ref="F76:F77"/>
    <mergeCell ref="G76:G77"/>
    <mergeCell ref="H76:H77"/>
    <mergeCell ref="I76:I77"/>
    <mergeCell ref="J76:J77"/>
    <mergeCell ref="N76:N77"/>
    <mergeCell ref="Q76:Q77"/>
    <mergeCell ref="R76:R77"/>
    <mergeCell ref="S76:S77"/>
    <mergeCell ref="T76:T77"/>
    <mergeCell ref="U76:U77"/>
    <mergeCell ref="V76:V77"/>
    <mergeCell ref="W76:W77"/>
    <mergeCell ref="X76:X77"/>
    <mergeCell ref="Y76:Y77"/>
    <mergeCell ref="Z76:Z77"/>
    <mergeCell ref="AA76:AA77"/>
    <mergeCell ref="AB76:AB77"/>
    <mergeCell ref="AC76:AC77"/>
    <mergeCell ref="AD76:AD77"/>
    <mergeCell ref="AE76:AE77"/>
    <mergeCell ref="AF76:AF77"/>
    <mergeCell ref="AG76:AG77"/>
    <mergeCell ref="AH76:AH77"/>
    <mergeCell ref="AI76:AI77"/>
    <mergeCell ref="AJ76:AJ77"/>
    <mergeCell ref="AK76:AK77"/>
    <mergeCell ref="AL76:AL77"/>
    <mergeCell ref="AM76:AM77"/>
    <mergeCell ref="AN76:AN77"/>
    <mergeCell ref="AO76:AO77"/>
    <mergeCell ref="AP76:AP77"/>
    <mergeCell ref="AQ76:AQ77"/>
    <mergeCell ref="AR76:AR77"/>
    <mergeCell ref="AS76:AS77"/>
    <mergeCell ref="AT76:AT77"/>
    <mergeCell ref="AU76:AU77"/>
    <mergeCell ref="AV76:AV77"/>
    <mergeCell ref="AW76:AW77"/>
    <mergeCell ref="AX76:AX77"/>
    <mergeCell ref="AY76:AY77"/>
    <mergeCell ref="AZ76:AZ77"/>
    <mergeCell ref="BA76:BA77"/>
    <mergeCell ref="BB76:BB77"/>
    <mergeCell ref="BC76:BC77"/>
    <mergeCell ref="BD76:BD77"/>
    <mergeCell ref="BE76:BE77"/>
    <mergeCell ref="BF76:BF77"/>
    <mergeCell ref="BG76:BG77"/>
    <mergeCell ref="A78:A79"/>
    <mergeCell ref="B78:B79"/>
    <mergeCell ref="C78:C79"/>
    <mergeCell ref="D78:D79"/>
    <mergeCell ref="E78:E79"/>
    <mergeCell ref="F78:F79"/>
    <mergeCell ref="G78:G79"/>
    <mergeCell ref="H78:H79"/>
    <mergeCell ref="I78:I79"/>
    <mergeCell ref="J78:J79"/>
    <mergeCell ref="N78:N79"/>
    <mergeCell ref="Q78:Q79"/>
    <mergeCell ref="R78:R79"/>
    <mergeCell ref="S78:S79"/>
    <mergeCell ref="T78:T79"/>
    <mergeCell ref="U78:U79"/>
    <mergeCell ref="V78:V79"/>
    <mergeCell ref="W78:W79"/>
    <mergeCell ref="X78:X79"/>
    <mergeCell ref="Y78:Y79"/>
    <mergeCell ref="Z78:Z79"/>
    <mergeCell ref="AA78:AA79"/>
    <mergeCell ref="AB78:AB79"/>
    <mergeCell ref="AC78:AC79"/>
    <mergeCell ref="AD78:AD79"/>
    <mergeCell ref="AE78:AE79"/>
    <mergeCell ref="AF78:AF79"/>
    <mergeCell ref="AG78:AG79"/>
    <mergeCell ref="AH78:AH79"/>
    <mergeCell ref="AI78:AI79"/>
    <mergeCell ref="AJ78:AJ79"/>
    <mergeCell ref="AK78:AK79"/>
    <mergeCell ref="AL78:AL79"/>
    <mergeCell ref="AM78:AM79"/>
    <mergeCell ref="AN78:AN79"/>
    <mergeCell ref="AO78:AO79"/>
    <mergeCell ref="AP78:AP79"/>
    <mergeCell ref="AQ78:AQ79"/>
    <mergeCell ref="AR78:AR79"/>
    <mergeCell ref="AS78:AS79"/>
    <mergeCell ref="AT78:AT79"/>
    <mergeCell ref="AU78:AU79"/>
    <mergeCell ref="AV78:AV79"/>
    <mergeCell ref="AW78:AW79"/>
    <mergeCell ref="AX78:AX79"/>
    <mergeCell ref="AY78:AY79"/>
    <mergeCell ref="AZ78:AZ79"/>
    <mergeCell ref="BA78:BA79"/>
    <mergeCell ref="BB78:BB79"/>
    <mergeCell ref="BC78:BC79"/>
    <mergeCell ref="BD78:BD79"/>
    <mergeCell ref="BE78:BE79"/>
    <mergeCell ref="BF78:BF79"/>
    <mergeCell ref="BG78:BG79"/>
    <mergeCell ref="A80:A81"/>
    <mergeCell ref="B80:B81"/>
    <mergeCell ref="C80:C81"/>
    <mergeCell ref="D80:D81"/>
    <mergeCell ref="E80:E81"/>
    <mergeCell ref="F80:F81"/>
    <mergeCell ref="G80:G81"/>
    <mergeCell ref="H80:H81"/>
    <mergeCell ref="I80:I81"/>
    <mergeCell ref="J80:J81"/>
    <mergeCell ref="N80:N81"/>
    <mergeCell ref="Q80:Q81"/>
    <mergeCell ref="R80:R81"/>
    <mergeCell ref="S80:S81"/>
    <mergeCell ref="T80:T81"/>
    <mergeCell ref="U80:U81"/>
    <mergeCell ref="V80:V81"/>
    <mergeCell ref="W80:W81"/>
    <mergeCell ref="X80:X81"/>
    <mergeCell ref="Y80:Y81"/>
    <mergeCell ref="Z80:Z81"/>
    <mergeCell ref="AA80:AA81"/>
    <mergeCell ref="AB80:AB81"/>
    <mergeCell ref="BD80:BD81"/>
    <mergeCell ref="BE80:BE81"/>
    <mergeCell ref="BF80:BF81"/>
    <mergeCell ref="BG80:BG81"/>
    <mergeCell ref="A82:A83"/>
    <mergeCell ref="B82:B83"/>
    <mergeCell ref="C82:C83"/>
    <mergeCell ref="D82:D83"/>
    <mergeCell ref="E82:E83"/>
    <mergeCell ref="F82:F83"/>
    <mergeCell ref="G82:G83"/>
    <mergeCell ref="H82:H83"/>
    <mergeCell ref="I82:I83"/>
    <mergeCell ref="J82:J83"/>
    <mergeCell ref="N82:N83"/>
    <mergeCell ref="Q82:Q83"/>
    <mergeCell ref="R82:R83"/>
    <mergeCell ref="S82:S83"/>
    <mergeCell ref="T82:T83"/>
    <mergeCell ref="U82:U83"/>
    <mergeCell ref="V82:V83"/>
    <mergeCell ref="W82:W83"/>
    <mergeCell ref="AC80:AC81"/>
    <mergeCell ref="AD80:AD81"/>
    <mergeCell ref="AE80:AE81"/>
    <mergeCell ref="AF80:AF81"/>
    <mergeCell ref="AG80:AG81"/>
    <mergeCell ref="AH80:AH81"/>
    <mergeCell ref="AI80:AI81"/>
    <mergeCell ref="AJ80:AJ81"/>
    <mergeCell ref="AK80:AK81"/>
    <mergeCell ref="AL80:AL81"/>
    <mergeCell ref="AH82:AH83"/>
    <mergeCell ref="AI82:AI83"/>
    <mergeCell ref="AJ82:AJ83"/>
    <mergeCell ref="AK82:AK83"/>
    <mergeCell ref="AL82:AL83"/>
    <mergeCell ref="AM82:AM83"/>
    <mergeCell ref="AN82:AN83"/>
    <mergeCell ref="AT80:AT81"/>
    <mergeCell ref="AU80:AU81"/>
    <mergeCell ref="AV80:AV81"/>
    <mergeCell ref="AW80:AW81"/>
    <mergeCell ref="AX80:AX81"/>
    <mergeCell ref="AY80:AY81"/>
    <mergeCell ref="AZ80:AZ81"/>
    <mergeCell ref="BA80:BA81"/>
    <mergeCell ref="BB80:BB81"/>
    <mergeCell ref="BC80:BC81"/>
    <mergeCell ref="AM80:AM81"/>
    <mergeCell ref="AN80:AN81"/>
    <mergeCell ref="AO80:AO81"/>
    <mergeCell ref="AP80:AP81"/>
    <mergeCell ref="AQ80:AQ81"/>
    <mergeCell ref="AR80:AR81"/>
    <mergeCell ref="AS80:AS81"/>
    <mergeCell ref="BG82:BG83"/>
    <mergeCell ref="A84:A85"/>
    <mergeCell ref="B84:B85"/>
    <mergeCell ref="C84:C85"/>
    <mergeCell ref="D84:D85"/>
    <mergeCell ref="E84:E85"/>
    <mergeCell ref="F84:F85"/>
    <mergeCell ref="G84:G85"/>
    <mergeCell ref="AY82:AY83"/>
    <mergeCell ref="AZ82:AZ83"/>
    <mergeCell ref="Y84:Y85"/>
    <mergeCell ref="Z84:Z85"/>
    <mergeCell ref="AA84:AA85"/>
    <mergeCell ref="AB84:AB85"/>
    <mergeCell ref="BE82:BE83"/>
    <mergeCell ref="BF82:BF83"/>
    <mergeCell ref="BA82:BA83"/>
    <mergeCell ref="BB82:BB83"/>
    <mergeCell ref="BC82:BC83"/>
    <mergeCell ref="BD82:BD83"/>
    <mergeCell ref="AE84:AE85"/>
    <mergeCell ref="AF84:AF85"/>
    <mergeCell ref="X82:X83"/>
    <mergeCell ref="Y82:Y83"/>
    <mergeCell ref="Z82:Z83"/>
    <mergeCell ref="AA82:AA83"/>
    <mergeCell ref="AB82:AB83"/>
    <mergeCell ref="AC82:AC83"/>
    <mergeCell ref="AD82:AD83"/>
    <mergeCell ref="AE82:AE83"/>
    <mergeCell ref="AF82:AF83"/>
    <mergeCell ref="AG82:AG83"/>
    <mergeCell ref="AP87:AP88"/>
    <mergeCell ref="AQ87:AQ88"/>
    <mergeCell ref="AO82:AO83"/>
    <mergeCell ref="AP82:AP83"/>
    <mergeCell ref="AQ82:AQ83"/>
    <mergeCell ref="AR82:AR83"/>
    <mergeCell ref="AS82:AS83"/>
    <mergeCell ref="AT82:AT83"/>
    <mergeCell ref="AU82:AU83"/>
    <mergeCell ref="AV82:AV83"/>
    <mergeCell ref="AW82:AW83"/>
    <mergeCell ref="AX82:AX83"/>
    <mergeCell ref="AS84:AS85"/>
    <mergeCell ref="AT84:AT85"/>
    <mergeCell ref="AU84:AU85"/>
    <mergeCell ref="AV84:AV85"/>
    <mergeCell ref="AL84:AL85"/>
    <mergeCell ref="AM84:AM85"/>
    <mergeCell ref="G87:G88"/>
    <mergeCell ref="H87:H88"/>
    <mergeCell ref="I87:I88"/>
    <mergeCell ref="J87:J88"/>
    <mergeCell ref="N87:N88"/>
    <mergeCell ref="Q87:Q88"/>
    <mergeCell ref="AJ87:AJ88"/>
    <mergeCell ref="AK87:AK88"/>
    <mergeCell ref="U84:U85"/>
    <mergeCell ref="V84:V85"/>
    <mergeCell ref="W84:W85"/>
    <mergeCell ref="X84:X85"/>
    <mergeCell ref="AG84:AG85"/>
    <mergeCell ref="AH84:AH85"/>
    <mergeCell ref="AI84:AI85"/>
    <mergeCell ref="AJ84:AJ85"/>
    <mergeCell ref="AK84:AK85"/>
    <mergeCell ref="BE84:BE85"/>
    <mergeCell ref="AR87:AR88"/>
    <mergeCell ref="AS87:AS88"/>
    <mergeCell ref="AT87:AT88"/>
    <mergeCell ref="AU87:AU88"/>
    <mergeCell ref="R87:R88"/>
    <mergeCell ref="S87:S88"/>
    <mergeCell ref="T87:T88"/>
    <mergeCell ref="BE87:BE88"/>
    <mergeCell ref="AB87:AB88"/>
    <mergeCell ref="AC87:AC88"/>
    <mergeCell ref="BB87:BB88"/>
    <mergeCell ref="BC87:BC88"/>
    <mergeCell ref="AD87:AD88"/>
    <mergeCell ref="AE87:AE88"/>
    <mergeCell ref="AF87:AF88"/>
    <mergeCell ref="AG87:AG88"/>
    <mergeCell ref="AH87:AH88"/>
    <mergeCell ref="AI87:AI88"/>
    <mergeCell ref="AN84:AN85"/>
    <mergeCell ref="AO84:AO85"/>
    <mergeCell ref="AP84:AP85"/>
    <mergeCell ref="BB84:BB85"/>
    <mergeCell ref="AQ84:AQ85"/>
    <mergeCell ref="AR84:AR85"/>
    <mergeCell ref="BD87:BD88"/>
    <mergeCell ref="W87:W88"/>
    <mergeCell ref="BA87:BA88"/>
    <mergeCell ref="AL87:AL88"/>
    <mergeCell ref="AM87:AM88"/>
    <mergeCell ref="AN87:AN88"/>
    <mergeCell ref="AO87:AO88"/>
    <mergeCell ref="BF87:BF88"/>
    <mergeCell ref="U87:U88"/>
    <mergeCell ref="V87:V88"/>
    <mergeCell ref="BF84:BF85"/>
    <mergeCell ref="BG84:BG85"/>
    <mergeCell ref="A86:I86"/>
    <mergeCell ref="AW84:AW85"/>
    <mergeCell ref="AX84:AX85"/>
    <mergeCell ref="AY84:AY85"/>
    <mergeCell ref="AZ84:AZ85"/>
    <mergeCell ref="BA84:BA85"/>
    <mergeCell ref="H84:H85"/>
    <mergeCell ref="I84:I85"/>
    <mergeCell ref="J84:J85"/>
    <mergeCell ref="N84:N85"/>
    <mergeCell ref="Q84:Q85"/>
    <mergeCell ref="R84:R85"/>
    <mergeCell ref="BC84:BC85"/>
    <mergeCell ref="BD84:BD85"/>
    <mergeCell ref="AC84:AC85"/>
    <mergeCell ref="AD84:AD85"/>
    <mergeCell ref="S84:S85"/>
    <mergeCell ref="T84:T85"/>
    <mergeCell ref="BG87:BG88"/>
    <mergeCell ref="AV87:AV88"/>
    <mergeCell ref="AW87:AW88"/>
    <mergeCell ref="AX87:AX88"/>
    <mergeCell ref="AY87:AY88"/>
    <mergeCell ref="X87:X88"/>
    <mergeCell ref="Y87:Y88"/>
    <mergeCell ref="Z87:Z88"/>
    <mergeCell ref="AA87:AA88"/>
    <mergeCell ref="A89:A90"/>
    <mergeCell ref="B89:B90"/>
    <mergeCell ref="C89:C90"/>
    <mergeCell ref="D89:D90"/>
    <mergeCell ref="E89:E90"/>
    <mergeCell ref="F89:F90"/>
    <mergeCell ref="U89:U90"/>
    <mergeCell ref="V89:V90"/>
    <mergeCell ref="W89:W90"/>
    <mergeCell ref="G89:G90"/>
    <mergeCell ref="H89:H90"/>
    <mergeCell ref="I89:I90"/>
    <mergeCell ref="J89:J90"/>
    <mergeCell ref="N89:N90"/>
    <mergeCell ref="Q89:Q90"/>
    <mergeCell ref="AJ89:AJ90"/>
    <mergeCell ref="AK89:AK90"/>
    <mergeCell ref="AG89:AG90"/>
    <mergeCell ref="AH89:AH90"/>
    <mergeCell ref="AI89:AI90"/>
    <mergeCell ref="AB89:AB90"/>
    <mergeCell ref="AC89:AC90"/>
    <mergeCell ref="AL89:AL90"/>
    <mergeCell ref="AM89:AM90"/>
    <mergeCell ref="AN89:AN90"/>
    <mergeCell ref="AO89:AO90"/>
    <mergeCell ref="A87:A88"/>
    <mergeCell ref="B87:B88"/>
    <mergeCell ref="C87:C88"/>
    <mergeCell ref="D87:D88"/>
    <mergeCell ref="E87:E88"/>
    <mergeCell ref="F87:F88"/>
    <mergeCell ref="AZ87:AZ88"/>
    <mergeCell ref="BG89:BG90"/>
    <mergeCell ref="AV89:AV90"/>
    <mergeCell ref="AW89:AW90"/>
    <mergeCell ref="AX89:AX90"/>
    <mergeCell ref="AY89:AY90"/>
    <mergeCell ref="AZ89:AZ90"/>
    <mergeCell ref="BA89:BA90"/>
    <mergeCell ref="R89:R90"/>
    <mergeCell ref="S89:S90"/>
    <mergeCell ref="T89:T90"/>
    <mergeCell ref="BD89:BD90"/>
    <mergeCell ref="BE89:BE90"/>
    <mergeCell ref="BF89:BF90"/>
    <mergeCell ref="AP89:AP90"/>
    <mergeCell ref="AQ89:AQ90"/>
    <mergeCell ref="AR89:AR90"/>
    <mergeCell ref="AS89:AS90"/>
    <mergeCell ref="X89:X90"/>
    <mergeCell ref="Y89:Y90"/>
    <mergeCell ref="Z89:Z90"/>
    <mergeCell ref="AA89:AA90"/>
    <mergeCell ref="BB89:BB90"/>
    <mergeCell ref="BC89:BC90"/>
    <mergeCell ref="AD89:AD90"/>
    <mergeCell ref="AE89:AE90"/>
    <mergeCell ref="AF89:AF90"/>
    <mergeCell ref="AT89:AT90"/>
    <mergeCell ref="AU89:AU90"/>
    <mergeCell ref="A91:A92"/>
    <mergeCell ref="B91:B92"/>
    <mergeCell ref="C91:C92"/>
    <mergeCell ref="D91:D92"/>
    <mergeCell ref="E91:E92"/>
    <mergeCell ref="F91:F92"/>
    <mergeCell ref="U91:U92"/>
    <mergeCell ref="V91:V92"/>
    <mergeCell ref="W91:W92"/>
    <mergeCell ref="G91:G92"/>
    <mergeCell ref="H91:H92"/>
    <mergeCell ref="I91:I92"/>
    <mergeCell ref="J91:J92"/>
    <mergeCell ref="N91:N92"/>
    <mergeCell ref="Q91:Q92"/>
    <mergeCell ref="AJ91:AJ92"/>
    <mergeCell ref="AK91:AK92"/>
    <mergeCell ref="AD91:AD92"/>
    <mergeCell ref="AE91:AE92"/>
    <mergeCell ref="AF91:AF92"/>
    <mergeCell ref="AG91:AG92"/>
    <mergeCell ref="AH91:AH92"/>
    <mergeCell ref="AL91:AL92"/>
    <mergeCell ref="AM91:AM92"/>
    <mergeCell ref="AN91:AN92"/>
    <mergeCell ref="AO91:AO92"/>
    <mergeCell ref="AP91:AP92"/>
    <mergeCell ref="AQ91:AQ92"/>
    <mergeCell ref="AR91:AR92"/>
    <mergeCell ref="AS91:AS92"/>
    <mergeCell ref="AT91:AT92"/>
    <mergeCell ref="AU91:AU92"/>
    <mergeCell ref="R91:R92"/>
    <mergeCell ref="S91:S92"/>
    <mergeCell ref="T91:T92"/>
    <mergeCell ref="BG91:BG92"/>
    <mergeCell ref="AV91:AV92"/>
    <mergeCell ref="AW91:AW92"/>
    <mergeCell ref="AX91:AX92"/>
    <mergeCell ref="AY91:AY92"/>
    <mergeCell ref="AZ91:AZ92"/>
    <mergeCell ref="BA91:BA92"/>
    <mergeCell ref="AI91:AI92"/>
    <mergeCell ref="X91:X92"/>
    <mergeCell ref="Y91:Y92"/>
    <mergeCell ref="Z91:Z92"/>
    <mergeCell ref="AA91:AA92"/>
    <mergeCell ref="AB91:AB92"/>
    <mergeCell ref="AC91:AC92"/>
    <mergeCell ref="BB91:BB92"/>
    <mergeCell ref="BC91:BC92"/>
    <mergeCell ref="BD91:BD92"/>
    <mergeCell ref="BE91:BE92"/>
    <mergeCell ref="BF91:BF92"/>
    <mergeCell ref="A93:A94"/>
    <mergeCell ref="B93:B94"/>
    <mergeCell ref="C93:C94"/>
    <mergeCell ref="D93:D94"/>
    <mergeCell ref="E93:E94"/>
    <mergeCell ref="F93:F94"/>
    <mergeCell ref="G93:G94"/>
    <mergeCell ref="H93:H94"/>
    <mergeCell ref="I93:I94"/>
    <mergeCell ref="J93:J94"/>
    <mergeCell ref="N93:N94"/>
    <mergeCell ref="Q93:Q94"/>
    <mergeCell ref="R93:R94"/>
    <mergeCell ref="S93:S94"/>
    <mergeCell ref="T93:T94"/>
    <mergeCell ref="U93:U94"/>
    <mergeCell ref="V93:V94"/>
    <mergeCell ref="W93:W94"/>
    <mergeCell ref="X93:X94"/>
    <mergeCell ref="Y93:Y94"/>
    <mergeCell ref="Z93:Z94"/>
    <mergeCell ref="AA93:AA94"/>
    <mergeCell ref="AB93:AB94"/>
    <mergeCell ref="AC93:AC94"/>
    <mergeCell ref="AD93:AD94"/>
    <mergeCell ref="AE93:AE94"/>
    <mergeCell ref="AF93:AF94"/>
    <mergeCell ref="AG93:AG94"/>
    <mergeCell ref="AH93:AH94"/>
    <mergeCell ref="AI93:AI94"/>
    <mergeCell ref="AJ93:AJ94"/>
    <mergeCell ref="AK93:AK94"/>
    <mergeCell ref="AL93:AL94"/>
    <mergeCell ref="AM93:AM94"/>
    <mergeCell ref="AN93:AN94"/>
    <mergeCell ref="AO93:AO94"/>
    <mergeCell ref="AP93:AP94"/>
    <mergeCell ref="AQ93:AQ94"/>
    <mergeCell ref="AR93:AR94"/>
    <mergeCell ref="AS93:AS94"/>
    <mergeCell ref="AT93:AT94"/>
    <mergeCell ref="AU93:AU94"/>
    <mergeCell ref="AV93:AV94"/>
    <mergeCell ref="AW93:AW94"/>
    <mergeCell ref="AX93:AX94"/>
    <mergeCell ref="AY93:AY94"/>
    <mergeCell ref="AZ93:AZ94"/>
    <mergeCell ref="BA93:BA94"/>
    <mergeCell ref="BB93:BB94"/>
    <mergeCell ref="BC93:BC94"/>
    <mergeCell ref="BD93:BD94"/>
    <mergeCell ref="BE93:BE94"/>
    <mergeCell ref="BF93:BF94"/>
    <mergeCell ref="BG93:BG94"/>
    <mergeCell ref="A95:I95"/>
    <mergeCell ref="A96:A97"/>
    <mergeCell ref="B96:B97"/>
    <mergeCell ref="C96:C97"/>
    <mergeCell ref="D96:D97"/>
    <mergeCell ref="E96:E97"/>
    <mergeCell ref="F96:F97"/>
    <mergeCell ref="G96:G97"/>
    <mergeCell ref="H96:H97"/>
    <mergeCell ref="I96:I97"/>
    <mergeCell ref="J96:J97"/>
    <mergeCell ref="N96:N97"/>
    <mergeCell ref="Q96:Q97"/>
    <mergeCell ref="R96:R97"/>
    <mergeCell ref="S96:S97"/>
    <mergeCell ref="T96:T97"/>
    <mergeCell ref="U96:U97"/>
    <mergeCell ref="V96:V97"/>
    <mergeCell ref="W96:W97"/>
    <mergeCell ref="X96:X97"/>
    <mergeCell ref="Y96:Y97"/>
    <mergeCell ref="Z96:Z97"/>
    <mergeCell ref="AA96:AA97"/>
    <mergeCell ref="AB96:AB97"/>
    <mergeCell ref="AC96:AC97"/>
    <mergeCell ref="AD96:AD97"/>
    <mergeCell ref="AE96:AE97"/>
    <mergeCell ref="AF96:AF97"/>
    <mergeCell ref="AG96:AG97"/>
    <mergeCell ref="AH96:AH97"/>
    <mergeCell ref="AI96:AI97"/>
    <mergeCell ref="AJ96:AJ97"/>
    <mergeCell ref="AK96:AK97"/>
    <mergeCell ref="AL96:AL97"/>
    <mergeCell ref="AM96:AM97"/>
    <mergeCell ref="AN96:AN97"/>
    <mergeCell ref="AO96:AO97"/>
    <mergeCell ref="AP96:AP97"/>
    <mergeCell ref="AQ96:AQ97"/>
    <mergeCell ref="AR96:AR97"/>
    <mergeCell ref="AS96:AS97"/>
    <mergeCell ref="AT96:AT97"/>
    <mergeCell ref="AU96:AU97"/>
    <mergeCell ref="AV96:AV97"/>
    <mergeCell ref="AW96:AW97"/>
    <mergeCell ref="AX96:AX97"/>
    <mergeCell ref="AY96:AY97"/>
    <mergeCell ref="AZ96:AZ97"/>
    <mergeCell ref="BA96:BA97"/>
    <mergeCell ref="BB96:BB97"/>
    <mergeCell ref="BC96:BC97"/>
    <mergeCell ref="BD96:BD97"/>
    <mergeCell ref="BE96:BE97"/>
    <mergeCell ref="BF96:BF97"/>
    <mergeCell ref="BG96:BG97"/>
    <mergeCell ref="A98:A99"/>
    <mergeCell ref="B98:B99"/>
    <mergeCell ref="C98:C99"/>
    <mergeCell ref="D98:D99"/>
    <mergeCell ref="E98:E99"/>
    <mergeCell ref="F98:F99"/>
    <mergeCell ref="G98:G99"/>
    <mergeCell ref="H98:H99"/>
    <mergeCell ref="I98:I99"/>
    <mergeCell ref="J98:J99"/>
    <mergeCell ref="N98:N99"/>
    <mergeCell ref="Q98:Q99"/>
    <mergeCell ref="R98:R99"/>
    <mergeCell ref="S98:S99"/>
    <mergeCell ref="T98:T99"/>
    <mergeCell ref="U98:U99"/>
    <mergeCell ref="V98:V99"/>
    <mergeCell ref="W98:W99"/>
    <mergeCell ref="X98:X99"/>
    <mergeCell ref="Y98:Y99"/>
    <mergeCell ref="Z98:Z99"/>
    <mergeCell ref="AA98:AA99"/>
    <mergeCell ref="AB98:AB99"/>
    <mergeCell ref="AC98:AC99"/>
    <mergeCell ref="AD98:AD99"/>
    <mergeCell ref="AE98:AE99"/>
    <mergeCell ref="AF98:AF99"/>
    <mergeCell ref="AG98:AG99"/>
    <mergeCell ref="AH98:AH99"/>
    <mergeCell ref="AI98:AI99"/>
    <mergeCell ref="AJ98:AJ99"/>
    <mergeCell ref="AK98:AK99"/>
    <mergeCell ref="AL98:AL99"/>
    <mergeCell ref="AM98:AM99"/>
    <mergeCell ref="AN98:AN99"/>
    <mergeCell ref="AO98:AO99"/>
    <mergeCell ref="AP98:AP99"/>
    <mergeCell ref="AQ98:AQ99"/>
    <mergeCell ref="AR98:AR99"/>
    <mergeCell ref="AS98:AS99"/>
    <mergeCell ref="AT98:AT99"/>
    <mergeCell ref="AU98:AU99"/>
    <mergeCell ref="AV98:AV99"/>
    <mergeCell ref="AW98:AW99"/>
    <mergeCell ref="AX98:AX99"/>
    <mergeCell ref="AY98:AY99"/>
    <mergeCell ref="AZ98:AZ99"/>
    <mergeCell ref="BA98:BA99"/>
    <mergeCell ref="BB98:BB99"/>
    <mergeCell ref="BC98:BC99"/>
    <mergeCell ref="BD98:BD99"/>
    <mergeCell ref="BE98:BE99"/>
    <mergeCell ref="BF98:BF99"/>
    <mergeCell ref="BG98:BG99"/>
    <mergeCell ref="A100:A101"/>
    <mergeCell ref="B100:B101"/>
    <mergeCell ref="C100:C101"/>
    <mergeCell ref="D100:D101"/>
    <mergeCell ref="E100:E101"/>
    <mergeCell ref="F100:F101"/>
    <mergeCell ref="G100:G101"/>
    <mergeCell ref="H100:H101"/>
    <mergeCell ref="I100:I101"/>
    <mergeCell ref="J100:J101"/>
    <mergeCell ref="N100:N101"/>
    <mergeCell ref="Q100:Q101"/>
    <mergeCell ref="R100:R101"/>
    <mergeCell ref="S100:S101"/>
    <mergeCell ref="T100:T101"/>
    <mergeCell ref="U100:U101"/>
    <mergeCell ref="V100:V101"/>
    <mergeCell ref="W100:W101"/>
    <mergeCell ref="X100:X101"/>
    <mergeCell ref="Y100:Y101"/>
    <mergeCell ref="Z100:Z101"/>
    <mergeCell ref="AA100:AA101"/>
    <mergeCell ref="AB100:AB101"/>
    <mergeCell ref="AC100:AC101"/>
    <mergeCell ref="AD100:AD101"/>
    <mergeCell ref="AE100:AE101"/>
    <mergeCell ref="AF100:AF101"/>
    <mergeCell ref="AG100:AG101"/>
    <mergeCell ref="AH100:AH101"/>
    <mergeCell ref="AI100:AI101"/>
    <mergeCell ref="AJ100:AJ101"/>
    <mergeCell ref="AK100:AK101"/>
    <mergeCell ref="AL100:AL101"/>
    <mergeCell ref="AM100:AM101"/>
    <mergeCell ref="AN100:AN101"/>
    <mergeCell ref="AO100:AO101"/>
    <mergeCell ref="AP100:AP101"/>
    <mergeCell ref="AQ100:AQ101"/>
    <mergeCell ref="AR100:AR101"/>
    <mergeCell ref="AS100:AS101"/>
    <mergeCell ref="AT100:AT101"/>
    <mergeCell ref="AU100:AU101"/>
    <mergeCell ref="AV100:AV101"/>
    <mergeCell ref="AW100:AW101"/>
    <mergeCell ref="AX100:AX101"/>
    <mergeCell ref="AY100:AY101"/>
    <mergeCell ref="AZ100:AZ101"/>
    <mergeCell ref="BA100:BA101"/>
    <mergeCell ref="BB100:BB101"/>
    <mergeCell ref="BC100:BC101"/>
    <mergeCell ref="BD100:BD101"/>
    <mergeCell ref="BE100:BE101"/>
    <mergeCell ref="BF100:BF101"/>
    <mergeCell ref="BG100:BG101"/>
    <mergeCell ref="A102:A103"/>
    <mergeCell ref="B102:B103"/>
    <mergeCell ref="C102:C103"/>
    <mergeCell ref="D102:D103"/>
    <mergeCell ref="E102:E103"/>
    <mergeCell ref="F102:F103"/>
    <mergeCell ref="G102:G103"/>
    <mergeCell ref="H102:H103"/>
    <mergeCell ref="I102:I103"/>
    <mergeCell ref="J102:J103"/>
    <mergeCell ref="N102:N103"/>
    <mergeCell ref="Q102:Q103"/>
    <mergeCell ref="R102:R103"/>
    <mergeCell ref="S102:S103"/>
    <mergeCell ref="T102:T103"/>
    <mergeCell ref="U102:U103"/>
    <mergeCell ref="V102:V103"/>
    <mergeCell ref="W102:W103"/>
    <mergeCell ref="X102:X103"/>
    <mergeCell ref="Y102:Y103"/>
    <mergeCell ref="Z102:Z103"/>
    <mergeCell ref="AA102:AA103"/>
    <mergeCell ref="AB102:AB103"/>
    <mergeCell ref="AC102:AC103"/>
    <mergeCell ref="AD102:AD103"/>
    <mergeCell ref="AE102:AE103"/>
    <mergeCell ref="AF102:AF103"/>
    <mergeCell ref="AG102:AG103"/>
    <mergeCell ref="AH102:AH103"/>
    <mergeCell ref="AI102:AI103"/>
    <mergeCell ref="AJ102:AJ103"/>
    <mergeCell ref="AK102:AK103"/>
    <mergeCell ref="AL102:AL103"/>
    <mergeCell ref="AM102:AM103"/>
    <mergeCell ref="AN102:AN103"/>
    <mergeCell ref="AO102:AO103"/>
    <mergeCell ref="AP102:AP103"/>
    <mergeCell ref="AQ102:AQ103"/>
    <mergeCell ref="AR102:AR103"/>
    <mergeCell ref="AS102:AS103"/>
    <mergeCell ref="AT102:AT103"/>
    <mergeCell ref="AU102:AU103"/>
    <mergeCell ref="AV102:AV103"/>
    <mergeCell ref="AW102:AW103"/>
    <mergeCell ref="AX102:AX103"/>
    <mergeCell ref="AY102:AY103"/>
    <mergeCell ref="AZ102:AZ103"/>
    <mergeCell ref="BA102:BA103"/>
    <mergeCell ref="BB102:BB103"/>
    <mergeCell ref="BC102:BC103"/>
    <mergeCell ref="BD102:BD103"/>
    <mergeCell ref="BE102:BE103"/>
    <mergeCell ref="BF102:BF103"/>
    <mergeCell ref="BG102:BG103"/>
    <mergeCell ref="A104:I104"/>
    <mergeCell ref="A105:I105"/>
    <mergeCell ref="A13:A14"/>
    <mergeCell ref="B13:B14"/>
    <mergeCell ref="C13:C14"/>
    <mergeCell ref="D13:D14"/>
    <mergeCell ref="E13:E14"/>
    <mergeCell ref="F13:F14"/>
    <mergeCell ref="G13:G14"/>
    <mergeCell ref="H13:H14"/>
    <mergeCell ref="I13:I14"/>
    <mergeCell ref="J13:J14"/>
    <mergeCell ref="N13:N14"/>
    <mergeCell ref="Q13:Q14"/>
    <mergeCell ref="R13:R14"/>
    <mergeCell ref="S13:S14"/>
    <mergeCell ref="T13:T14"/>
    <mergeCell ref="U13:U14"/>
    <mergeCell ref="V13:V14"/>
    <mergeCell ref="W13:W14"/>
    <mergeCell ref="X13:X14"/>
    <mergeCell ref="Y13:Y14"/>
    <mergeCell ref="Z13:Z14"/>
    <mergeCell ref="AA13:AA14"/>
    <mergeCell ref="AB13:AB14"/>
    <mergeCell ref="AT13:AT14"/>
    <mergeCell ref="AU13:AU14"/>
    <mergeCell ref="AV13:AV14"/>
    <mergeCell ref="AW13:AW14"/>
    <mergeCell ref="AX13:AX14"/>
    <mergeCell ref="AY13:AY14"/>
    <mergeCell ref="AZ13:AZ14"/>
    <mergeCell ref="BG13:BG14"/>
    <mergeCell ref="BA13:BA14"/>
    <mergeCell ref="BB13:BB14"/>
    <mergeCell ref="BC13:BC14"/>
    <mergeCell ref="BD13:BD14"/>
    <mergeCell ref="BE13:BE14"/>
    <mergeCell ref="BF13:BF14"/>
    <mergeCell ref="AC13:AC14"/>
    <mergeCell ref="AD13:AD14"/>
    <mergeCell ref="AE13:AE14"/>
    <mergeCell ref="AF13:AF14"/>
    <mergeCell ref="AG13:AG14"/>
    <mergeCell ref="AH13:AH14"/>
    <mergeCell ref="AI13:AI14"/>
    <mergeCell ref="AJ13:AJ14"/>
    <mergeCell ref="AK13:AK14"/>
    <mergeCell ref="AL13:AL14"/>
    <mergeCell ref="AM13:AM14"/>
    <mergeCell ref="AN13:AN14"/>
    <mergeCell ref="AO13:AO14"/>
    <mergeCell ref="AP13:AP14"/>
    <mergeCell ref="AQ13:AQ14"/>
    <mergeCell ref="AR13:AR14"/>
    <mergeCell ref="AS13:AS14"/>
  </mergeCells>
  <phoneticPr fontId="61" type="noConversion"/>
  <pageMargins left="0" right="0" top="0" bottom="0" header="0" footer="0"/>
  <pageSetup paperSize="9" scale="65"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3"/>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45272</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4" si="0">L5-M5</f>
        <v>0</v>
      </c>
      <c r="P5" s="27">
        <v>0</v>
      </c>
      <c r="Q5" s="99">
        <f>+L6-P6</f>
        <v>36</v>
      </c>
      <c r="R5" s="85" t="s">
        <v>64</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f>
        <v>2194</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45272</v>
      </c>
      <c r="B7" s="87" t="s">
        <v>37</v>
      </c>
      <c r="C7" s="89">
        <v>1</v>
      </c>
      <c r="D7" s="91" t="s">
        <v>38</v>
      </c>
      <c r="E7" s="89">
        <v>84217</v>
      </c>
      <c r="F7" s="89" t="s">
        <v>49</v>
      </c>
      <c r="G7" s="93" t="s">
        <v>63</v>
      </c>
      <c r="H7" s="90" t="s">
        <v>39</v>
      </c>
      <c r="I7" s="90">
        <v>4965</v>
      </c>
      <c r="J7" s="90">
        <v>965</v>
      </c>
      <c r="K7" s="20">
        <v>99</v>
      </c>
      <c r="L7" s="20">
        <v>180</v>
      </c>
      <c r="M7" s="20">
        <v>60</v>
      </c>
      <c r="N7" s="97">
        <f>O8/L8</f>
        <v>0.68531468531468531</v>
      </c>
      <c r="O7" s="21">
        <f t="shared" si="0"/>
        <v>120</v>
      </c>
      <c r="P7" s="27">
        <v>63</v>
      </c>
      <c r="Q7" s="99">
        <f t="shared" ref="Q7" si="1">+L8-P8</f>
        <v>189</v>
      </c>
      <c r="R7" s="85"/>
      <c r="S7" s="96">
        <v>5</v>
      </c>
      <c r="T7" s="96">
        <v>19</v>
      </c>
      <c r="U7" s="96"/>
      <c r="V7" s="96"/>
      <c r="W7" s="96"/>
      <c r="X7" s="96"/>
      <c r="Y7" s="96"/>
      <c r="Z7" s="96"/>
      <c r="AA7" s="96"/>
      <c r="AB7" s="96"/>
      <c r="AC7" s="96">
        <v>20</v>
      </c>
      <c r="AD7" s="96">
        <v>10</v>
      </c>
      <c r="AE7" s="96">
        <v>10</v>
      </c>
      <c r="AF7" s="96">
        <v>13</v>
      </c>
      <c r="AG7" s="96"/>
      <c r="AH7" s="96">
        <v>2</v>
      </c>
      <c r="AI7" s="96"/>
      <c r="AJ7" s="96"/>
      <c r="AK7" s="96"/>
      <c r="AL7" s="96">
        <v>41</v>
      </c>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5+13+70+100+67+52+57+45+75+145+72+45+98+99</f>
        <v>943</v>
      </c>
      <c r="L8" s="18">
        <f>5+13+60+10+10+10+50+150+40+160+120+20+30+180</f>
        <v>858</v>
      </c>
      <c r="M8" s="18">
        <f>10+10+40+30+40+60+10+10+60</f>
        <v>270</v>
      </c>
      <c r="N8" s="98"/>
      <c r="O8" s="19">
        <f t="shared" si="0"/>
        <v>588</v>
      </c>
      <c r="P8" s="22">
        <f>10+30+30+10+38+41+53+189+142+63+63</f>
        <v>669</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45272</v>
      </c>
      <c r="B9" s="87" t="s">
        <v>37</v>
      </c>
      <c r="C9" s="89">
        <v>1</v>
      </c>
      <c r="D9" s="91" t="s">
        <v>38</v>
      </c>
      <c r="E9" s="89">
        <v>84217</v>
      </c>
      <c r="F9" s="89" t="s">
        <v>49</v>
      </c>
      <c r="G9" s="93" t="s">
        <v>63</v>
      </c>
      <c r="H9" s="90" t="s">
        <v>41</v>
      </c>
      <c r="I9" s="90">
        <v>1219</v>
      </c>
      <c r="J9" s="90">
        <v>1219</v>
      </c>
      <c r="K9" s="20">
        <v>120</v>
      </c>
      <c r="L9" s="20">
        <v>266</v>
      </c>
      <c r="M9" s="20">
        <v>83</v>
      </c>
      <c r="N9" s="97">
        <f>O10/L10</f>
        <v>0.61074458058435444</v>
      </c>
      <c r="O9" s="21">
        <f t="shared" si="0"/>
        <v>183</v>
      </c>
      <c r="P9" s="27">
        <v>249</v>
      </c>
      <c r="Q9" s="99">
        <f t="shared" ref="Q9" si="2">+L10-P10</f>
        <v>228</v>
      </c>
      <c r="R9" s="85"/>
      <c r="S9" s="96">
        <v>5</v>
      </c>
      <c r="T9" s="96">
        <v>40</v>
      </c>
      <c r="U9" s="96">
        <v>10</v>
      </c>
      <c r="V9" s="96"/>
      <c r="W9" s="96"/>
      <c r="X9" s="96">
        <v>3</v>
      </c>
      <c r="Y9" s="96"/>
      <c r="Z9" s="96"/>
      <c r="AA9" s="96"/>
      <c r="AB9" s="96"/>
      <c r="AC9" s="96">
        <v>40</v>
      </c>
      <c r="AD9" s="96"/>
      <c r="AE9" s="96"/>
      <c r="AF9" s="96">
        <v>25</v>
      </c>
      <c r="AG9" s="96"/>
      <c r="AH9" s="96">
        <v>40</v>
      </c>
      <c r="AI9" s="96"/>
      <c r="AJ9" s="96"/>
      <c r="AK9" s="96"/>
      <c r="AL9" s="96">
        <v>20</v>
      </c>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103+85+198+61+57+39+86+192+134+36+37+120</f>
        <v>1148</v>
      </c>
      <c r="L10" s="18">
        <f>9+46+10+10+10+10+164+10+70+330+96+30+266</f>
        <v>1061</v>
      </c>
      <c r="M10" s="18">
        <f>9+17+10+106+21+120+38+9+83</f>
        <v>413</v>
      </c>
      <c r="N10" s="98"/>
      <c r="O10" s="19">
        <f t="shared" si="0"/>
        <v>648</v>
      </c>
      <c r="P10" s="22">
        <f>9+17+10+10+10+96+10+37+164+132+89+249</f>
        <v>833</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45272</v>
      </c>
      <c r="B11" s="87" t="s">
        <v>37</v>
      </c>
      <c r="C11" s="89">
        <v>1</v>
      </c>
      <c r="D11" s="91" t="s">
        <v>38</v>
      </c>
      <c r="E11" s="89">
        <v>84217</v>
      </c>
      <c r="F11" s="89" t="s">
        <v>49</v>
      </c>
      <c r="G11" s="93" t="s">
        <v>63</v>
      </c>
      <c r="H11" s="90" t="s">
        <v>73</v>
      </c>
      <c r="I11" s="90">
        <v>760</v>
      </c>
      <c r="J11" s="90">
        <v>760</v>
      </c>
      <c r="K11" s="20">
        <v>0</v>
      </c>
      <c r="L11" s="20">
        <v>0</v>
      </c>
      <c r="M11" s="20">
        <v>0</v>
      </c>
      <c r="N11" s="97">
        <f>O12/L12</f>
        <v>0.54736842105263162</v>
      </c>
      <c r="O11" s="21">
        <f t="shared" si="0"/>
        <v>0</v>
      </c>
      <c r="P11" s="27">
        <v>80</v>
      </c>
      <c r="Q11" s="99">
        <f t="shared" ref="Q11" si="3">+L12-P12</f>
        <v>50</v>
      </c>
      <c r="R11" s="85"/>
      <c r="S11" s="96"/>
      <c r="T11" s="96"/>
      <c r="U11" s="96"/>
      <c r="V11" s="96"/>
      <c r="W11" s="96"/>
      <c r="X11" s="96"/>
      <c r="Y11" s="96"/>
      <c r="Z11" s="96"/>
      <c r="AA11" s="96"/>
      <c r="AB11" s="96"/>
      <c r="AC11" s="96"/>
      <c r="AD11" s="96"/>
      <c r="AE11" s="96"/>
      <c r="AF11" s="96"/>
      <c r="AG11" s="96"/>
      <c r="AH11" s="96"/>
      <c r="AI11" s="96"/>
      <c r="AJ11" s="96"/>
      <c r="AK11" s="96"/>
      <c r="AL11" s="96"/>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535+95+113+17</f>
        <v>760</v>
      </c>
      <c r="L12" s="18">
        <f>90+275+378+17</f>
        <v>760</v>
      </c>
      <c r="M12" s="18">
        <f>45+105+177+17</f>
        <v>344</v>
      </c>
      <c r="N12" s="98"/>
      <c r="O12" s="19">
        <f t="shared" si="0"/>
        <v>416</v>
      </c>
      <c r="P12" s="22">
        <f>45+105+326+55+99+80</f>
        <v>710</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45272</v>
      </c>
      <c r="B13" s="87" t="s">
        <v>37</v>
      </c>
      <c r="C13" s="89">
        <v>1</v>
      </c>
      <c r="D13" s="91" t="s">
        <v>38</v>
      </c>
      <c r="E13" s="89">
        <v>84217</v>
      </c>
      <c r="F13" s="89" t="s">
        <v>49</v>
      </c>
      <c r="G13" s="93" t="s">
        <v>63</v>
      </c>
      <c r="H13" s="90" t="s">
        <v>59</v>
      </c>
      <c r="I13" s="90">
        <v>568</v>
      </c>
      <c r="J13" s="90">
        <v>568</v>
      </c>
      <c r="K13" s="20">
        <v>0</v>
      </c>
      <c r="L13" s="20">
        <v>130</v>
      </c>
      <c r="M13" s="20">
        <v>69</v>
      </c>
      <c r="N13" s="97">
        <f>O14/L14</f>
        <v>0.50973451327433628</v>
      </c>
      <c r="O13" s="21">
        <f t="shared" si="0"/>
        <v>61</v>
      </c>
      <c r="P13" s="27">
        <v>126</v>
      </c>
      <c r="Q13" s="99">
        <f t="shared" ref="Q13" si="4">+L14-P14</f>
        <v>155</v>
      </c>
      <c r="R13" s="85"/>
      <c r="S13" s="96"/>
      <c r="T13" s="96">
        <v>37</v>
      </c>
      <c r="U13" s="96"/>
      <c r="V13" s="96"/>
      <c r="W13" s="96"/>
      <c r="X13" s="96"/>
      <c r="Y13" s="96"/>
      <c r="Z13" s="96"/>
      <c r="AA13" s="96"/>
      <c r="AB13" s="96"/>
      <c r="AC13" s="96">
        <v>4</v>
      </c>
      <c r="AD13" s="96"/>
      <c r="AE13" s="96">
        <v>2</v>
      </c>
      <c r="AF13" s="96">
        <v>9</v>
      </c>
      <c r="AG13" s="96">
        <v>5</v>
      </c>
      <c r="AH13" s="96">
        <v>4</v>
      </c>
      <c r="AI13" s="96"/>
      <c r="AJ13" s="96"/>
      <c r="AK13" s="96"/>
      <c r="AL13" s="96"/>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201+261+103</f>
        <v>565</v>
      </c>
      <c r="L14" s="18">
        <f>65+200+170+130</f>
        <v>565</v>
      </c>
      <c r="M14" s="18">
        <f>15+101+92+69</f>
        <v>277</v>
      </c>
      <c r="N14" s="98"/>
      <c r="O14" s="19">
        <f t="shared" si="0"/>
        <v>288</v>
      </c>
      <c r="P14" s="22">
        <f>15+173+96+126</f>
        <v>410</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45272</v>
      </c>
      <c r="B15" s="87" t="s">
        <v>37</v>
      </c>
      <c r="C15" s="89">
        <v>1</v>
      </c>
      <c r="D15" s="91" t="s">
        <v>38</v>
      </c>
      <c r="E15" s="89">
        <v>84217</v>
      </c>
      <c r="F15" s="89" t="s">
        <v>49</v>
      </c>
      <c r="G15" s="93" t="s">
        <v>71</v>
      </c>
      <c r="H15" s="90" t="s">
        <v>47</v>
      </c>
      <c r="I15" s="90">
        <v>2804</v>
      </c>
      <c r="J15" s="90">
        <v>2804</v>
      </c>
      <c r="K15" s="20">
        <v>305</v>
      </c>
      <c r="L15" s="20">
        <v>270</v>
      </c>
      <c r="M15" s="20">
        <v>75</v>
      </c>
      <c r="N15" s="97">
        <f>O16/L16</f>
        <v>0.72222222222222221</v>
      </c>
      <c r="O15" s="21">
        <f t="shared" si="0"/>
        <v>195</v>
      </c>
      <c r="P15" s="27">
        <v>75</v>
      </c>
      <c r="Q15" s="99">
        <f t="shared" ref="Q15" si="5">+L16-P16</f>
        <v>195</v>
      </c>
      <c r="R15" s="85"/>
      <c r="S15" s="96">
        <v>84</v>
      </c>
      <c r="T15" s="96">
        <v>7</v>
      </c>
      <c r="U15" s="96"/>
      <c r="V15" s="96"/>
      <c r="W15" s="96"/>
      <c r="X15" s="96">
        <v>1</v>
      </c>
      <c r="Y15" s="96"/>
      <c r="Z15" s="96"/>
      <c r="AA15" s="96"/>
      <c r="AB15" s="96"/>
      <c r="AC15" s="96">
        <v>11</v>
      </c>
      <c r="AD15" s="96"/>
      <c r="AE15" s="96">
        <v>11</v>
      </c>
      <c r="AF15" s="96">
        <v>23</v>
      </c>
      <c r="AG15" s="96">
        <v>11</v>
      </c>
      <c r="AH15" s="96">
        <v>18</v>
      </c>
      <c r="AI15" s="96"/>
      <c r="AJ15" s="96"/>
      <c r="AK15" s="96"/>
      <c r="AL15" s="96">
        <v>29</v>
      </c>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380+305</f>
        <v>685</v>
      </c>
      <c r="L16" s="18">
        <f>270</f>
        <v>270</v>
      </c>
      <c r="M16" s="18">
        <f>75</f>
        <v>75</v>
      </c>
      <c r="N16" s="98"/>
      <c r="O16" s="19">
        <f t="shared" si="0"/>
        <v>195</v>
      </c>
      <c r="P16" s="22">
        <f>75</f>
        <v>75</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45272</v>
      </c>
      <c r="B17" s="87" t="s">
        <v>37</v>
      </c>
      <c r="C17" s="89">
        <v>1</v>
      </c>
      <c r="D17" s="91" t="s">
        <v>38</v>
      </c>
      <c r="E17" s="89">
        <v>84212</v>
      </c>
      <c r="F17" s="89" t="s">
        <v>49</v>
      </c>
      <c r="G17" s="93" t="s">
        <v>55</v>
      </c>
      <c r="H17" s="90" t="s">
        <v>59</v>
      </c>
      <c r="I17" s="90">
        <v>708</v>
      </c>
      <c r="J17" s="90">
        <v>708</v>
      </c>
      <c r="K17" s="20">
        <v>0</v>
      </c>
      <c r="L17" s="20">
        <v>0</v>
      </c>
      <c r="M17" s="20">
        <v>0</v>
      </c>
      <c r="N17" s="97">
        <f>O18/L18</f>
        <v>0.72922636103151861</v>
      </c>
      <c r="O17" s="21">
        <f t="shared" si="0"/>
        <v>0</v>
      </c>
      <c r="P17" s="27">
        <v>120</v>
      </c>
      <c r="Q17" s="99">
        <f t="shared" ref="Q17" si="6">+L18-P18</f>
        <v>39</v>
      </c>
      <c r="R17" s="85"/>
      <c r="S17" s="96"/>
      <c r="T17" s="96"/>
      <c r="U17" s="96"/>
      <c r="V17" s="96"/>
      <c r="W17" s="96"/>
      <c r="X17" s="96"/>
      <c r="Y17" s="96"/>
      <c r="Z17" s="96"/>
      <c r="AA17" s="96"/>
      <c r="AB17" s="96"/>
      <c r="AC17" s="96"/>
      <c r="AD17" s="96"/>
      <c r="AE17" s="96"/>
      <c r="AF17" s="96"/>
      <c r="AG17" s="96"/>
      <c r="AH17" s="96"/>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105+109+70+77+65+110+122+34+3+3</f>
        <v>698</v>
      </c>
      <c r="L18" s="18">
        <f>25+50+65+80+80+30+80+50+160+78</f>
        <v>698</v>
      </c>
      <c r="M18" s="18">
        <f>15+20+20+15+5+11+20+50+33</f>
        <v>189</v>
      </c>
      <c r="N18" s="98"/>
      <c r="O18" s="19">
        <f t="shared" si="0"/>
        <v>509</v>
      </c>
      <c r="P18" s="22">
        <f>15+20+35+15+5+11+53+50+335+120</f>
        <v>659</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45272</v>
      </c>
      <c r="B19" s="87" t="s">
        <v>37</v>
      </c>
      <c r="C19" s="89">
        <v>1</v>
      </c>
      <c r="D19" s="91" t="s">
        <v>38</v>
      </c>
      <c r="E19" s="89">
        <v>84212</v>
      </c>
      <c r="F19" s="89" t="s">
        <v>49</v>
      </c>
      <c r="G19" s="93" t="s">
        <v>55</v>
      </c>
      <c r="H19" s="90" t="s">
        <v>67</v>
      </c>
      <c r="I19" s="90">
        <v>1813</v>
      </c>
      <c r="J19" s="90">
        <v>1813</v>
      </c>
      <c r="K19" s="20">
        <v>95</v>
      </c>
      <c r="L19" s="20">
        <v>160</v>
      </c>
      <c r="M19" s="20">
        <v>55</v>
      </c>
      <c r="N19" s="97">
        <f>O20/L20</f>
        <v>0.77935382190701341</v>
      </c>
      <c r="O19" s="21">
        <f t="shared" si="0"/>
        <v>105</v>
      </c>
      <c r="P19" s="27">
        <v>217</v>
      </c>
      <c r="Q19" s="99">
        <f t="shared" ref="Q19" si="7">+L20-P20</f>
        <v>500</v>
      </c>
      <c r="R19" s="85"/>
      <c r="S19" s="96">
        <v>8</v>
      </c>
      <c r="T19" s="96">
        <v>12</v>
      </c>
      <c r="U19" s="96"/>
      <c r="V19" s="96"/>
      <c r="W19" s="96"/>
      <c r="X19" s="96">
        <v>7</v>
      </c>
      <c r="Y19" s="96"/>
      <c r="Z19" s="96"/>
      <c r="AA19" s="96"/>
      <c r="AB19" s="96"/>
      <c r="AC19" s="96">
        <v>16</v>
      </c>
      <c r="AD19" s="96"/>
      <c r="AE19" s="96">
        <v>14</v>
      </c>
      <c r="AF19" s="96"/>
      <c r="AG19" s="96">
        <v>16</v>
      </c>
      <c r="AH19" s="96">
        <v>15</v>
      </c>
      <c r="AI19" s="96"/>
      <c r="AJ19" s="96"/>
      <c r="AK19" s="96"/>
      <c r="AL19" s="96">
        <v>17</v>
      </c>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272+145+148+175+345+259+198+95</f>
        <v>1637</v>
      </c>
      <c r="L20" s="18">
        <f>30+110+235+150+484+100+160</f>
        <v>1269</v>
      </c>
      <c r="M20" s="18">
        <f>5+10+50+40+110+10+55</f>
        <v>280</v>
      </c>
      <c r="N20" s="98"/>
      <c r="O20" s="19">
        <f t="shared" si="0"/>
        <v>989</v>
      </c>
      <c r="P20" s="22">
        <f>5+10+65+80+262+130+217</f>
        <v>769</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45272</v>
      </c>
      <c r="B21" s="87" t="s">
        <v>37</v>
      </c>
      <c r="C21" s="89">
        <v>1</v>
      </c>
      <c r="D21" s="91" t="s">
        <v>38</v>
      </c>
      <c r="E21" s="89">
        <v>84212</v>
      </c>
      <c r="F21" s="89" t="s">
        <v>49</v>
      </c>
      <c r="G21" s="93" t="s">
        <v>55</v>
      </c>
      <c r="H21" s="90" t="s">
        <v>62</v>
      </c>
      <c r="I21" s="90">
        <v>2218</v>
      </c>
      <c r="J21" s="90">
        <v>1640</v>
      </c>
      <c r="K21" s="20">
        <v>85</v>
      </c>
      <c r="L21" s="20">
        <v>0</v>
      </c>
      <c r="M21" s="20">
        <v>0</v>
      </c>
      <c r="N21" s="97">
        <f>O22/L22</f>
        <v>0.6819787985865724</v>
      </c>
      <c r="O21" s="21">
        <f t="shared" si="0"/>
        <v>0</v>
      </c>
      <c r="P21" s="27">
        <v>0</v>
      </c>
      <c r="Q21" s="99">
        <f t="shared" ref="Q21" si="8">+L22-P22</f>
        <v>52</v>
      </c>
      <c r="R21" s="85"/>
      <c r="S21" s="96"/>
      <c r="T21" s="96"/>
      <c r="U21" s="96"/>
      <c r="V21" s="96"/>
      <c r="W21" s="96"/>
      <c r="X21" s="96"/>
      <c r="Y21" s="96"/>
      <c r="Z21" s="96"/>
      <c r="AA21" s="96"/>
      <c r="AB21" s="96"/>
      <c r="AC21" s="96"/>
      <c r="AD21" s="96"/>
      <c r="AE21" s="96"/>
      <c r="AF21" s="96"/>
      <c r="AG21" s="96"/>
      <c r="AH21" s="96"/>
      <c r="AI21" s="96"/>
      <c r="AJ21" s="96"/>
      <c r="AK21" s="96"/>
      <c r="AL21" s="96"/>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166+95+22+85</f>
        <v>368</v>
      </c>
      <c r="L22" s="18">
        <f>40+40+160+43</f>
        <v>283</v>
      </c>
      <c r="M22" s="18">
        <f>6+14+50+20</f>
        <v>90</v>
      </c>
      <c r="N22" s="98"/>
      <c r="O22" s="19">
        <f t="shared" si="0"/>
        <v>193</v>
      </c>
      <c r="P22" s="22">
        <f>6+14+50+28+64+69</f>
        <v>231</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45272</v>
      </c>
      <c r="B23" s="87" t="s">
        <v>37</v>
      </c>
      <c r="C23" s="89">
        <v>1</v>
      </c>
      <c r="D23" s="91" t="s">
        <v>38</v>
      </c>
      <c r="E23" s="89">
        <v>84212</v>
      </c>
      <c r="F23" s="89" t="s">
        <v>49</v>
      </c>
      <c r="G23" s="93" t="s">
        <v>55</v>
      </c>
      <c r="H23" s="90" t="s">
        <v>78</v>
      </c>
      <c r="I23" s="90">
        <v>747</v>
      </c>
      <c r="J23" s="90">
        <v>747</v>
      </c>
      <c r="K23" s="20">
        <v>84</v>
      </c>
      <c r="L23" s="20">
        <v>150</v>
      </c>
      <c r="M23" s="20">
        <v>30</v>
      </c>
      <c r="N23" s="97">
        <f>O24/L24</f>
        <v>0.82558139534883723</v>
      </c>
      <c r="O23" s="21">
        <f t="shared" si="0"/>
        <v>120</v>
      </c>
      <c r="P23" s="27">
        <v>80</v>
      </c>
      <c r="Q23" s="99">
        <f t="shared" ref="Q23" si="9">+L24-P24</f>
        <v>134</v>
      </c>
      <c r="R23" s="85"/>
      <c r="S23" s="96"/>
      <c r="T23" s="96">
        <v>42</v>
      </c>
      <c r="U23" s="96">
        <v>3</v>
      </c>
      <c r="V23" s="96"/>
      <c r="W23" s="96"/>
      <c r="X23" s="96"/>
      <c r="Y23" s="96">
        <v>2</v>
      </c>
      <c r="Z23" s="96"/>
      <c r="AA23" s="96"/>
      <c r="AB23" s="96"/>
      <c r="AC23" s="96">
        <v>7</v>
      </c>
      <c r="AD23" s="96"/>
      <c r="AE23" s="96">
        <v>1</v>
      </c>
      <c r="AF23" s="96">
        <v>4</v>
      </c>
      <c r="AG23" s="96">
        <v>39</v>
      </c>
      <c r="AH23" s="96">
        <v>6</v>
      </c>
      <c r="AI23" s="96"/>
      <c r="AJ23" s="96"/>
      <c r="AK23" s="96"/>
      <c r="AL23" s="96">
        <v>16</v>
      </c>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117+41+130+144+90+84</f>
        <v>606</v>
      </c>
      <c r="L24" s="18">
        <f>80+50+150+150</f>
        <v>430</v>
      </c>
      <c r="M24" s="18">
        <f>10+5+30+30</f>
        <v>75</v>
      </c>
      <c r="N24" s="98"/>
      <c r="O24" s="19">
        <f t="shared" si="0"/>
        <v>355</v>
      </c>
      <c r="P24" s="22">
        <f>10+5+30+171+80</f>
        <v>296</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45272</v>
      </c>
      <c r="B25" s="87" t="s">
        <v>37</v>
      </c>
      <c r="C25" s="89">
        <v>1</v>
      </c>
      <c r="D25" s="91" t="s">
        <v>38</v>
      </c>
      <c r="E25" s="89">
        <v>84212</v>
      </c>
      <c r="F25" s="89" t="s">
        <v>49</v>
      </c>
      <c r="G25" s="93" t="s">
        <v>61</v>
      </c>
      <c r="H25" s="89" t="s">
        <v>65</v>
      </c>
      <c r="I25" s="89">
        <v>533</v>
      </c>
      <c r="J25" s="89">
        <v>533</v>
      </c>
      <c r="K25" s="20">
        <v>24</v>
      </c>
      <c r="L25" s="20">
        <v>114</v>
      </c>
      <c r="M25" s="20">
        <v>45</v>
      </c>
      <c r="N25" s="146">
        <f>O26/L26</f>
        <v>0.69155206286836934</v>
      </c>
      <c r="O25" s="21">
        <f t="shared" si="0"/>
        <v>69</v>
      </c>
      <c r="P25" s="27">
        <v>108</v>
      </c>
      <c r="Q25" s="99">
        <f t="shared" ref="Q25" si="10">+L26-P26</f>
        <v>89</v>
      </c>
      <c r="R25" s="108"/>
      <c r="S25" s="149">
        <v>2</v>
      </c>
      <c r="T25" s="149">
        <v>12</v>
      </c>
      <c r="U25" s="149">
        <v>5</v>
      </c>
      <c r="V25" s="149"/>
      <c r="W25" s="149"/>
      <c r="X25" s="149">
        <v>1</v>
      </c>
      <c r="Y25" s="149">
        <v>1</v>
      </c>
      <c r="Z25" s="149"/>
      <c r="AA25" s="149"/>
      <c r="AB25" s="149"/>
      <c r="AC25" s="149">
        <v>10</v>
      </c>
      <c r="AD25" s="149"/>
      <c r="AE25" s="149">
        <v>5</v>
      </c>
      <c r="AF25" s="149">
        <v>8</v>
      </c>
      <c r="AG25" s="149">
        <v>6</v>
      </c>
      <c r="AH25" s="149">
        <v>9</v>
      </c>
      <c r="AI25" s="149"/>
      <c r="AJ25" s="149"/>
      <c r="AK25" s="149"/>
      <c r="AL25" s="149">
        <v>10</v>
      </c>
      <c r="AM25" s="163"/>
      <c r="AN25" s="163"/>
      <c r="AO25" s="163"/>
      <c r="AP25" s="163"/>
      <c r="AQ25" s="163"/>
      <c r="AR25" s="163"/>
      <c r="AS25" s="163"/>
      <c r="AT25" s="163"/>
      <c r="AU25" s="163"/>
      <c r="AV25" s="163"/>
      <c r="AW25" s="163"/>
      <c r="AX25" s="163"/>
      <c r="AY25" s="167"/>
      <c r="AZ25" s="167"/>
      <c r="BA25" s="167"/>
      <c r="BB25" s="167"/>
      <c r="BC25" s="167"/>
      <c r="BD25" s="167"/>
      <c r="BE25" s="163"/>
      <c r="BF25" s="165"/>
      <c r="BG25" s="165"/>
    </row>
    <row r="26" spans="1:59" s="17" customFormat="1" ht="15.75" customHeight="1">
      <c r="A26" s="85"/>
      <c r="B26" s="88"/>
      <c r="C26" s="90"/>
      <c r="D26" s="92"/>
      <c r="E26" s="90"/>
      <c r="F26" s="90"/>
      <c r="G26" s="94"/>
      <c r="H26" s="90"/>
      <c r="I26" s="90"/>
      <c r="J26" s="90"/>
      <c r="K26" s="22">
        <f>81+92+53+50+111+122+24</f>
        <v>533</v>
      </c>
      <c r="L26" s="18">
        <f>10+10+110+10+80+65+60+50+114</f>
        <v>509</v>
      </c>
      <c r="M26" s="18">
        <f>30+19+22+22+19+45</f>
        <v>157</v>
      </c>
      <c r="N26" s="147"/>
      <c r="O26" s="19">
        <f t="shared" si="0"/>
        <v>352</v>
      </c>
      <c r="P26" s="22">
        <f>50+40+39+28+88+67+108</f>
        <v>420</v>
      </c>
      <c r="Q26" s="100"/>
      <c r="R26" s="85"/>
      <c r="S26" s="150"/>
      <c r="T26" s="150"/>
      <c r="U26" s="150"/>
      <c r="V26" s="150"/>
      <c r="W26" s="150"/>
      <c r="X26" s="150"/>
      <c r="Y26" s="150"/>
      <c r="Z26" s="150"/>
      <c r="AA26" s="150"/>
      <c r="AB26" s="150"/>
      <c r="AC26" s="150"/>
      <c r="AD26" s="150"/>
      <c r="AE26" s="150"/>
      <c r="AF26" s="150"/>
      <c r="AG26" s="150"/>
      <c r="AH26" s="150"/>
      <c r="AI26" s="150"/>
      <c r="AJ26" s="150"/>
      <c r="AK26" s="150"/>
      <c r="AL26" s="150"/>
      <c r="AM26" s="164"/>
      <c r="AN26" s="164"/>
      <c r="AO26" s="164"/>
      <c r="AP26" s="164"/>
      <c r="AQ26" s="164"/>
      <c r="AR26" s="164"/>
      <c r="AS26" s="164"/>
      <c r="AT26" s="164"/>
      <c r="AU26" s="164"/>
      <c r="AV26" s="164"/>
      <c r="AW26" s="164"/>
      <c r="AX26" s="164"/>
      <c r="AY26" s="168"/>
      <c r="AZ26" s="168"/>
      <c r="BA26" s="168"/>
      <c r="BB26" s="168"/>
      <c r="BC26" s="168"/>
      <c r="BD26" s="168"/>
      <c r="BE26" s="164"/>
      <c r="BF26" s="166"/>
      <c r="BG26" s="166"/>
    </row>
    <row r="27" spans="1:59" s="17" customFormat="1" ht="15.75" customHeight="1">
      <c r="A27" s="108">
        <v>45272</v>
      </c>
      <c r="B27" s="87" t="s">
        <v>37</v>
      </c>
      <c r="C27" s="89">
        <v>1</v>
      </c>
      <c r="D27" s="91" t="s">
        <v>38</v>
      </c>
      <c r="E27" s="89">
        <v>84212</v>
      </c>
      <c r="F27" s="89" t="s">
        <v>49</v>
      </c>
      <c r="G27" s="93" t="s">
        <v>61</v>
      </c>
      <c r="H27" s="89" t="s">
        <v>59</v>
      </c>
      <c r="I27" s="89">
        <v>515</v>
      </c>
      <c r="J27" s="89">
        <v>515</v>
      </c>
      <c r="K27" s="20">
        <v>149</v>
      </c>
      <c r="L27" s="20">
        <v>0</v>
      </c>
      <c r="M27" s="20">
        <v>0</v>
      </c>
      <c r="N27" s="146" t="e">
        <f>O28/L28</f>
        <v>#DIV/0!</v>
      </c>
      <c r="O27" s="21">
        <f t="shared" si="0"/>
        <v>0</v>
      </c>
      <c r="P27" s="27">
        <v>0</v>
      </c>
      <c r="Q27" s="99">
        <f t="shared" ref="Q27" si="11">+L28-P28</f>
        <v>0</v>
      </c>
      <c r="R27" s="108"/>
      <c r="S27" s="149"/>
      <c r="T27" s="149"/>
      <c r="U27" s="149"/>
      <c r="V27" s="149"/>
      <c r="W27" s="149"/>
      <c r="X27" s="149"/>
      <c r="Y27" s="149"/>
      <c r="Z27" s="149"/>
      <c r="AA27" s="149"/>
      <c r="AB27" s="149"/>
      <c r="AC27" s="149"/>
      <c r="AD27" s="149"/>
      <c r="AE27" s="149"/>
      <c r="AF27" s="149"/>
      <c r="AG27" s="149"/>
      <c r="AH27" s="149"/>
      <c r="AI27" s="149"/>
      <c r="AJ27" s="149"/>
      <c r="AK27" s="149"/>
      <c r="AL27" s="149"/>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149</f>
        <v>149</v>
      </c>
      <c r="L28" s="18">
        <v>0</v>
      </c>
      <c r="M28" s="18">
        <v>0</v>
      </c>
      <c r="N28" s="147"/>
      <c r="O28" s="19">
        <f t="shared" si="0"/>
        <v>0</v>
      </c>
      <c r="P28" s="22">
        <v>0</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45272</v>
      </c>
      <c r="B29" s="87" t="s">
        <v>37</v>
      </c>
      <c r="C29" s="89">
        <v>1</v>
      </c>
      <c r="D29" s="91" t="s">
        <v>38</v>
      </c>
      <c r="E29" s="89">
        <v>84426</v>
      </c>
      <c r="F29" s="89" t="s">
        <v>49</v>
      </c>
      <c r="G29" s="93" t="s">
        <v>55</v>
      </c>
      <c r="H29" s="90" t="s">
        <v>58</v>
      </c>
      <c r="I29" s="90">
        <v>549</v>
      </c>
      <c r="J29" s="90">
        <v>549</v>
      </c>
      <c r="K29" s="20">
        <v>0</v>
      </c>
      <c r="L29" s="20">
        <v>0</v>
      </c>
      <c r="M29" s="20">
        <v>0</v>
      </c>
      <c r="N29" s="97">
        <f>O30/L30</f>
        <v>0.81238615664845171</v>
      </c>
      <c r="O29" s="21">
        <f t="shared" si="0"/>
        <v>0</v>
      </c>
      <c r="P29" s="27">
        <v>0</v>
      </c>
      <c r="Q29" s="99">
        <f t="shared" ref="Q29" si="12">+L30-P30</f>
        <v>3</v>
      </c>
      <c r="R29" s="108"/>
      <c r="S29" s="96"/>
      <c r="T29" s="96"/>
      <c r="U29" s="96"/>
      <c r="V29" s="96"/>
      <c r="W29" s="96"/>
      <c r="X29" s="96"/>
      <c r="Y29" s="96"/>
      <c r="Z29" s="96"/>
      <c r="AA29" s="96"/>
      <c r="AB29" s="96"/>
      <c r="AC29" s="96"/>
      <c r="AD29" s="96"/>
      <c r="AE29" s="96"/>
      <c r="AF29" s="96"/>
      <c r="AG29" s="96"/>
      <c r="AH29" s="96"/>
      <c r="AI29" s="96"/>
      <c r="AJ29" s="96"/>
      <c r="AK29" s="96"/>
      <c r="AL29" s="96"/>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5"/>
      <c r="B30" s="88"/>
      <c r="C30" s="90"/>
      <c r="D30" s="92"/>
      <c r="E30" s="90"/>
      <c r="F30" s="90"/>
      <c r="G30" s="94"/>
      <c r="H30" s="95"/>
      <c r="I30" s="95"/>
      <c r="J30" s="95"/>
      <c r="K30" s="49">
        <f>483+66</f>
        <v>549</v>
      </c>
      <c r="L30" s="18">
        <f>483+66</f>
        <v>549</v>
      </c>
      <c r="M30" s="18">
        <f>86+17</f>
        <v>103</v>
      </c>
      <c r="N30" s="98"/>
      <c r="O30" s="19">
        <f t="shared" si="0"/>
        <v>446</v>
      </c>
      <c r="P30" s="22">
        <f>453+80+11+2</f>
        <v>546</v>
      </c>
      <c r="Q30" s="100"/>
      <c r="R30" s="85"/>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108">
        <v>45272</v>
      </c>
      <c r="B31" s="87" t="s">
        <v>37</v>
      </c>
      <c r="C31" s="89">
        <v>1</v>
      </c>
      <c r="D31" s="91" t="s">
        <v>38</v>
      </c>
      <c r="E31" s="89">
        <v>84352</v>
      </c>
      <c r="F31" s="89" t="s">
        <v>49</v>
      </c>
      <c r="G31" s="93" t="s">
        <v>55</v>
      </c>
      <c r="H31" s="109" t="s">
        <v>39</v>
      </c>
      <c r="I31" s="90">
        <v>1050</v>
      </c>
      <c r="J31" s="170">
        <v>1053</v>
      </c>
      <c r="K31" s="43">
        <v>0</v>
      </c>
      <c r="L31" s="48">
        <v>0</v>
      </c>
      <c r="M31" s="20">
        <v>0</v>
      </c>
      <c r="N31" s="97">
        <f>O32/L32</f>
        <v>0.64411764705882357</v>
      </c>
      <c r="O31" s="21">
        <f t="shared" si="0"/>
        <v>0</v>
      </c>
      <c r="P31" s="27">
        <f>21+40</f>
        <v>61</v>
      </c>
      <c r="Q31" s="99">
        <f t="shared" ref="Q31" si="13">+L32-P32</f>
        <v>116</v>
      </c>
      <c r="R31" s="85"/>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171"/>
      <c r="K32" s="47">
        <f>320+108+237+109+43+100+35+68</f>
        <v>1020</v>
      </c>
      <c r="L32" s="46">
        <f>10+10+10+235+60+10+150+85+185+102+40+95+28</f>
        <v>1020</v>
      </c>
      <c r="M32" s="18">
        <f>75+30+45+42+80+30+8+40+13</f>
        <v>363</v>
      </c>
      <c r="N32" s="98"/>
      <c r="O32" s="19">
        <f t="shared" si="0"/>
        <v>657</v>
      </c>
      <c r="P32" s="22">
        <f>105+70+80+92+96+70+74+165+91+21+40</f>
        <v>904</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45272</v>
      </c>
      <c r="B33" s="87" t="s">
        <v>37</v>
      </c>
      <c r="C33" s="89">
        <v>1</v>
      </c>
      <c r="D33" s="91" t="s">
        <v>38</v>
      </c>
      <c r="E33" s="89">
        <v>84352</v>
      </c>
      <c r="F33" s="89" t="s">
        <v>49</v>
      </c>
      <c r="G33" s="93" t="s">
        <v>55</v>
      </c>
      <c r="H33" s="109" t="s">
        <v>57</v>
      </c>
      <c r="I33" s="90">
        <v>525</v>
      </c>
      <c r="J33" s="90">
        <v>525</v>
      </c>
      <c r="K33" s="20">
        <f>65+37</f>
        <v>102</v>
      </c>
      <c r="L33" s="20">
        <f>122+40</f>
        <v>162</v>
      </c>
      <c r="M33" s="20">
        <v>22</v>
      </c>
      <c r="N33" s="97">
        <f>O34/L34</f>
        <v>0.74793388429752061</v>
      </c>
      <c r="O33" s="21">
        <f t="shared" si="0"/>
        <v>140</v>
      </c>
      <c r="P33" s="27">
        <v>32</v>
      </c>
      <c r="Q33" s="99">
        <f t="shared" ref="Q33" si="14">+L34-P34</f>
        <v>171</v>
      </c>
      <c r="R33" s="85"/>
      <c r="S33" s="96"/>
      <c r="T33" s="96">
        <v>24</v>
      </c>
      <c r="U33" s="96">
        <v>10</v>
      </c>
      <c r="V33" s="96"/>
      <c r="W33" s="96"/>
      <c r="X33" s="96">
        <v>1</v>
      </c>
      <c r="Y33" s="96"/>
      <c r="Z33" s="96"/>
      <c r="AA33" s="96"/>
      <c r="AB33" s="96"/>
      <c r="AC33" s="96">
        <v>17</v>
      </c>
      <c r="AD33" s="96"/>
      <c r="AE33" s="96">
        <f>8+5</f>
        <v>13</v>
      </c>
      <c r="AF33" s="96"/>
      <c r="AG33" s="96"/>
      <c r="AH33" s="96">
        <v>5</v>
      </c>
      <c r="AI33" s="96"/>
      <c r="AJ33" s="96"/>
      <c r="AK33" s="96"/>
      <c r="AL33" s="96">
        <f>45+25</f>
        <v>70</v>
      </c>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41">
        <f>70+50+122+102</f>
        <v>344</v>
      </c>
      <c r="L34" s="18">
        <f>20+60+162</f>
        <v>242</v>
      </c>
      <c r="M34" s="18">
        <f>9+30+22</f>
        <v>61</v>
      </c>
      <c r="N34" s="98"/>
      <c r="O34" s="19">
        <f t="shared" si="0"/>
        <v>181</v>
      </c>
      <c r="P34" s="22">
        <f>9+30+32</f>
        <v>71</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45272</v>
      </c>
      <c r="B35" s="87" t="s">
        <v>37</v>
      </c>
      <c r="C35" s="89">
        <v>1</v>
      </c>
      <c r="D35" s="91" t="s">
        <v>38</v>
      </c>
      <c r="E35" s="89">
        <v>84031</v>
      </c>
      <c r="F35" s="89" t="s">
        <v>49</v>
      </c>
      <c r="G35" s="93" t="s">
        <v>53</v>
      </c>
      <c r="H35" s="90" t="s">
        <v>57</v>
      </c>
      <c r="I35" s="90">
        <v>563</v>
      </c>
      <c r="J35" s="90">
        <v>563</v>
      </c>
      <c r="K35" s="43">
        <v>0</v>
      </c>
      <c r="L35" s="20">
        <v>0</v>
      </c>
      <c r="M35" s="20">
        <v>0</v>
      </c>
      <c r="N35" s="97">
        <f>O36/L36</f>
        <v>0.85343228200371057</v>
      </c>
      <c r="O35" s="21">
        <f t="shared" si="0"/>
        <v>0</v>
      </c>
      <c r="P35" s="27">
        <v>0</v>
      </c>
      <c r="Q35" s="99">
        <f t="shared" ref="Q35" si="15">+L36-P36</f>
        <v>0</v>
      </c>
      <c r="R35" s="85" t="s">
        <v>68</v>
      </c>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516+20+3</f>
        <v>539</v>
      </c>
      <c r="L36" s="18">
        <f>516+20+3</f>
        <v>539</v>
      </c>
      <c r="M36" s="18">
        <f>74+2+3</f>
        <v>79</v>
      </c>
      <c r="N36" s="98"/>
      <c r="O36" s="19">
        <f t="shared" si="0"/>
        <v>460</v>
      </c>
      <c r="P36" s="22">
        <f>516+20+3</f>
        <v>539</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45272</v>
      </c>
      <c r="B37" s="87" t="s">
        <v>37</v>
      </c>
      <c r="C37" s="89">
        <v>1</v>
      </c>
      <c r="D37" s="91" t="s">
        <v>38</v>
      </c>
      <c r="E37" s="89">
        <v>84031</v>
      </c>
      <c r="F37" s="89" t="s">
        <v>49</v>
      </c>
      <c r="G37" s="93" t="s">
        <v>53</v>
      </c>
      <c r="H37" s="90" t="s">
        <v>39</v>
      </c>
      <c r="I37" s="90">
        <v>623</v>
      </c>
      <c r="J37" s="90">
        <v>623</v>
      </c>
      <c r="K37" s="20">
        <v>0</v>
      </c>
      <c r="L37" s="20">
        <v>0</v>
      </c>
      <c r="M37" s="20">
        <v>0</v>
      </c>
      <c r="N37" s="97">
        <f>O38/L38</f>
        <v>0.79710144927536231</v>
      </c>
      <c r="O37" s="21">
        <f t="shared" si="0"/>
        <v>0</v>
      </c>
      <c r="P37" s="27">
        <v>0</v>
      </c>
      <c r="Q37" s="99">
        <f t="shared" ref="Q37" si="16">+L38-P38</f>
        <v>0</v>
      </c>
      <c r="R37" s="85" t="s">
        <v>68</v>
      </c>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574+9+30+5+3</f>
        <v>621</v>
      </c>
      <c r="L38" s="18">
        <f>574+9+30+5+3</f>
        <v>621</v>
      </c>
      <c r="M38" s="18">
        <f>109+9+5+3</f>
        <v>126</v>
      </c>
      <c r="N38" s="98"/>
      <c r="O38" s="19">
        <f t="shared" si="0"/>
        <v>495</v>
      </c>
      <c r="P38" s="22">
        <f>574+9+30+5+3</f>
        <v>621</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45272</v>
      </c>
      <c r="B39" s="87" t="s">
        <v>37</v>
      </c>
      <c r="C39" s="89">
        <v>1</v>
      </c>
      <c r="D39" s="91" t="s">
        <v>77</v>
      </c>
      <c r="E39" s="89">
        <v>20785</v>
      </c>
      <c r="F39" s="89" t="s">
        <v>76</v>
      </c>
      <c r="G39" s="93" t="s">
        <v>71</v>
      </c>
      <c r="H39" s="90" t="s">
        <v>70</v>
      </c>
      <c r="I39" s="90">
        <v>1475</v>
      </c>
      <c r="J39" s="90">
        <v>1475</v>
      </c>
      <c r="K39" s="20">
        <v>0</v>
      </c>
      <c r="L39" s="20">
        <v>0</v>
      </c>
      <c r="M39" s="20">
        <v>0</v>
      </c>
      <c r="N39" s="97">
        <f>O40/L40</f>
        <v>1</v>
      </c>
      <c r="O39" s="21">
        <f t="shared" si="0"/>
        <v>0</v>
      </c>
      <c r="P39" s="27">
        <v>15</v>
      </c>
      <c r="Q39" s="99">
        <f t="shared" ref="Q39" si="17">+L40-P40</f>
        <v>30</v>
      </c>
      <c r="R39" s="85"/>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26+20+20+15+15</f>
        <v>96</v>
      </c>
      <c r="L40" s="18">
        <f>26+10+30+15+15</f>
        <v>96</v>
      </c>
      <c r="M40" s="18">
        <v>0</v>
      </c>
      <c r="N40" s="98"/>
      <c r="O40" s="19">
        <f t="shared" si="0"/>
        <v>96</v>
      </c>
      <c r="P40" s="22">
        <f>10+10+6+5+20+15</f>
        <v>66</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45272</v>
      </c>
      <c r="B41" s="87" t="s">
        <v>37</v>
      </c>
      <c r="C41" s="89">
        <v>1</v>
      </c>
      <c r="D41" s="91" t="s">
        <v>77</v>
      </c>
      <c r="E41" s="89">
        <v>20785</v>
      </c>
      <c r="F41" s="89" t="s">
        <v>76</v>
      </c>
      <c r="G41" s="93" t="s">
        <v>71</v>
      </c>
      <c r="H41" s="90" t="s">
        <v>75</v>
      </c>
      <c r="I41" s="90">
        <v>501</v>
      </c>
      <c r="J41" s="90">
        <v>501</v>
      </c>
      <c r="K41" s="20">
        <v>0</v>
      </c>
      <c r="L41" s="20">
        <v>0</v>
      </c>
      <c r="M41" s="20">
        <v>0</v>
      </c>
      <c r="N41" s="97">
        <f>O42/L42</f>
        <v>0.9358974358974359</v>
      </c>
      <c r="O41" s="21">
        <f t="shared" si="0"/>
        <v>0</v>
      </c>
      <c r="P41" s="27">
        <v>0</v>
      </c>
      <c r="Q41" s="99">
        <f t="shared" ref="Q41" si="18">+L42-P42</f>
        <v>0</v>
      </c>
      <c r="R41" s="85"/>
      <c r="S41" s="96"/>
      <c r="T41" s="96"/>
      <c r="U41" s="96"/>
      <c r="V41" s="96"/>
      <c r="W41" s="96"/>
      <c r="X41" s="96"/>
      <c r="Y41" s="96"/>
      <c r="Z41" s="96"/>
      <c r="AA41" s="96"/>
      <c r="AB41" s="96"/>
      <c r="AC41" s="96"/>
      <c r="AD41" s="96"/>
      <c r="AE41" s="96"/>
      <c r="AF41" s="96"/>
      <c r="AG41" s="96"/>
      <c r="AH41" s="96"/>
      <c r="AI41" s="96"/>
      <c r="AJ41" s="96"/>
      <c r="AK41" s="96"/>
      <c r="AL41" s="96"/>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24+31+23</f>
        <v>78</v>
      </c>
      <c r="L42" s="18">
        <f>10+45+5+18</f>
        <v>78</v>
      </c>
      <c r="M42" s="18">
        <f>5</f>
        <v>5</v>
      </c>
      <c r="N42" s="98"/>
      <c r="O42" s="19">
        <f t="shared" si="0"/>
        <v>73</v>
      </c>
      <c r="P42" s="22">
        <f>5+15+58</f>
        <v>78</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s="17" customFormat="1" ht="15.75" customHeight="1">
      <c r="A43" s="108">
        <v>45272</v>
      </c>
      <c r="B43" s="87" t="s">
        <v>37</v>
      </c>
      <c r="C43" s="89">
        <v>1</v>
      </c>
      <c r="D43" s="91" t="s">
        <v>77</v>
      </c>
      <c r="E43" s="89">
        <v>20785</v>
      </c>
      <c r="F43" s="89" t="s">
        <v>76</v>
      </c>
      <c r="G43" s="93" t="s">
        <v>71</v>
      </c>
      <c r="H43" s="90" t="s">
        <v>79</v>
      </c>
      <c r="I43" s="90">
        <v>826</v>
      </c>
      <c r="J43" s="90">
        <v>826</v>
      </c>
      <c r="K43" s="20">
        <v>44</v>
      </c>
      <c r="L43" s="20">
        <v>45</v>
      </c>
      <c r="M43" s="20">
        <v>0</v>
      </c>
      <c r="N43" s="97">
        <f>O44/L44</f>
        <v>0.84146341463414631</v>
      </c>
      <c r="O43" s="21">
        <f t="shared" si="0"/>
        <v>45</v>
      </c>
      <c r="P43" s="27">
        <v>12</v>
      </c>
      <c r="Q43" s="99">
        <f t="shared" ref="Q43" si="19">+L44-P44</f>
        <v>57</v>
      </c>
      <c r="R43" s="85"/>
      <c r="S43" s="96"/>
      <c r="T43" s="96"/>
      <c r="U43" s="96"/>
      <c r="V43" s="96"/>
      <c r="W43" s="96"/>
      <c r="X43" s="96"/>
      <c r="Y43" s="96"/>
      <c r="Z43" s="96"/>
      <c r="AA43" s="96"/>
      <c r="AB43" s="96"/>
      <c r="AC43" s="96">
        <v>2</v>
      </c>
      <c r="AD43" s="96"/>
      <c r="AE43" s="96">
        <v>2</v>
      </c>
      <c r="AF43" s="96">
        <v>3</v>
      </c>
      <c r="AG43" s="96">
        <v>34</v>
      </c>
      <c r="AH43" s="96"/>
      <c r="AI43" s="96"/>
      <c r="AJ43" s="96"/>
      <c r="AK43" s="96"/>
      <c r="AL43" s="96">
        <v>4</v>
      </c>
      <c r="AM43" s="103"/>
      <c r="AN43" s="103"/>
      <c r="AO43" s="103"/>
      <c r="AP43" s="103"/>
      <c r="AQ43" s="103"/>
      <c r="AR43" s="103"/>
      <c r="AS43" s="103"/>
      <c r="AT43" s="103"/>
      <c r="AU43" s="103"/>
      <c r="AV43" s="103"/>
      <c r="AW43" s="103"/>
      <c r="AX43" s="103"/>
      <c r="AY43" s="106"/>
      <c r="AZ43" s="106"/>
      <c r="BA43" s="106"/>
      <c r="BB43" s="106"/>
      <c r="BC43" s="106"/>
      <c r="BD43" s="106"/>
      <c r="BE43" s="103"/>
      <c r="BF43" s="104"/>
      <c r="BG43" s="104"/>
    </row>
    <row r="44" spans="1:59" s="17" customFormat="1" ht="15.75" customHeight="1">
      <c r="A44" s="85"/>
      <c r="B44" s="88"/>
      <c r="C44" s="90"/>
      <c r="D44" s="92"/>
      <c r="E44" s="90"/>
      <c r="F44" s="90"/>
      <c r="G44" s="94"/>
      <c r="H44" s="95"/>
      <c r="I44" s="95"/>
      <c r="J44" s="95"/>
      <c r="K44" s="22">
        <f>8+32+48+44</f>
        <v>132</v>
      </c>
      <c r="L44" s="18">
        <f>7+30+45</f>
        <v>82</v>
      </c>
      <c r="M44" s="18">
        <f>3+10</f>
        <v>13</v>
      </c>
      <c r="N44" s="98"/>
      <c r="O44" s="19">
        <f t="shared" si="0"/>
        <v>69</v>
      </c>
      <c r="P44" s="22">
        <f>3+10+12</f>
        <v>25</v>
      </c>
      <c r="Q44" s="100"/>
      <c r="R44" s="86"/>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7"/>
      <c r="AZ44" s="107"/>
      <c r="BA44" s="107"/>
      <c r="BB44" s="107"/>
      <c r="BC44" s="107"/>
      <c r="BD44" s="107"/>
      <c r="BE44" s="103"/>
      <c r="BF44" s="105"/>
      <c r="BG44" s="105"/>
    </row>
    <row r="45" spans="1:59" ht="24.75" customHeight="1">
      <c r="A45" s="111" t="s">
        <v>15</v>
      </c>
      <c r="B45" s="112"/>
      <c r="C45" s="112"/>
      <c r="D45" s="112"/>
      <c r="E45" s="112"/>
      <c r="F45" s="112"/>
      <c r="G45" s="112"/>
      <c r="H45" s="112"/>
      <c r="I45" s="113"/>
      <c r="J45" s="5">
        <f>SUM(J5:J44)</f>
        <v>20645</v>
      </c>
      <c r="K45" s="5">
        <f>+SUMPRODUCT(((MOD(ROW(K5:K44),2)=1)*(K5:K44)))</f>
        <v>1107</v>
      </c>
      <c r="L45" s="5">
        <f>+SUMPRODUCT(((MOD(ROW(L5:L44),2)=1)*(L5:L44)))</f>
        <v>1477</v>
      </c>
      <c r="M45" s="5">
        <f>+SUMPRODUCT(((MOD(ROW(M5:M44),2)=1)*(M5:M44)))</f>
        <v>439</v>
      </c>
      <c r="N45" s="23">
        <f>O45/L45</f>
        <v>0.70277589708869326</v>
      </c>
      <c r="O45" s="5">
        <f>+SUMPRODUCT(((MOD(ROW(O5:O44),2)=1)*(O5:O44)))</f>
        <v>1038</v>
      </c>
      <c r="P45" s="5">
        <f>+SUMPRODUCT(((MOD(ROW(P5:P44),2)=1)*(P5:P44)))</f>
        <v>1238</v>
      </c>
      <c r="Q45" s="5">
        <f>+SUMPRODUCT(((MOD(ROW(Q5:Q44),2)=1)*(Q5:Q44)))</f>
        <v>2044</v>
      </c>
      <c r="R45" s="29"/>
      <c r="S45" s="5">
        <f t="shared" ref="S45:BG45" si="20">SUM(S5:S44)</f>
        <v>104</v>
      </c>
      <c r="T45" s="5">
        <f t="shared" si="20"/>
        <v>193</v>
      </c>
      <c r="U45" s="5">
        <f t="shared" si="20"/>
        <v>28</v>
      </c>
      <c r="V45" s="5">
        <f t="shared" si="20"/>
        <v>0</v>
      </c>
      <c r="W45" s="5">
        <f t="shared" si="20"/>
        <v>0</v>
      </c>
      <c r="X45" s="5">
        <f t="shared" si="20"/>
        <v>13</v>
      </c>
      <c r="Y45" s="5">
        <f t="shared" si="20"/>
        <v>3</v>
      </c>
      <c r="Z45" s="5">
        <f t="shared" si="20"/>
        <v>0</v>
      </c>
      <c r="AA45" s="5">
        <f t="shared" si="20"/>
        <v>0</v>
      </c>
      <c r="AB45" s="5">
        <f t="shared" si="20"/>
        <v>0</v>
      </c>
      <c r="AC45" s="5">
        <f t="shared" si="20"/>
        <v>127</v>
      </c>
      <c r="AD45" s="5">
        <f t="shared" si="20"/>
        <v>10</v>
      </c>
      <c r="AE45" s="5">
        <f t="shared" si="20"/>
        <v>58</v>
      </c>
      <c r="AF45" s="5">
        <f t="shared" si="20"/>
        <v>85</v>
      </c>
      <c r="AG45" s="5">
        <f t="shared" si="20"/>
        <v>111</v>
      </c>
      <c r="AH45" s="5">
        <f t="shared" si="20"/>
        <v>99</v>
      </c>
      <c r="AI45" s="5">
        <f t="shared" si="20"/>
        <v>0</v>
      </c>
      <c r="AJ45" s="5">
        <f t="shared" si="20"/>
        <v>0</v>
      </c>
      <c r="AK45" s="5">
        <f t="shared" si="20"/>
        <v>0</v>
      </c>
      <c r="AL45" s="5">
        <f t="shared" si="20"/>
        <v>207</v>
      </c>
      <c r="AM45" s="5">
        <f t="shared" si="20"/>
        <v>0</v>
      </c>
      <c r="AN45" s="5">
        <f t="shared" si="20"/>
        <v>0</v>
      </c>
      <c r="AO45" s="5">
        <f t="shared" si="20"/>
        <v>0</v>
      </c>
      <c r="AP45" s="5">
        <f t="shared" si="20"/>
        <v>0</v>
      </c>
      <c r="AQ45" s="5">
        <f t="shared" si="20"/>
        <v>0</v>
      </c>
      <c r="AR45" s="5">
        <f t="shared" si="20"/>
        <v>0</v>
      </c>
      <c r="AS45" s="5">
        <f t="shared" si="20"/>
        <v>0</v>
      </c>
      <c r="AT45" s="5">
        <f t="shared" si="20"/>
        <v>0</v>
      </c>
      <c r="AU45" s="5">
        <f t="shared" si="20"/>
        <v>0</v>
      </c>
      <c r="AV45" s="5">
        <f t="shared" si="20"/>
        <v>0</v>
      </c>
      <c r="AW45" s="5">
        <f t="shared" si="20"/>
        <v>0</v>
      </c>
      <c r="AX45" s="5">
        <f t="shared" si="20"/>
        <v>0</v>
      </c>
      <c r="AY45" s="5">
        <f t="shared" si="20"/>
        <v>0</v>
      </c>
      <c r="AZ45" s="5">
        <f t="shared" si="20"/>
        <v>0</v>
      </c>
      <c r="BA45" s="5">
        <f t="shared" si="20"/>
        <v>0</v>
      </c>
      <c r="BB45" s="5">
        <f t="shared" si="20"/>
        <v>0</v>
      </c>
      <c r="BC45" s="5">
        <f t="shared" si="20"/>
        <v>0</v>
      </c>
      <c r="BD45" s="5">
        <f t="shared" si="20"/>
        <v>0</v>
      </c>
      <c r="BE45" s="5">
        <f t="shared" si="20"/>
        <v>0</v>
      </c>
      <c r="BF45" s="5">
        <f t="shared" si="20"/>
        <v>0</v>
      </c>
      <c r="BG45" s="5">
        <f t="shared" si="20"/>
        <v>0</v>
      </c>
    </row>
    <row r="46" spans="1:59" s="17" customFormat="1" ht="15.75" hidden="1" customHeight="1">
      <c r="A46" s="85"/>
      <c r="B46" s="87"/>
      <c r="C46" s="89"/>
      <c r="D46" s="91"/>
      <c r="E46" s="89"/>
      <c r="F46" s="89"/>
      <c r="G46" s="93"/>
      <c r="H46" s="90"/>
      <c r="I46" s="90"/>
      <c r="J46" s="90"/>
      <c r="K46" s="20"/>
      <c r="L46" s="20"/>
      <c r="M46" s="20"/>
      <c r="N46" s="97" t="e">
        <f>O47/L47</f>
        <v>#DIV/0!</v>
      </c>
      <c r="O46" s="21">
        <f>+L46-M46</f>
        <v>0</v>
      </c>
      <c r="P46" s="27">
        <v>0</v>
      </c>
      <c r="Q46" s="99">
        <f>+L47-P47</f>
        <v>0</v>
      </c>
      <c r="R46" s="169"/>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6"/>
      <c r="AZ46" s="106"/>
      <c r="BA46" s="106"/>
      <c r="BB46" s="106"/>
      <c r="BC46" s="106"/>
      <c r="BD46" s="106"/>
      <c r="BE46" s="103"/>
      <c r="BF46" s="104"/>
      <c r="BG46" s="104"/>
    </row>
    <row r="47" spans="1:59" s="17" customFormat="1" ht="15.75" hidden="1" customHeight="1">
      <c r="A47" s="86"/>
      <c r="B47" s="88"/>
      <c r="C47" s="90"/>
      <c r="D47" s="92"/>
      <c r="E47" s="90"/>
      <c r="F47" s="90"/>
      <c r="G47" s="94"/>
      <c r="H47" s="95"/>
      <c r="I47" s="95"/>
      <c r="J47" s="95"/>
      <c r="K47" s="22"/>
      <c r="L47" s="18"/>
      <c r="M47" s="18"/>
      <c r="N47" s="98"/>
      <c r="O47" s="19">
        <f>+L47-M47</f>
        <v>0</v>
      </c>
      <c r="P47" s="22">
        <v>0</v>
      </c>
      <c r="Q47" s="100"/>
      <c r="R47" s="86"/>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7"/>
      <c r="AZ47" s="107"/>
      <c r="BA47" s="107"/>
      <c r="BB47" s="107"/>
      <c r="BC47" s="107"/>
      <c r="BD47" s="107"/>
      <c r="BE47" s="103"/>
      <c r="BF47" s="105"/>
      <c r="BG47" s="105"/>
    </row>
    <row r="48" spans="1:59" s="17" customFormat="1" ht="15.75" hidden="1" customHeight="1">
      <c r="A48" s="101"/>
      <c r="B48" s="114"/>
      <c r="C48" s="116"/>
      <c r="D48" s="118"/>
      <c r="E48" s="116"/>
      <c r="F48" s="116"/>
      <c r="G48" s="120"/>
      <c r="H48" s="90"/>
      <c r="I48" s="90"/>
      <c r="J48" s="90"/>
      <c r="K48" s="20"/>
      <c r="L48" s="20"/>
      <c r="M48" s="20"/>
      <c r="N48" s="97"/>
      <c r="O48" s="21"/>
      <c r="P48" s="27"/>
      <c r="Q48" s="99"/>
      <c r="R48" s="110"/>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6"/>
      <c r="AZ48" s="106"/>
      <c r="BA48" s="106"/>
      <c r="BB48" s="106"/>
      <c r="BC48" s="106"/>
      <c r="BD48" s="106"/>
      <c r="BE48" s="103"/>
      <c r="BF48" s="104"/>
      <c r="BG48" s="104"/>
    </row>
    <row r="49" spans="1:59" s="17" customFormat="1" ht="15.75" hidden="1" customHeight="1">
      <c r="A49" s="102"/>
      <c r="B49" s="115"/>
      <c r="C49" s="117"/>
      <c r="D49" s="119"/>
      <c r="E49" s="117"/>
      <c r="F49" s="117"/>
      <c r="G49" s="121"/>
      <c r="H49" s="95"/>
      <c r="I49" s="95"/>
      <c r="J49" s="95"/>
      <c r="K49" s="22"/>
      <c r="L49" s="18"/>
      <c r="M49" s="18"/>
      <c r="N49" s="98"/>
      <c r="O49" s="19"/>
      <c r="P49" s="22"/>
      <c r="Q49" s="100"/>
      <c r="R49" s="102"/>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7"/>
      <c r="AZ49" s="107"/>
      <c r="BA49" s="107"/>
      <c r="BB49" s="107"/>
      <c r="BC49" s="107"/>
      <c r="BD49" s="107"/>
      <c r="BE49" s="103"/>
      <c r="BF49" s="105"/>
      <c r="BG49" s="105"/>
    </row>
    <row r="50" spans="1:59" s="17" customFormat="1" ht="15.75" hidden="1" customHeight="1">
      <c r="A50" s="101"/>
      <c r="B50" s="114"/>
      <c r="C50" s="116"/>
      <c r="D50" s="118"/>
      <c r="E50" s="116"/>
      <c r="F50" s="116"/>
      <c r="G50" s="120"/>
      <c r="H50" s="90"/>
      <c r="I50" s="90"/>
      <c r="J50" s="90"/>
      <c r="K50" s="20"/>
      <c r="L50" s="20"/>
      <c r="M50" s="20"/>
      <c r="N50" s="97"/>
      <c r="O50" s="21"/>
      <c r="P50" s="27"/>
      <c r="Q50" s="99"/>
      <c r="R50" s="110"/>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6"/>
      <c r="AZ50" s="106"/>
      <c r="BA50" s="106"/>
      <c r="BB50" s="106"/>
      <c r="BC50" s="106"/>
      <c r="BD50" s="106"/>
      <c r="BE50" s="103"/>
      <c r="BF50" s="104"/>
      <c r="BG50" s="104"/>
    </row>
    <row r="51" spans="1:59" s="17" customFormat="1" ht="15.75" hidden="1" customHeight="1">
      <c r="A51" s="102"/>
      <c r="B51" s="115"/>
      <c r="C51" s="117"/>
      <c r="D51" s="119"/>
      <c r="E51" s="117"/>
      <c r="F51" s="117"/>
      <c r="G51" s="121"/>
      <c r="H51" s="95"/>
      <c r="I51" s="95"/>
      <c r="J51" s="95"/>
      <c r="K51" s="22"/>
      <c r="L51" s="18"/>
      <c r="M51" s="18"/>
      <c r="N51" s="98"/>
      <c r="O51" s="19"/>
      <c r="P51" s="22"/>
      <c r="Q51" s="100"/>
      <c r="R51" s="102"/>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7"/>
      <c r="AZ51" s="107"/>
      <c r="BA51" s="107"/>
      <c r="BB51" s="107"/>
      <c r="BC51" s="107"/>
      <c r="BD51" s="107"/>
      <c r="BE51" s="103"/>
      <c r="BF51" s="105"/>
      <c r="BG51" s="105"/>
    </row>
    <row r="52" spans="1:59" ht="24.75" hidden="1" customHeight="1">
      <c r="A52" s="111" t="s">
        <v>48</v>
      </c>
      <c r="B52" s="112"/>
      <c r="C52" s="112"/>
      <c r="D52" s="112"/>
      <c r="E52" s="112"/>
      <c r="F52" s="112"/>
      <c r="G52" s="112"/>
      <c r="H52" s="112"/>
      <c r="I52" s="113"/>
      <c r="J52" s="5">
        <f>SUM(J46:J51)</f>
        <v>0</v>
      </c>
      <c r="K52" s="5">
        <f>+SUMPRODUCT(((MOD(ROW(K46:K51),2)=0)*(K46:K51)))</f>
        <v>0</v>
      </c>
      <c r="L52" s="5">
        <f>+SUMPRODUCT(((MOD(ROW(L46:L51),2)=0)*(L46:L51)))</f>
        <v>0</v>
      </c>
      <c r="M52" s="5">
        <f>+SUMPRODUCT(((MOD(ROW(M46:M51),2)=0)*(M46:M51)))</f>
        <v>0</v>
      </c>
      <c r="N52" s="23" t="e">
        <f>O52/L52</f>
        <v>#DIV/0!</v>
      </c>
      <c r="O52" s="5">
        <f>+SUMPRODUCT(((MOD(ROW(O46:O51),2)=0)*(O46:O51)))</f>
        <v>0</v>
      </c>
      <c r="P52" s="5">
        <f>+SUMPRODUCT(((MOD(ROW(P46:P51),2)=0)*(P46:P51)))</f>
        <v>0</v>
      </c>
      <c r="Q52" s="29">
        <f>SUM(Q46:Q51)</f>
        <v>0</v>
      </c>
      <c r="R52" s="29"/>
      <c r="S52" s="5">
        <f t="shared" ref="S52:BG52" si="21">SUM(S46:S51)</f>
        <v>0</v>
      </c>
      <c r="T52" s="5">
        <f t="shared" si="21"/>
        <v>0</v>
      </c>
      <c r="U52" s="5">
        <f t="shared" si="21"/>
        <v>0</v>
      </c>
      <c r="V52" s="5">
        <f t="shared" si="21"/>
        <v>0</v>
      </c>
      <c r="W52" s="5">
        <f t="shared" si="21"/>
        <v>0</v>
      </c>
      <c r="X52" s="5">
        <f t="shared" si="21"/>
        <v>0</v>
      </c>
      <c r="Y52" s="5">
        <f t="shared" si="21"/>
        <v>0</v>
      </c>
      <c r="Z52" s="5">
        <f t="shared" si="21"/>
        <v>0</v>
      </c>
      <c r="AA52" s="5">
        <f t="shared" si="21"/>
        <v>0</v>
      </c>
      <c r="AB52" s="5">
        <f t="shared" si="21"/>
        <v>0</v>
      </c>
      <c r="AC52" s="5">
        <f t="shared" si="21"/>
        <v>0</v>
      </c>
      <c r="AD52" s="5">
        <f t="shared" si="21"/>
        <v>0</v>
      </c>
      <c r="AE52" s="5">
        <f t="shared" si="21"/>
        <v>0</v>
      </c>
      <c r="AF52" s="5">
        <f t="shared" si="21"/>
        <v>0</v>
      </c>
      <c r="AG52" s="5">
        <f t="shared" si="21"/>
        <v>0</v>
      </c>
      <c r="AH52" s="5">
        <f t="shared" si="21"/>
        <v>0</v>
      </c>
      <c r="AI52" s="5">
        <f t="shared" si="21"/>
        <v>0</v>
      </c>
      <c r="AJ52" s="5">
        <f t="shared" si="21"/>
        <v>0</v>
      </c>
      <c r="AK52" s="5">
        <f t="shared" si="21"/>
        <v>0</v>
      </c>
      <c r="AL52" s="5">
        <f t="shared" si="21"/>
        <v>0</v>
      </c>
      <c r="AM52" s="5">
        <f t="shared" si="21"/>
        <v>0</v>
      </c>
      <c r="AN52" s="5">
        <f t="shared" si="21"/>
        <v>0</v>
      </c>
      <c r="AO52" s="5">
        <f t="shared" si="21"/>
        <v>0</v>
      </c>
      <c r="AP52" s="5">
        <f t="shared" si="21"/>
        <v>0</v>
      </c>
      <c r="AQ52" s="5">
        <f t="shared" si="21"/>
        <v>0</v>
      </c>
      <c r="AR52" s="5">
        <f t="shared" si="21"/>
        <v>0</v>
      </c>
      <c r="AS52" s="5">
        <f t="shared" si="21"/>
        <v>0</v>
      </c>
      <c r="AT52" s="5">
        <f t="shared" si="21"/>
        <v>0</v>
      </c>
      <c r="AU52" s="5">
        <f t="shared" si="21"/>
        <v>0</v>
      </c>
      <c r="AV52" s="5">
        <f t="shared" si="21"/>
        <v>0</v>
      </c>
      <c r="AW52" s="5">
        <f t="shared" si="21"/>
        <v>0</v>
      </c>
      <c r="AX52" s="5">
        <f t="shared" si="21"/>
        <v>0</v>
      </c>
      <c r="AY52" s="5">
        <f t="shared" si="21"/>
        <v>0</v>
      </c>
      <c r="AZ52" s="5">
        <f t="shared" si="21"/>
        <v>0</v>
      </c>
      <c r="BA52" s="5">
        <f t="shared" si="21"/>
        <v>0</v>
      </c>
      <c r="BB52" s="5">
        <f t="shared" si="21"/>
        <v>0</v>
      </c>
      <c r="BC52" s="5">
        <f t="shared" si="21"/>
        <v>0</v>
      </c>
      <c r="BD52" s="5">
        <f t="shared" si="21"/>
        <v>0</v>
      </c>
      <c r="BE52" s="5">
        <f t="shared" si="21"/>
        <v>0</v>
      </c>
      <c r="BF52" s="5">
        <f t="shared" si="21"/>
        <v>0</v>
      </c>
      <c r="BG52" s="5">
        <f t="shared" si="21"/>
        <v>0</v>
      </c>
    </row>
    <row r="53" spans="1:59" s="17" customFormat="1" ht="15.75" hidden="1" customHeight="1">
      <c r="A53" s="85"/>
      <c r="B53" s="87"/>
      <c r="C53" s="89"/>
      <c r="D53" s="91"/>
      <c r="E53" s="89"/>
      <c r="F53" s="89"/>
      <c r="G53" s="93"/>
      <c r="H53" s="90"/>
      <c r="I53" s="90"/>
      <c r="J53" s="90"/>
      <c r="K53" s="20"/>
      <c r="L53" s="20"/>
      <c r="M53" s="20"/>
      <c r="N53" s="97"/>
      <c r="O53" s="21"/>
      <c r="P53" s="27"/>
      <c r="Q53" s="99"/>
      <c r="R53" s="110"/>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5.75" hidden="1" customHeight="1">
      <c r="A54" s="86"/>
      <c r="B54" s="88"/>
      <c r="C54" s="90"/>
      <c r="D54" s="92"/>
      <c r="E54" s="90"/>
      <c r="F54" s="90"/>
      <c r="G54" s="94"/>
      <c r="H54" s="95"/>
      <c r="I54" s="95"/>
      <c r="J54" s="95"/>
      <c r="K54" s="22"/>
      <c r="L54" s="18"/>
      <c r="M54" s="18"/>
      <c r="N54" s="98"/>
      <c r="O54" s="19"/>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5.75" hidden="1" customHeight="1">
      <c r="A55" s="101"/>
      <c r="B55" s="114"/>
      <c r="C55" s="116"/>
      <c r="D55" s="118"/>
      <c r="E55" s="118"/>
      <c r="F55" s="116"/>
      <c r="G55" s="120"/>
      <c r="H55" s="90"/>
      <c r="I55" s="90"/>
      <c r="J55" s="90"/>
      <c r="K55" s="20"/>
      <c r="L55" s="20"/>
      <c r="M55" s="20"/>
      <c r="N55" s="97" t="e">
        <f>O56/L56</f>
        <v>#DIV/0!</v>
      </c>
      <c r="O55" s="21">
        <f t="shared" ref="O55:O62" si="22">L55-M55</f>
        <v>0</v>
      </c>
      <c r="P55" s="27"/>
      <c r="Q55" s="99">
        <f>+L56-P56</f>
        <v>0</v>
      </c>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102"/>
      <c r="B56" s="115"/>
      <c r="C56" s="117"/>
      <c r="D56" s="119"/>
      <c r="E56" s="119"/>
      <c r="F56" s="117"/>
      <c r="G56" s="121"/>
      <c r="H56" s="95"/>
      <c r="I56" s="95"/>
      <c r="J56" s="95"/>
      <c r="K56" s="22"/>
      <c r="L56" s="18"/>
      <c r="M56" s="18"/>
      <c r="N56" s="98"/>
      <c r="O56" s="19">
        <f t="shared" si="22"/>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si="22"/>
        <v>0</v>
      </c>
      <c r="P57" s="27"/>
      <c r="Q57" s="99">
        <f>+L58-P58</f>
        <v>0</v>
      </c>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22"/>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90"/>
      <c r="I59" s="90"/>
      <c r="J59" s="90"/>
      <c r="K59" s="20"/>
      <c r="L59" s="20"/>
      <c r="M59" s="20"/>
      <c r="N59" s="97" t="e">
        <f>O60/L60</f>
        <v>#DIV/0!</v>
      </c>
      <c r="O59" s="21">
        <f t="shared" si="22"/>
        <v>0</v>
      </c>
      <c r="P59" s="27"/>
      <c r="Q59" s="99">
        <f>+L60-P60</f>
        <v>0</v>
      </c>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22"/>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8"/>
      <c r="F61" s="116"/>
      <c r="G61" s="120"/>
      <c r="H61" s="109"/>
      <c r="I61" s="90"/>
      <c r="J61" s="90"/>
      <c r="K61" s="20"/>
      <c r="L61" s="20"/>
      <c r="M61" s="20"/>
      <c r="N61" s="97" t="e">
        <f>O62/L62</f>
        <v>#DIV/0!</v>
      </c>
      <c r="O61" s="21">
        <f t="shared" si="22"/>
        <v>0</v>
      </c>
      <c r="P61" s="27"/>
      <c r="Q61" s="99">
        <f>+L62-P62</f>
        <v>0</v>
      </c>
      <c r="R61" s="110"/>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9"/>
      <c r="F62" s="117"/>
      <c r="G62" s="121"/>
      <c r="H62" s="95"/>
      <c r="I62" s="95"/>
      <c r="J62" s="95"/>
      <c r="K62" s="22"/>
      <c r="L62" s="18"/>
      <c r="M62" s="18"/>
      <c r="N62" s="98"/>
      <c r="O62" s="19">
        <f t="shared" si="22"/>
        <v>0</v>
      </c>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s="17" customFormat="1" ht="15.75" hidden="1" customHeight="1">
      <c r="A63" s="101"/>
      <c r="B63" s="114"/>
      <c r="C63" s="116"/>
      <c r="D63" s="118"/>
      <c r="E63" s="116"/>
      <c r="F63" s="116"/>
      <c r="G63" s="120"/>
      <c r="H63" s="90"/>
      <c r="I63" s="90"/>
      <c r="J63" s="90"/>
      <c r="K63" s="20"/>
      <c r="L63" s="20"/>
      <c r="M63" s="20"/>
      <c r="N63" s="97" t="e">
        <f>O64/L64</f>
        <v>#DIV/0!</v>
      </c>
      <c r="O63" s="21"/>
      <c r="P63" s="27"/>
      <c r="Q63" s="99"/>
      <c r="R63" s="110"/>
      <c r="S63" s="96"/>
      <c r="T63" s="96"/>
      <c r="U63" s="96"/>
      <c r="V63" s="96"/>
      <c r="W63" s="96"/>
      <c r="X63" s="96"/>
      <c r="Y63" s="96"/>
      <c r="Z63" s="96"/>
      <c r="AA63" s="96"/>
      <c r="AB63" s="96"/>
      <c r="AC63" s="96"/>
      <c r="AD63" s="96"/>
      <c r="AE63" s="96"/>
      <c r="AF63" s="96"/>
      <c r="AG63" s="96"/>
      <c r="AH63" s="96"/>
      <c r="AI63" s="96"/>
      <c r="AJ63" s="96"/>
      <c r="AK63" s="96"/>
      <c r="AL63" s="96"/>
      <c r="AM63" s="103"/>
      <c r="AN63" s="103"/>
      <c r="AO63" s="103"/>
      <c r="AP63" s="103"/>
      <c r="AQ63" s="103"/>
      <c r="AR63" s="103"/>
      <c r="AS63" s="103"/>
      <c r="AT63" s="103"/>
      <c r="AU63" s="103"/>
      <c r="AV63" s="103"/>
      <c r="AW63" s="103"/>
      <c r="AX63" s="103"/>
      <c r="AY63" s="106"/>
      <c r="AZ63" s="106"/>
      <c r="BA63" s="106"/>
      <c r="BB63" s="106"/>
      <c r="BC63" s="106"/>
      <c r="BD63" s="106"/>
      <c r="BE63" s="103"/>
      <c r="BF63" s="104"/>
      <c r="BG63" s="104"/>
    </row>
    <row r="64" spans="1:59" s="17" customFormat="1" ht="15.75" hidden="1" customHeight="1">
      <c r="A64" s="102"/>
      <c r="B64" s="115"/>
      <c r="C64" s="117"/>
      <c r="D64" s="119"/>
      <c r="E64" s="117"/>
      <c r="F64" s="117"/>
      <c r="G64" s="121"/>
      <c r="H64" s="95"/>
      <c r="I64" s="95"/>
      <c r="J64" s="95"/>
      <c r="K64" s="22"/>
      <c r="L64" s="18"/>
      <c r="M64" s="18"/>
      <c r="N64" s="98"/>
      <c r="O64" s="19"/>
      <c r="P64" s="22"/>
      <c r="Q64" s="100"/>
      <c r="R64" s="102"/>
      <c r="S64" s="96"/>
      <c r="T64" s="96"/>
      <c r="U64" s="96"/>
      <c r="V64" s="96"/>
      <c r="W64" s="96"/>
      <c r="X64" s="96"/>
      <c r="Y64" s="96"/>
      <c r="Z64" s="96"/>
      <c r="AA64" s="96"/>
      <c r="AB64" s="96"/>
      <c r="AC64" s="96"/>
      <c r="AD64" s="96"/>
      <c r="AE64" s="96"/>
      <c r="AF64" s="96"/>
      <c r="AG64" s="96"/>
      <c r="AH64" s="96"/>
      <c r="AI64" s="96"/>
      <c r="AJ64" s="96"/>
      <c r="AK64" s="96"/>
      <c r="AL64" s="96"/>
      <c r="AM64" s="103"/>
      <c r="AN64" s="103"/>
      <c r="AO64" s="103"/>
      <c r="AP64" s="103"/>
      <c r="AQ64" s="103"/>
      <c r="AR64" s="103"/>
      <c r="AS64" s="103"/>
      <c r="AT64" s="103"/>
      <c r="AU64" s="103"/>
      <c r="AV64" s="103"/>
      <c r="AW64" s="103"/>
      <c r="AX64" s="103"/>
      <c r="AY64" s="107"/>
      <c r="AZ64" s="107"/>
      <c r="BA64" s="107"/>
      <c r="BB64" s="107"/>
      <c r="BC64" s="107"/>
      <c r="BD64" s="107"/>
      <c r="BE64" s="103"/>
      <c r="BF64" s="105"/>
      <c r="BG64" s="105"/>
    </row>
    <row r="65" spans="1:59" ht="24.75" hidden="1" customHeight="1">
      <c r="A65" s="111" t="s">
        <v>74</v>
      </c>
      <c r="B65" s="112"/>
      <c r="C65" s="112"/>
      <c r="D65" s="112"/>
      <c r="E65" s="112"/>
      <c r="F65" s="112"/>
      <c r="G65" s="112"/>
      <c r="H65" s="112"/>
      <c r="I65" s="113"/>
      <c r="J65" s="5">
        <f>+SUMPRODUCT(((MOD(ROW(J53:J64),2)=1)*(J53:J64)))</f>
        <v>0</v>
      </c>
      <c r="K65" s="5">
        <f>+SUMPRODUCT(((MOD(ROW(K53:K64),2)=1)*(K53:K64)))</f>
        <v>0</v>
      </c>
      <c r="L65" s="5">
        <f>+SUMPRODUCT(((MOD(ROW(L53:L64),2)=1)*(L53:L64)))</f>
        <v>0</v>
      </c>
      <c r="M65" s="5">
        <f>+SUMPRODUCT(((MOD(ROW(M53:M64),2)=1)*(M53:M64)))</f>
        <v>0</v>
      </c>
      <c r="N65" s="23" t="e">
        <f>O65/L65</f>
        <v>#DIV/0!</v>
      </c>
      <c r="O65" s="5">
        <f>+SUMPRODUCT(((MOD(ROW(O53:O64),2)=1)*(O53:O64)))</f>
        <v>0</v>
      </c>
      <c r="P65" s="5">
        <f>+SUMPRODUCT(((MOD(ROW(P53:P64),2)=1)*(P53:P64)))</f>
        <v>0</v>
      </c>
      <c r="Q65" s="29">
        <f>SUM(Q53:Q64)</f>
        <v>0</v>
      </c>
      <c r="R65" s="29"/>
      <c r="S65" s="5">
        <f t="shared" ref="S65:BG65" si="23">SUM(S53:S64)</f>
        <v>0</v>
      </c>
      <c r="T65" s="5">
        <f t="shared" si="23"/>
        <v>0</v>
      </c>
      <c r="U65" s="5">
        <f t="shared" si="23"/>
        <v>0</v>
      </c>
      <c r="V65" s="5">
        <f t="shared" si="23"/>
        <v>0</v>
      </c>
      <c r="W65" s="5">
        <f t="shared" si="23"/>
        <v>0</v>
      </c>
      <c r="X65" s="5">
        <f t="shared" si="23"/>
        <v>0</v>
      </c>
      <c r="Y65" s="5">
        <f t="shared" si="23"/>
        <v>0</v>
      </c>
      <c r="Z65" s="5">
        <f t="shared" si="23"/>
        <v>0</v>
      </c>
      <c r="AA65" s="5">
        <f t="shared" si="23"/>
        <v>0</v>
      </c>
      <c r="AB65" s="5">
        <f t="shared" si="23"/>
        <v>0</v>
      </c>
      <c r="AC65" s="5">
        <f t="shared" si="23"/>
        <v>0</v>
      </c>
      <c r="AD65" s="5">
        <f t="shared" si="23"/>
        <v>0</v>
      </c>
      <c r="AE65" s="5">
        <f t="shared" si="23"/>
        <v>0</v>
      </c>
      <c r="AF65" s="5">
        <f t="shared" si="23"/>
        <v>0</v>
      </c>
      <c r="AG65" s="5">
        <f t="shared" si="23"/>
        <v>0</v>
      </c>
      <c r="AH65" s="5">
        <f t="shared" si="23"/>
        <v>0</v>
      </c>
      <c r="AI65" s="5">
        <f t="shared" si="23"/>
        <v>0</v>
      </c>
      <c r="AJ65" s="5">
        <f t="shared" si="23"/>
        <v>0</v>
      </c>
      <c r="AK65" s="5">
        <f t="shared" si="23"/>
        <v>0</v>
      </c>
      <c r="AL65" s="5">
        <f t="shared" si="23"/>
        <v>0</v>
      </c>
      <c r="AM65" s="5">
        <f t="shared" si="23"/>
        <v>0</v>
      </c>
      <c r="AN65" s="5">
        <f t="shared" si="23"/>
        <v>0</v>
      </c>
      <c r="AO65" s="5">
        <f t="shared" si="23"/>
        <v>0</v>
      </c>
      <c r="AP65" s="5">
        <f t="shared" si="23"/>
        <v>0</v>
      </c>
      <c r="AQ65" s="5">
        <f t="shared" si="23"/>
        <v>0</v>
      </c>
      <c r="AR65" s="5">
        <f t="shared" si="23"/>
        <v>0</v>
      </c>
      <c r="AS65" s="5">
        <f t="shared" si="23"/>
        <v>0</v>
      </c>
      <c r="AT65" s="5">
        <f t="shared" si="23"/>
        <v>0</v>
      </c>
      <c r="AU65" s="5">
        <f t="shared" si="23"/>
        <v>0</v>
      </c>
      <c r="AV65" s="5">
        <f t="shared" si="23"/>
        <v>0</v>
      </c>
      <c r="AW65" s="5">
        <f t="shared" si="23"/>
        <v>0</v>
      </c>
      <c r="AX65" s="5">
        <f t="shared" si="23"/>
        <v>0</v>
      </c>
      <c r="AY65" s="5">
        <f t="shared" si="23"/>
        <v>0</v>
      </c>
      <c r="AZ65" s="5">
        <f t="shared" si="23"/>
        <v>0</v>
      </c>
      <c r="BA65" s="5">
        <f t="shared" si="23"/>
        <v>0</v>
      </c>
      <c r="BB65" s="5">
        <f t="shared" si="23"/>
        <v>0</v>
      </c>
      <c r="BC65" s="5">
        <f t="shared" si="23"/>
        <v>0</v>
      </c>
      <c r="BD65" s="5">
        <f t="shared" si="23"/>
        <v>0</v>
      </c>
      <c r="BE65" s="5">
        <f t="shared" si="23"/>
        <v>0</v>
      </c>
      <c r="BF65" s="5">
        <f t="shared" si="23"/>
        <v>0</v>
      </c>
      <c r="BG65" s="5">
        <f t="shared" si="23"/>
        <v>0</v>
      </c>
    </row>
    <row r="66" spans="1:59" ht="24.75" customHeight="1">
      <c r="A66" s="122" t="s">
        <v>5</v>
      </c>
      <c r="B66" s="122"/>
      <c r="C66" s="122"/>
      <c r="D66" s="122"/>
      <c r="E66" s="122"/>
      <c r="F66" s="122"/>
      <c r="G66" s="122"/>
      <c r="H66" s="122"/>
      <c r="I66" s="122"/>
      <c r="J66" s="30">
        <f>J45+J65+J52</f>
        <v>20645</v>
      </c>
      <c r="K66" s="51">
        <f>K45+K52+K65</f>
        <v>1107</v>
      </c>
      <c r="L66" s="51">
        <f>L45+L52+L65</f>
        <v>1477</v>
      </c>
      <c r="M66" s="51">
        <f>M45+M52+M65</f>
        <v>439</v>
      </c>
      <c r="N66" s="32">
        <f>O66/L66</f>
        <v>0.70277589708869326</v>
      </c>
      <c r="O66" s="51">
        <f>O45+O52+O65</f>
        <v>1038</v>
      </c>
      <c r="P66" s="51">
        <f>P45+P52+P65</f>
        <v>1238</v>
      </c>
      <c r="Q66" s="51">
        <f>Q45+Q52+Q65</f>
        <v>2044</v>
      </c>
      <c r="R66" s="51"/>
      <c r="S66" s="51">
        <f t="shared" ref="S66:BG66" si="24">S45+S52+S65</f>
        <v>104</v>
      </c>
      <c r="T66" s="51">
        <f t="shared" si="24"/>
        <v>193</v>
      </c>
      <c r="U66" s="51">
        <f t="shared" si="24"/>
        <v>28</v>
      </c>
      <c r="V66" s="51">
        <f t="shared" si="24"/>
        <v>0</v>
      </c>
      <c r="W66" s="51">
        <f t="shared" si="24"/>
        <v>0</v>
      </c>
      <c r="X66" s="51">
        <f t="shared" si="24"/>
        <v>13</v>
      </c>
      <c r="Y66" s="51">
        <f t="shared" si="24"/>
        <v>3</v>
      </c>
      <c r="Z66" s="51">
        <f t="shared" si="24"/>
        <v>0</v>
      </c>
      <c r="AA66" s="51">
        <f t="shared" si="24"/>
        <v>0</v>
      </c>
      <c r="AB66" s="51">
        <f t="shared" si="24"/>
        <v>0</v>
      </c>
      <c r="AC66" s="51">
        <f t="shared" si="24"/>
        <v>127</v>
      </c>
      <c r="AD66" s="51">
        <f t="shared" si="24"/>
        <v>10</v>
      </c>
      <c r="AE66" s="51">
        <f t="shared" si="24"/>
        <v>58</v>
      </c>
      <c r="AF66" s="51">
        <f t="shared" si="24"/>
        <v>85</v>
      </c>
      <c r="AG66" s="51">
        <f t="shared" si="24"/>
        <v>111</v>
      </c>
      <c r="AH66" s="51">
        <f t="shared" si="24"/>
        <v>99</v>
      </c>
      <c r="AI66" s="51">
        <f t="shared" si="24"/>
        <v>0</v>
      </c>
      <c r="AJ66" s="51">
        <f t="shared" si="24"/>
        <v>0</v>
      </c>
      <c r="AK66" s="51">
        <f t="shared" si="24"/>
        <v>0</v>
      </c>
      <c r="AL66" s="51">
        <f t="shared" si="24"/>
        <v>207</v>
      </c>
      <c r="AM66" s="51">
        <f t="shared" si="24"/>
        <v>0</v>
      </c>
      <c r="AN66" s="51">
        <f t="shared" si="24"/>
        <v>0</v>
      </c>
      <c r="AO66" s="51">
        <f t="shared" si="24"/>
        <v>0</v>
      </c>
      <c r="AP66" s="51">
        <f t="shared" si="24"/>
        <v>0</v>
      </c>
      <c r="AQ66" s="51">
        <f t="shared" si="24"/>
        <v>0</v>
      </c>
      <c r="AR66" s="51">
        <f t="shared" si="24"/>
        <v>0</v>
      </c>
      <c r="AS66" s="51">
        <f t="shared" si="24"/>
        <v>0</v>
      </c>
      <c r="AT66" s="51">
        <f t="shared" si="24"/>
        <v>0</v>
      </c>
      <c r="AU66" s="51">
        <f t="shared" si="24"/>
        <v>0</v>
      </c>
      <c r="AV66" s="51">
        <f t="shared" si="24"/>
        <v>0</v>
      </c>
      <c r="AW66" s="51">
        <f t="shared" si="24"/>
        <v>0</v>
      </c>
      <c r="AX66" s="51">
        <f t="shared" si="24"/>
        <v>0</v>
      </c>
      <c r="AY66" s="51">
        <f t="shared" si="24"/>
        <v>0</v>
      </c>
      <c r="AZ66" s="51">
        <f t="shared" si="24"/>
        <v>0</v>
      </c>
      <c r="BA66" s="51">
        <f t="shared" si="24"/>
        <v>0</v>
      </c>
      <c r="BB66" s="51">
        <f t="shared" si="24"/>
        <v>0</v>
      </c>
      <c r="BC66" s="51">
        <f t="shared" si="24"/>
        <v>0</v>
      </c>
      <c r="BD66" s="51">
        <f t="shared" si="24"/>
        <v>0</v>
      </c>
      <c r="BE66" s="51">
        <f t="shared" si="24"/>
        <v>0</v>
      </c>
      <c r="BF66" s="51">
        <f t="shared" si="24"/>
        <v>0</v>
      </c>
      <c r="BG66" s="51">
        <f t="shared" si="24"/>
        <v>0</v>
      </c>
    </row>
    <row r="67" spans="1:59" ht="31.8">
      <c r="A67" s="81" t="s">
        <v>36</v>
      </c>
      <c r="B67" s="81"/>
      <c r="C67" s="81"/>
      <c r="D67" s="81"/>
      <c r="E67" s="81"/>
      <c r="F67" s="81"/>
      <c r="G67" s="81"/>
      <c r="H67" s="81"/>
      <c r="I67" s="81"/>
      <c r="J67" s="81"/>
      <c r="K67" s="81"/>
      <c r="L67" s="81"/>
      <c r="M67" s="81"/>
      <c r="N67" s="81"/>
      <c r="O67" s="81"/>
      <c r="P67" s="24"/>
      <c r="Q67" s="24"/>
      <c r="R67" s="24"/>
      <c r="AM67" s="34"/>
      <c r="AN67" s="34"/>
      <c r="AO67" s="34"/>
      <c r="AP67" s="34"/>
      <c r="AQ67" s="34"/>
      <c r="AR67" s="34"/>
      <c r="AS67" s="34"/>
      <c r="AT67" s="34"/>
      <c r="AU67" s="34"/>
      <c r="AV67" s="34"/>
      <c r="AW67" s="34"/>
      <c r="AX67" s="34"/>
      <c r="AY67" s="34"/>
      <c r="AZ67" s="34"/>
      <c r="BA67" s="34"/>
      <c r="BB67" s="34"/>
      <c r="BC67" s="34"/>
      <c r="BD67" s="34"/>
      <c r="BE67" s="34"/>
      <c r="BF67" s="34"/>
      <c r="BG67" s="34"/>
    </row>
    <row r="68" spans="1:59" ht="33.75" customHeight="1">
      <c r="A68" s="82" t="s">
        <v>13</v>
      </c>
      <c r="B68" s="82"/>
      <c r="C68" s="82"/>
      <c r="D68" s="82"/>
      <c r="E68" s="82"/>
      <c r="F68" s="82"/>
      <c r="G68" s="82"/>
      <c r="H68" s="82"/>
      <c r="I68" s="82"/>
      <c r="J68" s="82"/>
      <c r="K68" s="82"/>
      <c r="L68" s="82"/>
      <c r="M68" s="82"/>
      <c r="N68" s="82"/>
      <c r="O68" s="82"/>
      <c r="AM68" s="34"/>
      <c r="AN68" s="34"/>
      <c r="AO68" s="34"/>
      <c r="AP68" s="34"/>
      <c r="AQ68" s="34"/>
      <c r="AR68" s="34"/>
      <c r="AS68" s="34"/>
      <c r="AT68" s="34"/>
      <c r="AU68" s="34"/>
      <c r="AV68" s="34"/>
      <c r="AW68" s="34"/>
      <c r="AX68" s="34"/>
      <c r="AY68" s="34"/>
      <c r="AZ68" s="34"/>
      <c r="BA68" s="34"/>
      <c r="BB68" s="34"/>
      <c r="BC68" s="34"/>
      <c r="BD68" s="34"/>
      <c r="BE68" s="34"/>
      <c r="BF68" s="34"/>
      <c r="BG68" s="34"/>
    </row>
    <row r="69" spans="1:59" ht="62.4">
      <c r="A69" s="9" t="s">
        <v>0</v>
      </c>
      <c r="B69" s="10" t="s">
        <v>34</v>
      </c>
      <c r="C69" s="11" t="s">
        <v>7</v>
      </c>
      <c r="D69" s="12" t="s">
        <v>1</v>
      </c>
      <c r="E69" s="13" t="s">
        <v>4</v>
      </c>
      <c r="F69" s="13" t="s">
        <v>2</v>
      </c>
      <c r="G69" s="13" t="s">
        <v>3</v>
      </c>
      <c r="H69" s="11" t="s">
        <v>6</v>
      </c>
      <c r="I69" s="14" t="s">
        <v>8</v>
      </c>
      <c r="J69" s="14" t="s">
        <v>17</v>
      </c>
      <c r="K69" s="12" t="s">
        <v>9</v>
      </c>
      <c r="L69" s="15" t="s">
        <v>10</v>
      </c>
      <c r="M69" s="15" t="s">
        <v>11</v>
      </c>
      <c r="N69" s="15" t="s">
        <v>12</v>
      </c>
      <c r="O69" s="15" t="s">
        <v>14</v>
      </c>
      <c r="P69" s="26" t="s">
        <v>16</v>
      </c>
      <c r="Q69" s="15" t="s">
        <v>42</v>
      </c>
      <c r="R69" s="15" t="s">
        <v>44</v>
      </c>
      <c r="S69" s="83">
        <v>101</v>
      </c>
      <c r="T69" s="83">
        <v>102</v>
      </c>
      <c r="U69" s="80">
        <v>106</v>
      </c>
      <c r="V69" s="80">
        <v>108</v>
      </c>
      <c r="W69" s="80">
        <v>109</v>
      </c>
      <c r="X69" s="80">
        <v>113</v>
      </c>
      <c r="Y69" s="80">
        <v>114</v>
      </c>
      <c r="Z69" s="80">
        <v>115</v>
      </c>
      <c r="AA69" s="80">
        <v>116</v>
      </c>
      <c r="AB69" s="80">
        <v>199</v>
      </c>
      <c r="AC69" s="80">
        <v>201</v>
      </c>
      <c r="AD69" s="80">
        <v>202</v>
      </c>
      <c r="AE69" s="80">
        <v>203</v>
      </c>
      <c r="AF69" s="80">
        <v>205</v>
      </c>
      <c r="AG69" s="80">
        <v>206</v>
      </c>
      <c r="AH69" s="79">
        <v>209</v>
      </c>
      <c r="AI69" s="79">
        <v>212</v>
      </c>
      <c r="AJ69" s="79">
        <v>216</v>
      </c>
      <c r="AK69" s="79">
        <v>217</v>
      </c>
      <c r="AL69" s="79">
        <v>299</v>
      </c>
      <c r="AM69" s="79">
        <v>301</v>
      </c>
      <c r="AN69" s="79">
        <v>302</v>
      </c>
      <c r="AO69" s="79">
        <v>399</v>
      </c>
      <c r="AP69" s="79">
        <v>401</v>
      </c>
      <c r="AQ69" s="79">
        <v>402</v>
      </c>
      <c r="AR69" s="79">
        <v>411</v>
      </c>
      <c r="AS69" s="79">
        <v>412</v>
      </c>
      <c r="AT69" s="79">
        <v>413</v>
      </c>
      <c r="AU69" s="79">
        <v>499</v>
      </c>
      <c r="AV69" s="79">
        <v>501</v>
      </c>
      <c r="AW69" s="79">
        <v>502</v>
      </c>
      <c r="AX69" s="79">
        <v>599</v>
      </c>
      <c r="AY69" s="79">
        <v>604</v>
      </c>
      <c r="AZ69" s="79">
        <v>605</v>
      </c>
      <c r="BA69" s="79">
        <v>699</v>
      </c>
      <c r="BB69" s="79">
        <v>701</v>
      </c>
      <c r="BC69" s="79">
        <v>702</v>
      </c>
      <c r="BD69" s="79">
        <v>703</v>
      </c>
      <c r="BE69" s="79">
        <v>704</v>
      </c>
      <c r="BF69" s="79">
        <v>799</v>
      </c>
      <c r="BG69" s="84">
        <v>999</v>
      </c>
    </row>
    <row r="70" spans="1:59" ht="62.25" customHeight="1">
      <c r="A70" s="10" t="s">
        <v>18</v>
      </c>
      <c r="B70" s="10" t="s">
        <v>19</v>
      </c>
      <c r="C70" s="13" t="s">
        <v>20</v>
      </c>
      <c r="D70" s="12" t="s">
        <v>21</v>
      </c>
      <c r="E70" s="13" t="s">
        <v>22</v>
      </c>
      <c r="F70" s="13" t="s">
        <v>23</v>
      </c>
      <c r="G70" s="13" t="s">
        <v>25</v>
      </c>
      <c r="H70" s="13" t="s">
        <v>24</v>
      </c>
      <c r="I70" s="14" t="s">
        <v>26</v>
      </c>
      <c r="J70" s="14" t="s">
        <v>27</v>
      </c>
      <c r="K70" s="15" t="s">
        <v>28</v>
      </c>
      <c r="L70" s="15" t="s">
        <v>29</v>
      </c>
      <c r="M70" s="15" t="s">
        <v>30</v>
      </c>
      <c r="N70" s="15" t="s">
        <v>32</v>
      </c>
      <c r="O70" s="15" t="s">
        <v>31</v>
      </c>
      <c r="P70" s="26" t="s">
        <v>33</v>
      </c>
      <c r="Q70" s="15" t="s">
        <v>43</v>
      </c>
      <c r="R70" s="15" t="s">
        <v>45</v>
      </c>
      <c r="S70" s="83"/>
      <c r="T70" s="83"/>
      <c r="U70" s="80"/>
      <c r="V70" s="80"/>
      <c r="W70" s="80"/>
      <c r="X70" s="80"/>
      <c r="Y70" s="80"/>
      <c r="Z70" s="80"/>
      <c r="AA70" s="80"/>
      <c r="AB70" s="80"/>
      <c r="AC70" s="80"/>
      <c r="AD70" s="80"/>
      <c r="AE70" s="80"/>
      <c r="AF70" s="80"/>
      <c r="AG70" s="80"/>
      <c r="AH70" s="79"/>
      <c r="AI70" s="79"/>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84"/>
    </row>
    <row r="71" spans="1:59" s="17" customFormat="1" ht="15.75" hidden="1" customHeight="1">
      <c r="A71" s="108"/>
      <c r="B71" s="87"/>
      <c r="C71" s="89"/>
      <c r="D71" s="91"/>
      <c r="E71" s="89"/>
      <c r="F71" s="89"/>
      <c r="G71" s="93"/>
      <c r="H71" s="89"/>
      <c r="I71" s="89"/>
      <c r="J71" s="89"/>
      <c r="K71" s="20"/>
      <c r="L71" s="20"/>
      <c r="M71" s="20"/>
      <c r="N71" s="146" t="e">
        <f>O72/L72</f>
        <v>#DIV/0!</v>
      </c>
      <c r="O71" s="21">
        <f t="shared" ref="O71:O76" si="25">L71-M71</f>
        <v>0</v>
      </c>
      <c r="P71" s="27"/>
      <c r="Q71" s="99">
        <f>+L72-P72</f>
        <v>0</v>
      </c>
      <c r="R71" s="108"/>
      <c r="S71" s="149"/>
      <c r="T71" s="149"/>
      <c r="U71" s="149"/>
      <c r="V71" s="149"/>
      <c r="W71" s="149"/>
      <c r="X71" s="149"/>
      <c r="Y71" s="149"/>
      <c r="Z71" s="149"/>
      <c r="AA71" s="149"/>
      <c r="AB71" s="149"/>
      <c r="AC71" s="149"/>
      <c r="AD71" s="149"/>
      <c r="AE71" s="149"/>
      <c r="AF71" s="149"/>
      <c r="AG71" s="149"/>
      <c r="AH71" s="149"/>
      <c r="AI71" s="149"/>
      <c r="AJ71" s="149"/>
      <c r="AK71" s="149"/>
      <c r="AL71" s="149"/>
      <c r="AM71" s="163"/>
      <c r="AN71" s="163"/>
      <c r="AO71" s="163"/>
      <c r="AP71" s="163"/>
      <c r="AQ71" s="163"/>
      <c r="AR71" s="163"/>
      <c r="AS71" s="163"/>
      <c r="AT71" s="163"/>
      <c r="AU71" s="163"/>
      <c r="AV71" s="163"/>
      <c r="AW71" s="163"/>
      <c r="AX71" s="163"/>
      <c r="AY71" s="167"/>
      <c r="AZ71" s="167"/>
      <c r="BA71" s="167"/>
      <c r="BB71" s="167"/>
      <c r="BC71" s="167"/>
      <c r="BD71" s="161"/>
      <c r="BE71" s="163"/>
      <c r="BF71" s="165"/>
      <c r="BG71" s="165"/>
    </row>
    <row r="72" spans="1:59" s="17" customFormat="1" ht="15.75" hidden="1" customHeight="1">
      <c r="A72" s="85"/>
      <c r="B72" s="88"/>
      <c r="C72" s="90"/>
      <c r="D72" s="92"/>
      <c r="E72" s="90"/>
      <c r="F72" s="90"/>
      <c r="G72" s="94"/>
      <c r="H72" s="90"/>
      <c r="I72" s="90"/>
      <c r="J72" s="90"/>
      <c r="K72" s="22"/>
      <c r="L72" s="18"/>
      <c r="M72" s="18"/>
      <c r="N72" s="147"/>
      <c r="O72" s="19">
        <f t="shared" si="25"/>
        <v>0</v>
      </c>
      <c r="P72" s="22"/>
      <c r="Q72" s="100"/>
      <c r="R72" s="85"/>
      <c r="S72" s="150"/>
      <c r="T72" s="150"/>
      <c r="U72" s="150"/>
      <c r="V72" s="150"/>
      <c r="W72" s="150"/>
      <c r="X72" s="150"/>
      <c r="Y72" s="150"/>
      <c r="Z72" s="150"/>
      <c r="AA72" s="150"/>
      <c r="AB72" s="150"/>
      <c r="AC72" s="150"/>
      <c r="AD72" s="150"/>
      <c r="AE72" s="150"/>
      <c r="AF72" s="150"/>
      <c r="AG72" s="150"/>
      <c r="AH72" s="150"/>
      <c r="AI72" s="150"/>
      <c r="AJ72" s="150"/>
      <c r="AK72" s="150"/>
      <c r="AL72" s="150"/>
      <c r="AM72" s="164"/>
      <c r="AN72" s="164"/>
      <c r="AO72" s="164"/>
      <c r="AP72" s="164"/>
      <c r="AQ72" s="164"/>
      <c r="AR72" s="164"/>
      <c r="AS72" s="164"/>
      <c r="AT72" s="164"/>
      <c r="AU72" s="164"/>
      <c r="AV72" s="164"/>
      <c r="AW72" s="164"/>
      <c r="AX72" s="164"/>
      <c r="AY72" s="168"/>
      <c r="AZ72" s="168"/>
      <c r="BA72" s="168"/>
      <c r="BB72" s="168"/>
      <c r="BC72" s="168"/>
      <c r="BD72" s="162"/>
      <c r="BE72" s="164"/>
      <c r="BF72" s="166"/>
      <c r="BG72" s="166"/>
    </row>
    <row r="73" spans="1:59" s="17" customFormat="1" ht="18" customHeight="1">
      <c r="A73" s="108">
        <v>45272</v>
      </c>
      <c r="B73" s="138" t="s">
        <v>37</v>
      </c>
      <c r="C73" s="90" t="s">
        <v>56</v>
      </c>
      <c r="D73" s="91" t="s">
        <v>38</v>
      </c>
      <c r="E73" s="89">
        <v>84217</v>
      </c>
      <c r="F73" s="89" t="s">
        <v>49</v>
      </c>
      <c r="G73" s="137" t="s">
        <v>61</v>
      </c>
      <c r="H73" s="95" t="s">
        <v>39</v>
      </c>
      <c r="I73" s="90">
        <v>4497</v>
      </c>
      <c r="J73" s="90">
        <v>4097</v>
      </c>
      <c r="K73" s="20">
        <f>131+240</f>
        <v>371</v>
      </c>
      <c r="L73" s="20">
        <f>115+335</f>
        <v>450</v>
      </c>
      <c r="M73" s="20">
        <v>199</v>
      </c>
      <c r="N73" s="97">
        <f>O74/L74</f>
        <v>0.60834724540901508</v>
      </c>
      <c r="O73" s="21">
        <f t="shared" si="25"/>
        <v>251</v>
      </c>
      <c r="P73" s="27">
        <f>173+134</f>
        <v>307</v>
      </c>
      <c r="Q73" s="99">
        <f>+L74-P74</f>
        <v>493</v>
      </c>
      <c r="R73" s="85"/>
      <c r="S73" s="96"/>
      <c r="T73" s="96">
        <v>3</v>
      </c>
      <c r="U73" s="96">
        <f>70+13</f>
        <v>83</v>
      </c>
      <c r="V73" s="96"/>
      <c r="W73" s="96"/>
      <c r="X73" s="96">
        <v>2</v>
      </c>
      <c r="Y73" s="96"/>
      <c r="Z73" s="96"/>
      <c r="AA73" s="96"/>
      <c r="AB73" s="96"/>
      <c r="AC73" s="96">
        <v>55</v>
      </c>
      <c r="AD73" s="96"/>
      <c r="AE73" s="96">
        <v>10</v>
      </c>
      <c r="AF73" s="96">
        <v>15</v>
      </c>
      <c r="AG73" s="96"/>
      <c r="AH73" s="96">
        <v>45</v>
      </c>
      <c r="AI73" s="96"/>
      <c r="AJ73" s="96"/>
      <c r="AK73" s="96"/>
      <c r="AL73" s="96">
        <f>20+18</f>
        <v>38</v>
      </c>
      <c r="AM73" s="103"/>
      <c r="AN73" s="103"/>
      <c r="AO73" s="103"/>
      <c r="AP73" s="103"/>
      <c r="AQ73" s="103"/>
      <c r="AR73" s="103"/>
      <c r="AS73" s="103"/>
      <c r="AT73" s="103"/>
      <c r="AU73" s="103"/>
      <c r="AV73" s="103"/>
      <c r="AW73" s="103"/>
      <c r="AX73" s="103"/>
      <c r="AY73" s="106"/>
      <c r="AZ73" s="106"/>
      <c r="BA73" s="106"/>
      <c r="BB73" s="106"/>
      <c r="BC73" s="106"/>
      <c r="BD73" s="106"/>
      <c r="BE73" s="103"/>
      <c r="BF73" s="104"/>
      <c r="BG73" s="104"/>
    </row>
    <row r="74" spans="1:59" s="17" customFormat="1" ht="17.25" customHeight="1">
      <c r="A74" s="85"/>
      <c r="B74" s="139"/>
      <c r="C74" s="95"/>
      <c r="D74" s="92"/>
      <c r="E74" s="90"/>
      <c r="F74" s="90"/>
      <c r="G74" s="95"/>
      <c r="H74" s="95"/>
      <c r="I74" s="95"/>
      <c r="J74" s="95"/>
      <c r="K74" s="18">
        <f>260+160+50+100+100+240+349+166+150+60+120+30+30+230+80+125+115+200+209+115+50+371</f>
        <v>3310</v>
      </c>
      <c r="L74" s="18">
        <f>260+160+50+100+140+100+240+150+60+370+60+150+75+245+185+200+450</f>
        <v>2995</v>
      </c>
      <c r="M74" s="18">
        <f>120+55+27+40+30+60+87+45+34+74+40+100+40+75+74+73+199</f>
        <v>1173</v>
      </c>
      <c r="N74" s="98"/>
      <c r="O74" s="19">
        <f t="shared" si="25"/>
        <v>1822</v>
      </c>
      <c r="P74" s="22">
        <f>170+70+15+112+30+30+83+50+100+127+218+53+42+60+34+200+66+100+130+190+144+20+151+307</f>
        <v>2502</v>
      </c>
      <c r="Q74" s="100"/>
      <c r="R74" s="86"/>
      <c r="S74" s="96"/>
      <c r="T74" s="96"/>
      <c r="U74" s="96"/>
      <c r="V74" s="96"/>
      <c r="W74" s="96"/>
      <c r="X74" s="96"/>
      <c r="Y74" s="96"/>
      <c r="Z74" s="96"/>
      <c r="AA74" s="96"/>
      <c r="AB74" s="96"/>
      <c r="AC74" s="96"/>
      <c r="AD74" s="96"/>
      <c r="AE74" s="96"/>
      <c r="AF74" s="96"/>
      <c r="AG74" s="96"/>
      <c r="AH74" s="96"/>
      <c r="AI74" s="96"/>
      <c r="AJ74" s="96"/>
      <c r="AK74" s="96"/>
      <c r="AL74" s="96"/>
      <c r="AM74" s="103"/>
      <c r="AN74" s="103"/>
      <c r="AO74" s="103"/>
      <c r="AP74" s="103"/>
      <c r="AQ74" s="103"/>
      <c r="AR74" s="103"/>
      <c r="AS74" s="103"/>
      <c r="AT74" s="103"/>
      <c r="AU74" s="103"/>
      <c r="AV74" s="103"/>
      <c r="AW74" s="103"/>
      <c r="AX74" s="103"/>
      <c r="AY74" s="107"/>
      <c r="AZ74" s="107"/>
      <c r="BA74" s="107"/>
      <c r="BB74" s="107"/>
      <c r="BC74" s="107"/>
      <c r="BD74" s="107"/>
      <c r="BE74" s="103"/>
      <c r="BF74" s="105"/>
      <c r="BG74" s="105"/>
    </row>
    <row r="75" spans="1:59" s="17" customFormat="1" ht="18" hidden="1" customHeight="1">
      <c r="A75" s="101">
        <v>45217</v>
      </c>
      <c r="B75" s="132" t="s">
        <v>37</v>
      </c>
      <c r="C75" s="117"/>
      <c r="D75" s="118" t="s">
        <v>38</v>
      </c>
      <c r="E75" s="116">
        <v>84217</v>
      </c>
      <c r="F75" s="116" t="s">
        <v>49</v>
      </c>
      <c r="G75" s="141"/>
      <c r="H75" s="95"/>
      <c r="I75" s="90"/>
      <c r="J75" s="90"/>
      <c r="K75" s="20"/>
      <c r="L75" s="20"/>
      <c r="M75" s="20"/>
      <c r="N75" s="143" t="e">
        <f>O76/L76</f>
        <v>#DIV/0!</v>
      </c>
      <c r="O75" s="21">
        <f t="shared" si="25"/>
        <v>0</v>
      </c>
      <c r="P75" s="27"/>
      <c r="Q75" s="99">
        <f>+L76-P76</f>
        <v>0</v>
      </c>
      <c r="R75" s="101">
        <v>45023</v>
      </c>
      <c r="S75" s="96"/>
      <c r="T75" s="96"/>
      <c r="U75" s="96"/>
      <c r="V75" s="96"/>
      <c r="W75" s="96"/>
      <c r="X75" s="96"/>
      <c r="Y75" s="96"/>
      <c r="Z75" s="96"/>
      <c r="AA75" s="96"/>
      <c r="AB75" s="96"/>
      <c r="AC75" s="140"/>
      <c r="AD75" s="96"/>
      <c r="AE75" s="96"/>
      <c r="AF75" s="96"/>
      <c r="AG75" s="96"/>
      <c r="AH75" s="96"/>
      <c r="AI75" s="96"/>
      <c r="AJ75" s="96"/>
      <c r="AK75" s="96"/>
      <c r="AL75" s="96"/>
      <c r="AM75" s="96"/>
      <c r="AN75" s="96"/>
      <c r="AO75" s="96"/>
      <c r="AP75" s="96"/>
      <c r="AQ75" s="96"/>
      <c r="AR75" s="96"/>
      <c r="AS75" s="96"/>
      <c r="AT75" s="96"/>
      <c r="AU75" s="96"/>
      <c r="AV75" s="96"/>
      <c r="AW75" s="96"/>
      <c r="AX75" s="96"/>
      <c r="AY75" s="124"/>
      <c r="AZ75" s="123"/>
      <c r="BA75" s="123"/>
      <c r="BB75" s="123"/>
      <c r="BC75" s="123"/>
      <c r="BD75" s="123"/>
      <c r="BE75" s="123"/>
      <c r="BF75" s="123"/>
      <c r="BG75" s="123"/>
    </row>
    <row r="76" spans="1:59" s="17" customFormat="1" ht="17.25" hidden="1" customHeight="1">
      <c r="A76" s="102"/>
      <c r="B76" s="145"/>
      <c r="C76" s="142"/>
      <c r="D76" s="119"/>
      <c r="E76" s="117"/>
      <c r="F76" s="117"/>
      <c r="G76" s="142"/>
      <c r="H76" s="95"/>
      <c r="I76" s="95"/>
      <c r="J76" s="95"/>
      <c r="K76" s="3"/>
      <c r="L76" s="3"/>
      <c r="M76" s="3"/>
      <c r="N76" s="144"/>
      <c r="O76" s="7">
        <f t="shared" si="25"/>
        <v>0</v>
      </c>
      <c r="P76" s="28"/>
      <c r="Q76" s="100"/>
      <c r="R76" s="102"/>
      <c r="S76" s="96"/>
      <c r="T76" s="96"/>
      <c r="U76" s="96"/>
      <c r="V76" s="96"/>
      <c r="W76" s="96"/>
      <c r="X76" s="96"/>
      <c r="Y76" s="96"/>
      <c r="Z76" s="96"/>
      <c r="AA76" s="96"/>
      <c r="AB76" s="96"/>
      <c r="AC76" s="140"/>
      <c r="AD76" s="96"/>
      <c r="AE76" s="96"/>
      <c r="AF76" s="96"/>
      <c r="AG76" s="96"/>
      <c r="AH76" s="96"/>
      <c r="AI76" s="96"/>
      <c r="AJ76" s="96"/>
      <c r="AK76" s="96"/>
      <c r="AL76" s="96"/>
      <c r="AM76" s="96"/>
      <c r="AN76" s="96"/>
      <c r="AO76" s="96"/>
      <c r="AP76" s="96"/>
      <c r="AQ76" s="96"/>
      <c r="AR76" s="96"/>
      <c r="AS76" s="96"/>
      <c r="AT76" s="96"/>
      <c r="AU76" s="96"/>
      <c r="AV76" s="96"/>
      <c r="AW76" s="96"/>
      <c r="AX76" s="96"/>
      <c r="AY76" s="124"/>
      <c r="AZ76" s="124"/>
      <c r="BA76" s="124"/>
      <c r="BB76" s="124"/>
      <c r="BC76" s="124"/>
      <c r="BD76" s="124"/>
      <c r="BE76" s="124"/>
      <c r="BF76" s="124"/>
      <c r="BG76" s="124"/>
    </row>
    <row r="77" spans="1:59" ht="24.75" customHeight="1">
      <c r="A77" s="111" t="s">
        <v>15</v>
      </c>
      <c r="B77" s="112"/>
      <c r="C77" s="112"/>
      <c r="D77" s="112"/>
      <c r="E77" s="112"/>
      <c r="F77" s="112"/>
      <c r="G77" s="112"/>
      <c r="H77" s="112"/>
      <c r="I77" s="113"/>
      <c r="J77" s="5">
        <f>SUM(J71:J76)</f>
        <v>4097</v>
      </c>
      <c r="K77" s="5">
        <f>+K71++K73</f>
        <v>371</v>
      </c>
      <c r="L77" s="5">
        <f>+SUMPRODUCT(((MOD(ROW(L71:L76),2)=1)*(L71:L76)))</f>
        <v>450</v>
      </c>
      <c r="M77" s="5">
        <f>+SUMPRODUCT(((MOD(ROW(M71:M76),2)=1)*(M71:M76)))</f>
        <v>199</v>
      </c>
      <c r="N77" s="23">
        <f>O77/L77</f>
        <v>0.55777777777777782</v>
      </c>
      <c r="O77" s="5">
        <f>+SUMPRODUCT(((MOD(ROW(O71:O76),2)=1)*(O71:O76)))</f>
        <v>251</v>
      </c>
      <c r="P77" s="5">
        <f>+SUMPRODUCT(((MOD(ROW(P71:P76),2)=1)*(P71:P76)))</f>
        <v>307</v>
      </c>
      <c r="Q77" s="5">
        <f>+SUMPRODUCT(((MOD(ROW(Q71:Q76),2)=1)*(Q71:Q76)))</f>
        <v>493</v>
      </c>
      <c r="R77" s="5"/>
      <c r="S77" s="5">
        <f t="shared" ref="S77:BG77" si="26">SUM(S71:S76)</f>
        <v>0</v>
      </c>
      <c r="T77" s="5">
        <f t="shared" si="26"/>
        <v>3</v>
      </c>
      <c r="U77" s="5">
        <f t="shared" si="26"/>
        <v>83</v>
      </c>
      <c r="V77" s="5">
        <f t="shared" si="26"/>
        <v>0</v>
      </c>
      <c r="W77" s="5">
        <f t="shared" si="26"/>
        <v>0</v>
      </c>
      <c r="X77" s="5">
        <f t="shared" si="26"/>
        <v>2</v>
      </c>
      <c r="Y77" s="5">
        <f t="shared" si="26"/>
        <v>0</v>
      </c>
      <c r="Z77" s="5">
        <f t="shared" si="26"/>
        <v>0</v>
      </c>
      <c r="AA77" s="5">
        <f t="shared" si="26"/>
        <v>0</v>
      </c>
      <c r="AB77" s="5">
        <f t="shared" si="26"/>
        <v>0</v>
      </c>
      <c r="AC77" s="5">
        <f t="shared" si="26"/>
        <v>55</v>
      </c>
      <c r="AD77" s="5">
        <f t="shared" si="26"/>
        <v>0</v>
      </c>
      <c r="AE77" s="5">
        <f t="shared" si="26"/>
        <v>10</v>
      </c>
      <c r="AF77" s="5">
        <f t="shared" si="26"/>
        <v>15</v>
      </c>
      <c r="AG77" s="5">
        <f t="shared" si="26"/>
        <v>0</v>
      </c>
      <c r="AH77" s="5">
        <f t="shared" si="26"/>
        <v>45</v>
      </c>
      <c r="AI77" s="5">
        <f t="shared" si="26"/>
        <v>0</v>
      </c>
      <c r="AJ77" s="5">
        <f t="shared" si="26"/>
        <v>0</v>
      </c>
      <c r="AK77" s="5">
        <f t="shared" si="26"/>
        <v>0</v>
      </c>
      <c r="AL77" s="5">
        <f t="shared" si="26"/>
        <v>38</v>
      </c>
      <c r="AM77" s="5">
        <f t="shared" si="26"/>
        <v>0</v>
      </c>
      <c r="AN77" s="5">
        <f t="shared" si="26"/>
        <v>0</v>
      </c>
      <c r="AO77" s="5">
        <f t="shared" si="26"/>
        <v>0</v>
      </c>
      <c r="AP77" s="5">
        <f t="shared" si="26"/>
        <v>0</v>
      </c>
      <c r="AQ77" s="5">
        <f t="shared" si="26"/>
        <v>0</v>
      </c>
      <c r="AR77" s="5">
        <f t="shared" si="26"/>
        <v>0</v>
      </c>
      <c r="AS77" s="5">
        <f t="shared" si="26"/>
        <v>0</v>
      </c>
      <c r="AT77" s="5">
        <f t="shared" si="26"/>
        <v>0</v>
      </c>
      <c r="AU77" s="5">
        <f t="shared" si="26"/>
        <v>0</v>
      </c>
      <c r="AV77" s="5">
        <f t="shared" si="26"/>
        <v>0</v>
      </c>
      <c r="AW77" s="5">
        <f t="shared" si="26"/>
        <v>0</v>
      </c>
      <c r="AX77" s="5">
        <f t="shared" si="26"/>
        <v>0</v>
      </c>
      <c r="AY77" s="5">
        <f t="shared" si="26"/>
        <v>0</v>
      </c>
      <c r="AZ77" s="5">
        <f t="shared" si="26"/>
        <v>0</v>
      </c>
      <c r="BA77" s="5">
        <f t="shared" si="26"/>
        <v>0</v>
      </c>
      <c r="BB77" s="5">
        <f t="shared" si="26"/>
        <v>0</v>
      </c>
      <c r="BC77" s="5">
        <f t="shared" si="26"/>
        <v>0</v>
      </c>
      <c r="BD77" s="5">
        <f t="shared" si="26"/>
        <v>0</v>
      </c>
      <c r="BE77" s="5">
        <f t="shared" si="26"/>
        <v>0</v>
      </c>
      <c r="BF77" s="5">
        <f t="shared" si="26"/>
        <v>0</v>
      </c>
      <c r="BG77" s="5">
        <f t="shared" si="26"/>
        <v>0</v>
      </c>
    </row>
    <row r="78" spans="1:59" s="17" customFormat="1" ht="15.75" hidden="1" customHeight="1">
      <c r="A78" s="101"/>
      <c r="B78" s="114"/>
      <c r="C78" s="116"/>
      <c r="D78" s="118"/>
      <c r="E78" s="116"/>
      <c r="F78" s="116"/>
      <c r="G78" s="120"/>
      <c r="H78" s="151"/>
      <c r="I78" s="89"/>
      <c r="J78" s="89"/>
      <c r="K78" s="20"/>
      <c r="L78" s="20"/>
      <c r="M78" s="20"/>
      <c r="N78" s="146"/>
      <c r="O78" s="21"/>
      <c r="P78" s="27"/>
      <c r="Q78" s="99"/>
      <c r="R78" s="148"/>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52"/>
      <c r="AZ78" s="152"/>
      <c r="BA78" s="152"/>
      <c r="BB78" s="152"/>
      <c r="BC78" s="152"/>
      <c r="BD78" s="152"/>
      <c r="BE78" s="149"/>
      <c r="BF78" s="152"/>
      <c r="BG78" s="152"/>
    </row>
    <row r="79" spans="1:59" s="17" customFormat="1" ht="15.75" hidden="1" customHeight="1">
      <c r="A79" s="102"/>
      <c r="B79" s="115"/>
      <c r="C79" s="117"/>
      <c r="D79" s="119"/>
      <c r="E79" s="117"/>
      <c r="F79" s="117"/>
      <c r="G79" s="121"/>
      <c r="H79" s="90"/>
      <c r="I79" s="90"/>
      <c r="J79" s="90"/>
      <c r="K79" s="22"/>
      <c r="L79" s="18"/>
      <c r="M79" s="18"/>
      <c r="N79" s="147"/>
      <c r="O79" s="19"/>
      <c r="P79" s="22"/>
      <c r="Q79" s="100"/>
      <c r="R79" s="101"/>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3"/>
      <c r="AZ79" s="153"/>
      <c r="BA79" s="153"/>
      <c r="BB79" s="153"/>
      <c r="BC79" s="153"/>
      <c r="BD79" s="153"/>
      <c r="BE79" s="150"/>
      <c r="BF79" s="153"/>
      <c r="BG79" s="153"/>
    </row>
    <row r="80" spans="1:59" s="17" customFormat="1" ht="15.75" hidden="1" customHeight="1">
      <c r="A80" s="101"/>
      <c r="B80" s="114"/>
      <c r="C80" s="116"/>
      <c r="D80" s="118"/>
      <c r="E80" s="116"/>
      <c r="F80" s="116"/>
      <c r="G80" s="120"/>
      <c r="H80" s="151"/>
      <c r="I80" s="89"/>
      <c r="J80" s="89"/>
      <c r="K80" s="20"/>
      <c r="L80" s="20"/>
      <c r="M80" s="20"/>
      <c r="N80" s="146"/>
      <c r="O80" s="21"/>
      <c r="P80" s="27"/>
      <c r="Q80" s="99"/>
      <c r="R80" s="148"/>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52"/>
      <c r="AZ80" s="152"/>
      <c r="BA80" s="152"/>
      <c r="BB80" s="152"/>
      <c r="BC80" s="152"/>
      <c r="BD80" s="152"/>
      <c r="BE80" s="149"/>
      <c r="BF80" s="152"/>
      <c r="BG80" s="152"/>
    </row>
    <row r="81" spans="1:61" s="17" customFormat="1" ht="15.75" hidden="1" customHeight="1">
      <c r="A81" s="102"/>
      <c r="B81" s="115"/>
      <c r="C81" s="117"/>
      <c r="D81" s="119"/>
      <c r="E81" s="117"/>
      <c r="F81" s="117"/>
      <c r="G81" s="121"/>
      <c r="H81" s="90"/>
      <c r="I81" s="90"/>
      <c r="J81" s="90"/>
      <c r="K81" s="22"/>
      <c r="L81" s="18"/>
      <c r="M81" s="18"/>
      <c r="N81" s="147"/>
      <c r="O81" s="19"/>
      <c r="P81" s="22"/>
      <c r="Q81" s="100"/>
      <c r="R81" s="101"/>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3"/>
      <c r="AZ81" s="153"/>
      <c r="BA81" s="153"/>
      <c r="BB81" s="153"/>
      <c r="BC81" s="153"/>
      <c r="BD81" s="153"/>
      <c r="BE81" s="150"/>
      <c r="BF81" s="153"/>
      <c r="BG81" s="153"/>
    </row>
    <row r="82" spans="1:61" s="17" customFormat="1" ht="15.75" hidden="1" customHeight="1">
      <c r="A82" s="101"/>
      <c r="B82" s="114"/>
      <c r="C82" s="116"/>
      <c r="D82" s="118"/>
      <c r="E82" s="116"/>
      <c r="F82" s="116"/>
      <c r="G82" s="120"/>
      <c r="H82" s="109"/>
      <c r="I82" s="90"/>
      <c r="J82" s="90"/>
      <c r="K82" s="20"/>
      <c r="L82" s="20"/>
      <c r="M82" s="20"/>
      <c r="N82" s="97"/>
      <c r="O82" s="21"/>
      <c r="P82" s="27"/>
      <c r="Q82" s="99"/>
      <c r="R82" s="154"/>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5"/>
      <c r="AZ82" s="155"/>
      <c r="BA82" s="155"/>
      <c r="BB82" s="155"/>
      <c r="BC82" s="155"/>
      <c r="BD82" s="155"/>
      <c r="BE82" s="96"/>
      <c r="BF82" s="155"/>
      <c r="BG82" s="155"/>
    </row>
    <row r="83" spans="1:61" s="17" customFormat="1" ht="15.75" hidden="1" customHeight="1">
      <c r="A83" s="102"/>
      <c r="B83" s="115"/>
      <c r="C83" s="117"/>
      <c r="D83" s="119"/>
      <c r="E83" s="117"/>
      <c r="F83" s="117"/>
      <c r="G83" s="121"/>
      <c r="H83" s="95"/>
      <c r="I83" s="95"/>
      <c r="J83" s="95"/>
      <c r="K83" s="22"/>
      <c r="L83" s="18"/>
      <c r="M83" s="18"/>
      <c r="N83" s="98"/>
      <c r="O83" s="19"/>
      <c r="P83" s="22"/>
      <c r="Q83" s="100"/>
      <c r="R83" s="101"/>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6"/>
      <c r="AZ83" s="156"/>
      <c r="BA83" s="156"/>
      <c r="BB83" s="156"/>
      <c r="BC83" s="156"/>
      <c r="BD83" s="156"/>
      <c r="BE83" s="96"/>
      <c r="BF83" s="156"/>
      <c r="BG83" s="156"/>
    </row>
    <row r="84" spans="1:61" s="17" customFormat="1" ht="15.75" hidden="1" customHeight="1">
      <c r="A84" s="101"/>
      <c r="B84" s="114"/>
      <c r="C84" s="116"/>
      <c r="D84" s="118"/>
      <c r="E84" s="116"/>
      <c r="F84" s="116"/>
      <c r="G84" s="120"/>
      <c r="H84" s="109"/>
      <c r="I84" s="90"/>
      <c r="J84" s="90"/>
      <c r="K84" s="20"/>
      <c r="L84" s="20"/>
      <c r="M84" s="20"/>
      <c r="N84" s="97"/>
      <c r="O84" s="21"/>
      <c r="P84" s="27"/>
      <c r="Q84" s="99"/>
      <c r="R84" s="148"/>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1"/>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s="17" customFormat="1" ht="15.75" hidden="1" customHeight="1">
      <c r="A86" s="101">
        <v>45084</v>
      </c>
      <c r="B86" s="114" t="s">
        <v>37</v>
      </c>
      <c r="C86" s="116"/>
      <c r="D86" s="118"/>
      <c r="E86" s="116"/>
      <c r="F86" s="116"/>
      <c r="G86" s="120"/>
      <c r="H86" s="109"/>
      <c r="I86" s="90"/>
      <c r="J86" s="90"/>
      <c r="K86" s="20"/>
      <c r="L86" s="20"/>
      <c r="M86" s="20"/>
      <c r="N86" s="97" t="e">
        <f>O87/L87</f>
        <v>#DIV/0!</v>
      </c>
      <c r="O86" s="21"/>
      <c r="P86" s="27"/>
      <c r="Q86" s="99">
        <f>+L87-P87</f>
        <v>0</v>
      </c>
      <c r="R86" s="101"/>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2"/>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ht="24.75" hidden="1" customHeight="1">
      <c r="A88" s="111" t="s">
        <v>40</v>
      </c>
      <c r="B88" s="112"/>
      <c r="C88" s="112"/>
      <c r="D88" s="112"/>
      <c r="E88" s="112"/>
      <c r="F88" s="112"/>
      <c r="G88" s="112"/>
      <c r="H88" s="112"/>
      <c r="I88" s="113"/>
      <c r="J88" s="5">
        <f>SUM(J78:J87)</f>
        <v>0</v>
      </c>
      <c r="K88" s="5">
        <f>+SUMPRODUCT(((MOD(ROW(K78:K85),2)=0)*(K78:K85)))</f>
        <v>0</v>
      </c>
      <c r="L88" s="5">
        <f>+SUMPRODUCT(((MOD(ROW(L78:L85),2)=0)*(L78:L85)))</f>
        <v>0</v>
      </c>
      <c r="M88" s="5">
        <f>+SUMPRODUCT(((MOD(ROW(M78:M85),2)=0)*(M78:M85)))</f>
        <v>0</v>
      </c>
      <c r="N88" s="6" t="e">
        <f>O88/L88</f>
        <v>#DIV/0!</v>
      </c>
      <c r="O88" s="5">
        <f>+SUMPRODUCT(((MOD(ROW(O78:O85),2)=0)*(O78:O85)))</f>
        <v>0</v>
      </c>
      <c r="P88" s="5">
        <f>+SUMPRODUCT(((MOD(ROW(P78:P85),2)=0)*(P78:P85)))</f>
        <v>0</v>
      </c>
      <c r="Q88" s="29">
        <f>SUM(Q78:Q87)</f>
        <v>0</v>
      </c>
      <c r="R88" s="29"/>
      <c r="S88" s="29">
        <f t="shared" ref="S88:BG88" si="27">SUM(S78:S87)</f>
        <v>0</v>
      </c>
      <c r="T88" s="29">
        <f t="shared" si="27"/>
        <v>0</v>
      </c>
      <c r="U88" s="29">
        <f t="shared" si="27"/>
        <v>0</v>
      </c>
      <c r="V88" s="29">
        <f t="shared" si="27"/>
        <v>0</v>
      </c>
      <c r="W88" s="29">
        <f t="shared" si="27"/>
        <v>0</v>
      </c>
      <c r="X88" s="29">
        <f t="shared" si="27"/>
        <v>0</v>
      </c>
      <c r="Y88" s="29">
        <f t="shared" si="27"/>
        <v>0</v>
      </c>
      <c r="Z88" s="29">
        <f t="shared" si="27"/>
        <v>0</v>
      </c>
      <c r="AA88" s="29">
        <f t="shared" si="27"/>
        <v>0</v>
      </c>
      <c r="AB88" s="29">
        <f t="shared" si="27"/>
        <v>0</v>
      </c>
      <c r="AC88" s="29">
        <f t="shared" si="27"/>
        <v>0</v>
      </c>
      <c r="AD88" s="29">
        <f t="shared" si="27"/>
        <v>0</v>
      </c>
      <c r="AE88" s="29">
        <f t="shared" si="27"/>
        <v>0</v>
      </c>
      <c r="AF88" s="29">
        <f t="shared" si="27"/>
        <v>0</v>
      </c>
      <c r="AG88" s="29">
        <f t="shared" si="27"/>
        <v>0</v>
      </c>
      <c r="AH88" s="29">
        <f t="shared" si="27"/>
        <v>0</v>
      </c>
      <c r="AI88" s="29">
        <f t="shared" si="27"/>
        <v>0</v>
      </c>
      <c r="AJ88" s="29">
        <f t="shared" si="27"/>
        <v>0</v>
      </c>
      <c r="AK88" s="29">
        <f t="shared" si="27"/>
        <v>0</v>
      </c>
      <c r="AL88" s="29">
        <f t="shared" si="27"/>
        <v>0</v>
      </c>
      <c r="AM88" s="29">
        <f t="shared" si="27"/>
        <v>0</v>
      </c>
      <c r="AN88" s="29">
        <f t="shared" si="27"/>
        <v>0</v>
      </c>
      <c r="AO88" s="29">
        <f t="shared" si="27"/>
        <v>0</v>
      </c>
      <c r="AP88" s="29">
        <f t="shared" si="27"/>
        <v>0</v>
      </c>
      <c r="AQ88" s="29">
        <f t="shared" si="27"/>
        <v>0</v>
      </c>
      <c r="AR88" s="29">
        <f t="shared" si="27"/>
        <v>0</v>
      </c>
      <c r="AS88" s="29">
        <f t="shared" si="27"/>
        <v>0</v>
      </c>
      <c r="AT88" s="29">
        <f t="shared" si="27"/>
        <v>0</v>
      </c>
      <c r="AU88" s="29">
        <f t="shared" si="27"/>
        <v>0</v>
      </c>
      <c r="AV88" s="29">
        <f t="shared" si="27"/>
        <v>0</v>
      </c>
      <c r="AW88" s="29">
        <f t="shared" si="27"/>
        <v>0</v>
      </c>
      <c r="AX88" s="29">
        <f t="shared" si="27"/>
        <v>0</v>
      </c>
      <c r="AY88" s="29">
        <f t="shared" si="27"/>
        <v>0</v>
      </c>
      <c r="AZ88" s="29">
        <f t="shared" si="27"/>
        <v>0</v>
      </c>
      <c r="BA88" s="29">
        <f t="shared" si="27"/>
        <v>0</v>
      </c>
      <c r="BB88" s="29">
        <f t="shared" si="27"/>
        <v>0</v>
      </c>
      <c r="BC88" s="29">
        <f t="shared" si="27"/>
        <v>0</v>
      </c>
      <c r="BD88" s="29">
        <f t="shared" si="27"/>
        <v>0</v>
      </c>
      <c r="BE88" s="29">
        <f t="shared" si="27"/>
        <v>0</v>
      </c>
      <c r="BF88" s="29">
        <f t="shared" si="27"/>
        <v>0</v>
      </c>
      <c r="BG88" s="29">
        <f t="shared" si="27"/>
        <v>0</v>
      </c>
      <c r="BH88" s="17"/>
      <c r="BI88" s="17"/>
    </row>
    <row r="89" spans="1:61" s="17" customFormat="1" ht="15.75" hidden="1" customHeight="1">
      <c r="A89" s="101"/>
      <c r="B89" s="114"/>
      <c r="C89" s="116"/>
      <c r="D89" s="118"/>
      <c r="E89" s="116"/>
      <c r="F89" s="116"/>
      <c r="G89" s="120"/>
      <c r="H89" s="109"/>
      <c r="I89" s="90"/>
      <c r="J89" s="90"/>
      <c r="K89" s="20"/>
      <c r="L89" s="20"/>
      <c r="M89" s="20"/>
      <c r="N89" s="97"/>
      <c r="O89" s="21"/>
      <c r="P89" s="27"/>
      <c r="Q89" s="99"/>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row>
    <row r="91" spans="1:61" s="17" customFormat="1" ht="15.75" hidden="1" customHeight="1">
      <c r="A91" s="101"/>
      <c r="B91" s="114"/>
      <c r="C91" s="116"/>
      <c r="D91" s="118"/>
      <c r="E91" s="116"/>
      <c r="F91" s="116"/>
      <c r="G91" s="120"/>
      <c r="H91" s="90"/>
      <c r="I91" s="90"/>
      <c r="J91" s="90"/>
      <c r="K91" s="20"/>
      <c r="L91" s="20"/>
      <c r="M91" s="20"/>
      <c r="N91" s="97"/>
      <c r="O91" s="21"/>
      <c r="P91" s="27"/>
      <c r="Q91" s="99"/>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v>45163</v>
      </c>
      <c r="B93" s="114" t="s">
        <v>37</v>
      </c>
      <c r="C93" s="116"/>
      <c r="D93" s="118"/>
      <c r="E93" s="116"/>
      <c r="F93" s="116"/>
      <c r="G93" s="120"/>
      <c r="H93" s="90"/>
      <c r="I93" s="90"/>
      <c r="J93" s="90"/>
      <c r="K93" s="20"/>
      <c r="L93" s="20"/>
      <c r="M93" s="20"/>
      <c r="N93" s="97" t="e">
        <f>O94/L94</f>
        <v>#DIV/0!</v>
      </c>
      <c r="O93" s="21">
        <f>L93-M93</f>
        <v>0</v>
      </c>
      <c r="P93" s="27"/>
      <c r="Q93" s="99">
        <f>+L94-P94</f>
        <v>0</v>
      </c>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f>L94-M94</f>
        <v>0</v>
      </c>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v>45163</v>
      </c>
      <c r="B95" s="114" t="s">
        <v>37</v>
      </c>
      <c r="C95" s="116"/>
      <c r="D95" s="118"/>
      <c r="E95" s="116"/>
      <c r="F95" s="116"/>
      <c r="G95" s="120"/>
      <c r="H95" s="90"/>
      <c r="I95" s="90"/>
      <c r="J95" s="90"/>
      <c r="K95" s="20"/>
      <c r="L95" s="20"/>
      <c r="M95" s="20"/>
      <c r="N95" s="97" t="e">
        <f>O96/L96</f>
        <v>#DIV/0!</v>
      </c>
      <c r="O95" s="21">
        <f>L95-M95</f>
        <v>0</v>
      </c>
      <c r="P95" s="27"/>
      <c r="Q95" s="99">
        <f>+L96-P96</f>
        <v>0</v>
      </c>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f>L96-M96</f>
        <v>0</v>
      </c>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c r="BH96" s="1"/>
      <c r="BI96" s="1"/>
    </row>
    <row r="97" spans="1:61" ht="24.75" hidden="1" customHeight="1">
      <c r="A97" s="111" t="s">
        <v>48</v>
      </c>
      <c r="B97" s="112"/>
      <c r="C97" s="112"/>
      <c r="D97" s="112"/>
      <c r="E97" s="112"/>
      <c r="F97" s="112"/>
      <c r="G97" s="112"/>
      <c r="H97" s="112"/>
      <c r="I97" s="113"/>
      <c r="J97" s="5">
        <f>SUM(J89:J96)</f>
        <v>0</v>
      </c>
      <c r="K97" s="5">
        <f>+SUMPRODUCT(((MOD(ROW(K89:K96),2)=0)*(K89:K96)))</f>
        <v>0</v>
      </c>
      <c r="L97" s="5">
        <f>+SUMPRODUCT(((MOD(ROW(L89:L96),2)=0)*(L89:L96)))</f>
        <v>0</v>
      </c>
      <c r="M97" s="5">
        <f>+SUMPRODUCT(((MOD(ROW(M89:M96),2)=0)*(M89:M96)))</f>
        <v>0</v>
      </c>
      <c r="N97" s="6" t="e">
        <f>O97/L97</f>
        <v>#DIV/0!</v>
      </c>
      <c r="O97" s="5">
        <f>+SUMPRODUCT(((MOD(ROW(O89:O96),2)=0)*(O89:O96)))</f>
        <v>0</v>
      </c>
      <c r="P97" s="5">
        <f>+SUMPRODUCT(((MOD(ROW(P89:P96),2)=0)*(P89:P96)))</f>
        <v>0</v>
      </c>
      <c r="Q97" s="29">
        <f>SUM(Q89:Q96)</f>
        <v>0</v>
      </c>
      <c r="R97" s="29"/>
      <c r="S97" s="29">
        <f t="shared" ref="S97:BG97" si="28">SUM(S89:S96)</f>
        <v>0</v>
      </c>
      <c r="T97" s="29">
        <f t="shared" si="28"/>
        <v>0</v>
      </c>
      <c r="U97" s="29">
        <f t="shared" si="28"/>
        <v>0</v>
      </c>
      <c r="V97" s="29">
        <f t="shared" si="28"/>
        <v>0</v>
      </c>
      <c r="W97" s="29">
        <f t="shared" si="28"/>
        <v>0</v>
      </c>
      <c r="X97" s="29">
        <f t="shared" si="28"/>
        <v>0</v>
      </c>
      <c r="Y97" s="29">
        <f t="shared" si="28"/>
        <v>0</v>
      </c>
      <c r="Z97" s="29">
        <f t="shared" si="28"/>
        <v>0</v>
      </c>
      <c r="AA97" s="29">
        <f t="shared" si="28"/>
        <v>0</v>
      </c>
      <c r="AB97" s="29">
        <f t="shared" si="28"/>
        <v>0</v>
      </c>
      <c r="AC97" s="29">
        <f t="shared" si="28"/>
        <v>0</v>
      </c>
      <c r="AD97" s="29">
        <f t="shared" si="28"/>
        <v>0</v>
      </c>
      <c r="AE97" s="29">
        <f t="shared" si="28"/>
        <v>0</v>
      </c>
      <c r="AF97" s="29">
        <f t="shared" si="28"/>
        <v>0</v>
      </c>
      <c r="AG97" s="29">
        <f t="shared" si="28"/>
        <v>0</v>
      </c>
      <c r="AH97" s="29">
        <f t="shared" si="28"/>
        <v>0</v>
      </c>
      <c r="AI97" s="29">
        <f t="shared" si="28"/>
        <v>0</v>
      </c>
      <c r="AJ97" s="29">
        <f t="shared" si="28"/>
        <v>0</v>
      </c>
      <c r="AK97" s="29">
        <f t="shared" si="28"/>
        <v>0</v>
      </c>
      <c r="AL97" s="29">
        <f t="shared" si="28"/>
        <v>0</v>
      </c>
      <c r="AM97" s="29">
        <f t="shared" si="28"/>
        <v>0</v>
      </c>
      <c r="AN97" s="29">
        <f t="shared" si="28"/>
        <v>0</v>
      </c>
      <c r="AO97" s="29">
        <f t="shared" si="28"/>
        <v>0</v>
      </c>
      <c r="AP97" s="29">
        <f t="shared" si="28"/>
        <v>0</v>
      </c>
      <c r="AQ97" s="29">
        <f t="shared" si="28"/>
        <v>0</v>
      </c>
      <c r="AR97" s="29">
        <f t="shared" si="28"/>
        <v>0</v>
      </c>
      <c r="AS97" s="29">
        <f t="shared" si="28"/>
        <v>0</v>
      </c>
      <c r="AT97" s="29">
        <f t="shared" si="28"/>
        <v>0</v>
      </c>
      <c r="AU97" s="29">
        <f t="shared" si="28"/>
        <v>0</v>
      </c>
      <c r="AV97" s="29">
        <f t="shared" si="28"/>
        <v>0</v>
      </c>
      <c r="AW97" s="29">
        <f t="shared" si="28"/>
        <v>0</v>
      </c>
      <c r="AX97" s="29">
        <f t="shared" si="28"/>
        <v>0</v>
      </c>
      <c r="AY97" s="29">
        <f t="shared" si="28"/>
        <v>0</v>
      </c>
      <c r="AZ97" s="29">
        <f t="shared" si="28"/>
        <v>0</v>
      </c>
      <c r="BA97" s="29">
        <f t="shared" si="28"/>
        <v>0</v>
      </c>
      <c r="BB97" s="29">
        <f t="shared" si="28"/>
        <v>0</v>
      </c>
      <c r="BC97" s="29">
        <f t="shared" si="28"/>
        <v>0</v>
      </c>
      <c r="BD97" s="29">
        <f t="shared" si="28"/>
        <v>0</v>
      </c>
      <c r="BE97" s="29">
        <f t="shared" si="28"/>
        <v>0</v>
      </c>
      <c r="BF97" s="29">
        <f t="shared" si="28"/>
        <v>0</v>
      </c>
      <c r="BG97" s="29">
        <f t="shared" si="28"/>
        <v>0</v>
      </c>
      <c r="BH97" s="17"/>
      <c r="BI97" s="17"/>
    </row>
    <row r="98" spans="1:61" s="17" customFormat="1" ht="15.75" hidden="1" customHeight="1">
      <c r="A98" s="101"/>
      <c r="B98" s="114"/>
      <c r="C98" s="116"/>
      <c r="D98" s="118"/>
      <c r="E98" s="157"/>
      <c r="F98" s="116"/>
      <c r="G98" s="120"/>
      <c r="H98" s="109"/>
      <c r="I98" s="90"/>
      <c r="J98" s="90"/>
      <c r="K98" s="20"/>
      <c r="L98" s="20"/>
      <c r="M98" s="20"/>
      <c r="N98" s="97"/>
      <c r="O98" s="21"/>
      <c r="P98" s="27"/>
      <c r="Q98" s="99"/>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row>
    <row r="100" spans="1:61" s="17" customFormat="1" ht="15.75" hidden="1" customHeight="1">
      <c r="A100" s="101">
        <v>45061</v>
      </c>
      <c r="B100" s="114" t="s">
        <v>37</v>
      </c>
      <c r="C100" s="116"/>
      <c r="D100" s="118"/>
      <c r="E100" s="157"/>
      <c r="F100" s="116"/>
      <c r="G100" s="120"/>
      <c r="H100" s="90"/>
      <c r="I100" s="90"/>
      <c r="J100" s="90"/>
      <c r="K100" s="20"/>
      <c r="L100" s="20"/>
      <c r="M100" s="20"/>
      <c r="N100" s="97" t="e">
        <f>O101/L101</f>
        <v>#DIV/0!</v>
      </c>
      <c r="O100" s="21">
        <f t="shared" ref="O100:O105" si="29">L100-M100</f>
        <v>0</v>
      </c>
      <c r="P100" s="27"/>
      <c r="Q100" s="99">
        <f>+L101-P101</f>
        <v>0</v>
      </c>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f t="shared" si="29"/>
        <v>0</v>
      </c>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44990</v>
      </c>
      <c r="B102" s="114" t="s">
        <v>37</v>
      </c>
      <c r="C102" s="116"/>
      <c r="D102" s="118"/>
      <c r="E102" s="116"/>
      <c r="F102" s="116"/>
      <c r="G102" s="120"/>
      <c r="H102" s="90"/>
      <c r="I102" s="90"/>
      <c r="J102" s="90"/>
      <c r="K102" s="20"/>
      <c r="L102" s="20"/>
      <c r="M102" s="20"/>
      <c r="N102" s="97" t="e">
        <f>O103/L103</f>
        <v>#DIV/0!</v>
      </c>
      <c r="O102" s="21">
        <f t="shared" si="29"/>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29"/>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44990</v>
      </c>
      <c r="B104" s="114" t="s">
        <v>37</v>
      </c>
      <c r="C104" s="116"/>
      <c r="D104" s="118"/>
      <c r="E104" s="116"/>
      <c r="F104" s="116"/>
      <c r="G104" s="120"/>
      <c r="H104" s="90"/>
      <c r="I104" s="90"/>
      <c r="J104" s="90"/>
      <c r="K104" s="20"/>
      <c r="L104" s="20"/>
      <c r="M104" s="20"/>
      <c r="N104" s="97" t="e">
        <f>O105/L105</f>
        <v>#DIV/0!</v>
      </c>
      <c r="O104" s="21">
        <f t="shared" si="29"/>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29"/>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c r="BH105" s="1"/>
      <c r="BI105" s="1"/>
    </row>
    <row r="106" spans="1:61" ht="24.75" hidden="1" customHeight="1">
      <c r="A106" s="111" t="s">
        <v>46</v>
      </c>
      <c r="B106" s="112"/>
      <c r="C106" s="112"/>
      <c r="D106" s="112"/>
      <c r="E106" s="112"/>
      <c r="F106" s="112"/>
      <c r="G106" s="112"/>
      <c r="H106" s="112"/>
      <c r="I106" s="113"/>
      <c r="J106" s="5">
        <f>SUM(J98:J105)</f>
        <v>0</v>
      </c>
      <c r="K106" s="5">
        <f>+SUMPRODUCT(((MOD(ROW(K98:K105),2)=0)*(K98:K105)))</f>
        <v>0</v>
      </c>
      <c r="L106" s="5">
        <f>+SUMPRODUCT(((MOD(ROW(L98:L105),2)=0)*(L98:L105)))</f>
        <v>0</v>
      </c>
      <c r="M106" s="5">
        <f>+SUMPRODUCT(((MOD(ROW(M98:M105),2)=0)*(M98:M105)))</f>
        <v>0</v>
      </c>
      <c r="N106" s="6" t="e">
        <f>O106/L106</f>
        <v>#DIV/0!</v>
      </c>
      <c r="O106" s="5">
        <f>+SUMPRODUCT(((MOD(ROW(O98:O105),2)=0)*(O98:O105)))</f>
        <v>0</v>
      </c>
      <c r="P106" s="5">
        <f>+SUMPRODUCT(((MOD(ROW(P98:P105),2)=0)*(P98:P105)))</f>
        <v>0</v>
      </c>
      <c r="Q106" s="29">
        <f>SUM(Q98:Q105)</f>
        <v>0</v>
      </c>
      <c r="R106" s="29"/>
      <c r="S106" s="29">
        <f t="shared" ref="S106:BG106" si="30">SUM(S98:S105)</f>
        <v>0</v>
      </c>
      <c r="T106" s="29">
        <f t="shared" si="30"/>
        <v>0</v>
      </c>
      <c r="U106" s="29">
        <f t="shared" si="30"/>
        <v>0</v>
      </c>
      <c r="V106" s="29">
        <f t="shared" si="30"/>
        <v>0</v>
      </c>
      <c r="W106" s="29">
        <f t="shared" si="30"/>
        <v>0</v>
      </c>
      <c r="X106" s="29">
        <f t="shared" si="30"/>
        <v>0</v>
      </c>
      <c r="Y106" s="29">
        <f t="shared" si="30"/>
        <v>0</v>
      </c>
      <c r="Z106" s="29">
        <f t="shared" si="30"/>
        <v>0</v>
      </c>
      <c r="AA106" s="29">
        <f t="shared" si="30"/>
        <v>0</v>
      </c>
      <c r="AB106" s="29">
        <f t="shared" si="30"/>
        <v>0</v>
      </c>
      <c r="AC106" s="29">
        <f t="shared" si="30"/>
        <v>0</v>
      </c>
      <c r="AD106" s="29">
        <f t="shared" si="30"/>
        <v>0</v>
      </c>
      <c r="AE106" s="29">
        <f t="shared" si="30"/>
        <v>0</v>
      </c>
      <c r="AF106" s="29">
        <f t="shared" si="30"/>
        <v>0</v>
      </c>
      <c r="AG106" s="29">
        <f t="shared" si="30"/>
        <v>0</v>
      </c>
      <c r="AH106" s="29">
        <f t="shared" si="30"/>
        <v>0</v>
      </c>
      <c r="AI106" s="29">
        <f t="shared" si="30"/>
        <v>0</v>
      </c>
      <c r="AJ106" s="29">
        <f t="shared" si="30"/>
        <v>0</v>
      </c>
      <c r="AK106" s="29">
        <f t="shared" si="30"/>
        <v>0</v>
      </c>
      <c r="AL106" s="29">
        <f t="shared" si="30"/>
        <v>0</v>
      </c>
      <c r="AM106" s="29">
        <f t="shared" si="30"/>
        <v>0</v>
      </c>
      <c r="AN106" s="29">
        <f t="shared" si="30"/>
        <v>0</v>
      </c>
      <c r="AO106" s="29">
        <f t="shared" si="30"/>
        <v>0</v>
      </c>
      <c r="AP106" s="29">
        <f t="shared" si="30"/>
        <v>0</v>
      </c>
      <c r="AQ106" s="29">
        <f t="shared" si="30"/>
        <v>0</v>
      </c>
      <c r="AR106" s="29">
        <f t="shared" si="30"/>
        <v>0</v>
      </c>
      <c r="AS106" s="29">
        <f t="shared" si="30"/>
        <v>0</v>
      </c>
      <c r="AT106" s="29">
        <f t="shared" si="30"/>
        <v>0</v>
      </c>
      <c r="AU106" s="29">
        <f t="shared" si="30"/>
        <v>0</v>
      </c>
      <c r="AV106" s="29">
        <f t="shared" si="30"/>
        <v>0</v>
      </c>
      <c r="AW106" s="29">
        <f t="shared" si="30"/>
        <v>0</v>
      </c>
      <c r="AX106" s="29">
        <f t="shared" si="30"/>
        <v>0</v>
      </c>
      <c r="AY106" s="29">
        <f t="shared" si="30"/>
        <v>0</v>
      </c>
      <c r="AZ106" s="29">
        <f t="shared" si="30"/>
        <v>0</v>
      </c>
      <c r="BA106" s="29">
        <f t="shared" si="30"/>
        <v>0</v>
      </c>
      <c r="BB106" s="29">
        <f t="shared" si="30"/>
        <v>0</v>
      </c>
      <c r="BC106" s="29">
        <f t="shared" si="30"/>
        <v>0</v>
      </c>
      <c r="BD106" s="29">
        <f t="shared" si="30"/>
        <v>0</v>
      </c>
      <c r="BE106" s="29">
        <f t="shared" si="30"/>
        <v>0</v>
      </c>
      <c r="BF106" s="29">
        <f t="shared" si="30"/>
        <v>0</v>
      </c>
      <c r="BG106" s="29">
        <f t="shared" si="30"/>
        <v>0</v>
      </c>
    </row>
    <row r="107" spans="1:61" ht="24.75" customHeight="1">
      <c r="A107" s="122" t="s">
        <v>5</v>
      </c>
      <c r="B107" s="122"/>
      <c r="C107" s="122"/>
      <c r="D107" s="122"/>
      <c r="E107" s="122"/>
      <c r="F107" s="122"/>
      <c r="G107" s="122"/>
      <c r="H107" s="122"/>
      <c r="I107" s="122"/>
      <c r="J107" s="4">
        <f>J77+J88+J97+J106</f>
        <v>4097</v>
      </c>
      <c r="K107" s="4">
        <f>K77+K88+K97+K106</f>
        <v>371</v>
      </c>
      <c r="L107" s="4">
        <f>L77+L88+L97+L106</f>
        <v>450</v>
      </c>
      <c r="M107" s="4">
        <f>M77+M88+M97+M106</f>
        <v>199</v>
      </c>
      <c r="N107" s="33">
        <f>O107/L107</f>
        <v>0.55777777777777782</v>
      </c>
      <c r="O107" s="4">
        <f>O77+O88+O97+O106</f>
        <v>251</v>
      </c>
      <c r="P107" s="31">
        <f>P77+P88+P97+P106</f>
        <v>307</v>
      </c>
      <c r="Q107" s="31">
        <f>Q77+Q88+Q97+Q106</f>
        <v>493</v>
      </c>
      <c r="R107" s="4"/>
      <c r="S107" s="31">
        <f t="shared" ref="S107:BG107" si="31">S77+S88+S97+S106</f>
        <v>0</v>
      </c>
      <c r="T107" s="31">
        <f t="shared" si="31"/>
        <v>3</v>
      </c>
      <c r="U107" s="31">
        <f t="shared" si="31"/>
        <v>83</v>
      </c>
      <c r="V107" s="31">
        <f t="shared" si="31"/>
        <v>0</v>
      </c>
      <c r="W107" s="31">
        <f t="shared" si="31"/>
        <v>0</v>
      </c>
      <c r="X107" s="31">
        <f t="shared" si="31"/>
        <v>2</v>
      </c>
      <c r="Y107" s="31">
        <f t="shared" si="31"/>
        <v>0</v>
      </c>
      <c r="Z107" s="31">
        <f t="shared" si="31"/>
        <v>0</v>
      </c>
      <c r="AA107" s="31">
        <f t="shared" si="31"/>
        <v>0</v>
      </c>
      <c r="AB107" s="31">
        <f t="shared" si="31"/>
        <v>0</v>
      </c>
      <c r="AC107" s="31">
        <f t="shared" si="31"/>
        <v>55</v>
      </c>
      <c r="AD107" s="31">
        <f t="shared" si="31"/>
        <v>0</v>
      </c>
      <c r="AE107" s="31">
        <f t="shared" si="31"/>
        <v>10</v>
      </c>
      <c r="AF107" s="31">
        <f t="shared" si="31"/>
        <v>15</v>
      </c>
      <c r="AG107" s="31">
        <f t="shared" si="31"/>
        <v>0</v>
      </c>
      <c r="AH107" s="31">
        <f t="shared" si="31"/>
        <v>45</v>
      </c>
      <c r="AI107" s="31">
        <f t="shared" si="31"/>
        <v>0</v>
      </c>
      <c r="AJ107" s="31">
        <f t="shared" si="31"/>
        <v>0</v>
      </c>
      <c r="AK107" s="31">
        <f t="shared" si="31"/>
        <v>0</v>
      </c>
      <c r="AL107" s="31">
        <f t="shared" si="31"/>
        <v>38</v>
      </c>
      <c r="AM107" s="31">
        <f t="shared" si="31"/>
        <v>0</v>
      </c>
      <c r="AN107" s="31">
        <f t="shared" si="31"/>
        <v>0</v>
      </c>
      <c r="AO107" s="31">
        <f t="shared" si="31"/>
        <v>0</v>
      </c>
      <c r="AP107" s="31">
        <f t="shared" si="31"/>
        <v>0</v>
      </c>
      <c r="AQ107" s="31">
        <f t="shared" si="31"/>
        <v>0</v>
      </c>
      <c r="AR107" s="31">
        <f t="shared" si="31"/>
        <v>0</v>
      </c>
      <c r="AS107" s="31">
        <f t="shared" si="31"/>
        <v>0</v>
      </c>
      <c r="AT107" s="31">
        <f t="shared" si="31"/>
        <v>0</v>
      </c>
      <c r="AU107" s="31">
        <f t="shared" si="31"/>
        <v>0</v>
      </c>
      <c r="AV107" s="31">
        <f t="shared" si="31"/>
        <v>0</v>
      </c>
      <c r="AW107" s="31">
        <f t="shared" si="31"/>
        <v>0</v>
      </c>
      <c r="AX107" s="31">
        <f t="shared" si="31"/>
        <v>0</v>
      </c>
      <c r="AY107" s="31">
        <f t="shared" si="31"/>
        <v>0</v>
      </c>
      <c r="AZ107" s="31">
        <f t="shared" si="31"/>
        <v>0</v>
      </c>
      <c r="BA107" s="31">
        <f t="shared" si="31"/>
        <v>0</v>
      </c>
      <c r="BB107" s="31">
        <f t="shared" si="31"/>
        <v>0</v>
      </c>
      <c r="BC107" s="31">
        <f t="shared" si="31"/>
        <v>0</v>
      </c>
      <c r="BD107" s="31">
        <f t="shared" si="31"/>
        <v>0</v>
      </c>
      <c r="BE107" s="31">
        <f t="shared" si="31"/>
        <v>0</v>
      </c>
      <c r="BF107" s="31">
        <f t="shared" si="31"/>
        <v>0</v>
      </c>
      <c r="BG107" s="31">
        <f t="shared" si="31"/>
        <v>0</v>
      </c>
    </row>
    <row r="110" spans="1:61" s="25" customFormat="1" ht="35.25" customHeight="1">
      <c r="A110" s="2"/>
      <c r="B110" s="2"/>
      <c r="C110" s="2"/>
      <c r="D110" s="1"/>
      <c r="E110" s="1"/>
      <c r="F110" s="1"/>
      <c r="G110" s="1"/>
      <c r="H110" s="1"/>
      <c r="I110" s="1"/>
      <c r="J110" s="1"/>
      <c r="K110" s="35"/>
      <c r="L110" s="35"/>
      <c r="M110" s="35"/>
      <c r="N110" s="35"/>
      <c r="O110" s="35"/>
      <c r="P110" s="35"/>
      <c r="Q110" s="36"/>
      <c r="S110" s="8"/>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row>
    <row r="113" spans="1:61" s="25" customFormat="1" ht="33" customHeight="1">
      <c r="A113" s="2"/>
      <c r="B113" s="2"/>
      <c r="C113" s="2"/>
      <c r="D113" s="1"/>
      <c r="E113" s="1"/>
      <c r="F113" s="1"/>
      <c r="G113" s="1"/>
      <c r="H113" s="1"/>
      <c r="I113" s="1"/>
      <c r="J113" s="1"/>
      <c r="K113" s="1"/>
      <c r="L113" s="1"/>
      <c r="M113" s="1"/>
      <c r="N113" s="1"/>
      <c r="O113" s="1"/>
      <c r="S113" s="8"/>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row>
  </sheetData>
  <mergeCells count="2525">
    <mergeCell ref="G104:G105"/>
    <mergeCell ref="H104:H105"/>
    <mergeCell ref="I104:I105"/>
    <mergeCell ref="J104:J105"/>
    <mergeCell ref="N104:N105"/>
    <mergeCell ref="Q104:Q105"/>
    <mergeCell ref="U104:U105"/>
    <mergeCell ref="V104:V105"/>
    <mergeCell ref="W104:W105"/>
    <mergeCell ref="AC102:AC103"/>
    <mergeCell ref="AA102:AA103"/>
    <mergeCell ref="AB102:AB103"/>
    <mergeCell ref="AZ102:AZ103"/>
    <mergeCell ref="BA102:BA103"/>
    <mergeCell ref="A107:I107"/>
    <mergeCell ref="AY104:AY105"/>
    <mergeCell ref="AZ104:AZ105"/>
    <mergeCell ref="BA104:BA105"/>
    <mergeCell ref="W102:W103"/>
    <mergeCell ref="X102:X103"/>
    <mergeCell ref="Y102:Y103"/>
    <mergeCell ref="Z102:Z103"/>
    <mergeCell ref="AD102:AD103"/>
    <mergeCell ref="AE102:AE103"/>
    <mergeCell ref="AF102:AF103"/>
    <mergeCell ref="AG102:AG103"/>
    <mergeCell ref="N102:N103"/>
    <mergeCell ref="Q102:Q103"/>
    <mergeCell ref="R102:R103"/>
    <mergeCell ref="S102:S103"/>
    <mergeCell ref="T102:T103"/>
    <mergeCell ref="U102:U103"/>
    <mergeCell ref="BB104:BB105"/>
    <mergeCell ref="BC104:BC105"/>
    <mergeCell ref="X104:X105"/>
    <mergeCell ref="Y104:Y105"/>
    <mergeCell ref="Z104:Z105"/>
    <mergeCell ref="AA104:AA105"/>
    <mergeCell ref="AB104:AB105"/>
    <mergeCell ref="AC104:AC105"/>
    <mergeCell ref="AD104:AD105"/>
    <mergeCell ref="AE104:AE105"/>
    <mergeCell ref="AF104:AF105"/>
    <mergeCell ref="AG104:AG105"/>
    <mergeCell ref="AH104:AH105"/>
    <mergeCell ref="AI104:AI105"/>
    <mergeCell ref="AJ104:AJ105"/>
    <mergeCell ref="AK104:AK105"/>
    <mergeCell ref="AL104:AL105"/>
    <mergeCell ref="AM104:AM105"/>
    <mergeCell ref="AN104:AN105"/>
    <mergeCell ref="AO104:AO105"/>
    <mergeCell ref="AW104:AW105"/>
    <mergeCell ref="AX104:AX105"/>
    <mergeCell ref="AP104:AP105"/>
    <mergeCell ref="AQ104:AQ105"/>
    <mergeCell ref="BE104:BE105"/>
    <mergeCell ref="BF104:BF105"/>
    <mergeCell ref="BG104:BG105"/>
    <mergeCell ref="A106:I106"/>
    <mergeCell ref="AR104:AR105"/>
    <mergeCell ref="BD104:BD105"/>
    <mergeCell ref="AS104:AS105"/>
    <mergeCell ref="AT104:AT105"/>
    <mergeCell ref="AU104:AU105"/>
    <mergeCell ref="AV104:AV105"/>
    <mergeCell ref="BE102:BE103"/>
    <mergeCell ref="BF102:BF103"/>
    <mergeCell ref="BG102:BG103"/>
    <mergeCell ref="A104:A105"/>
    <mergeCell ref="B104:B105"/>
    <mergeCell ref="C104:C105"/>
    <mergeCell ref="D104:D105"/>
    <mergeCell ref="E104:E105"/>
    <mergeCell ref="F104:F105"/>
    <mergeCell ref="R104:R105"/>
    <mergeCell ref="S104:S105"/>
    <mergeCell ref="T104:T105"/>
    <mergeCell ref="A102:A103"/>
    <mergeCell ref="B102:B103"/>
    <mergeCell ref="C102:C103"/>
    <mergeCell ref="D102:D103"/>
    <mergeCell ref="E102:E103"/>
    <mergeCell ref="F102:F103"/>
    <mergeCell ref="G102:G103"/>
    <mergeCell ref="H102:H103"/>
    <mergeCell ref="I102:I103"/>
    <mergeCell ref="J102:J103"/>
    <mergeCell ref="V102:V103"/>
    <mergeCell ref="AF100:AF101"/>
    <mergeCell ref="AG100:AG101"/>
    <mergeCell ref="AH102:AH103"/>
    <mergeCell ref="AI102:AI103"/>
    <mergeCell ref="AJ102:AJ103"/>
    <mergeCell ref="AK102:AK103"/>
    <mergeCell ref="AL102:AL103"/>
    <mergeCell ref="AM102:AM103"/>
    <mergeCell ref="AS100:AS101"/>
    <mergeCell ref="AT100:AT101"/>
    <mergeCell ref="AU100:AU101"/>
    <mergeCell ref="AV100:AV101"/>
    <mergeCell ref="AW100:AW101"/>
    <mergeCell ref="AX100:AX101"/>
    <mergeCell ref="AB100:AB101"/>
    <mergeCell ref="AC100:AC101"/>
    <mergeCell ref="AD100:AD101"/>
    <mergeCell ref="AE100:AE101"/>
    <mergeCell ref="AT102:AT103"/>
    <mergeCell ref="AU102:AU103"/>
    <mergeCell ref="AV102:AV103"/>
    <mergeCell ref="AW102:AW103"/>
    <mergeCell ref="AX102:AX103"/>
    <mergeCell ref="AI100:AI101"/>
    <mergeCell ref="AJ100:AJ101"/>
    <mergeCell ref="AK100:AK101"/>
    <mergeCell ref="AL100:AL101"/>
    <mergeCell ref="AM100:AM101"/>
    <mergeCell ref="AN100:AN101"/>
    <mergeCell ref="AH100:AH101"/>
    <mergeCell ref="BD98:BD99"/>
    <mergeCell ref="BE98:BE99"/>
    <mergeCell ref="BF98:BF99"/>
    <mergeCell ref="AV98:AV99"/>
    <mergeCell ref="AW98:AW99"/>
    <mergeCell ref="AX98:AX99"/>
    <mergeCell ref="AY98:AY99"/>
    <mergeCell ref="AZ98:AZ99"/>
    <mergeCell ref="BA98:BA99"/>
    <mergeCell ref="BB98:BB99"/>
    <mergeCell ref="BC98:BC99"/>
    <mergeCell ref="BE100:BE101"/>
    <mergeCell ref="BF100:BF101"/>
    <mergeCell ref="BB102:BB103"/>
    <mergeCell ref="BC102:BC103"/>
    <mergeCell ref="BD102:BD103"/>
    <mergeCell ref="AN102:AN103"/>
    <mergeCell ref="AO102:AO103"/>
    <mergeCell ref="BB100:BB101"/>
    <mergeCell ref="BC100:BC101"/>
    <mergeCell ref="BD100:BD101"/>
    <mergeCell ref="AO100:AO101"/>
    <mergeCell ref="AP100:AP101"/>
    <mergeCell ref="AQ100:AQ101"/>
    <mergeCell ref="AR100:AR101"/>
    <mergeCell ref="AP102:AP103"/>
    <mergeCell ref="AQ102:AQ103"/>
    <mergeCell ref="AR102:AR103"/>
    <mergeCell ref="AS102:AS103"/>
    <mergeCell ref="AQ98:AQ99"/>
    <mergeCell ref="AR98:AR99"/>
    <mergeCell ref="AS98:AS99"/>
    <mergeCell ref="BG98:BG99"/>
    <mergeCell ref="AY100:AY101"/>
    <mergeCell ref="AZ100:AZ101"/>
    <mergeCell ref="BA100:BA101"/>
    <mergeCell ref="BG100:BG101"/>
    <mergeCell ref="AY102:AY103"/>
    <mergeCell ref="A100:A101"/>
    <mergeCell ref="B100:B101"/>
    <mergeCell ref="C100:C101"/>
    <mergeCell ref="D100:D101"/>
    <mergeCell ref="E100:E101"/>
    <mergeCell ref="F100:F101"/>
    <mergeCell ref="G100:G101"/>
    <mergeCell ref="H100:H101"/>
    <mergeCell ref="I100:I101"/>
    <mergeCell ref="J100:J101"/>
    <mergeCell ref="N100:N101"/>
    <mergeCell ref="Q100:Q101"/>
    <mergeCell ref="R100:R101"/>
    <mergeCell ref="S100:S101"/>
    <mergeCell ref="T100:T101"/>
    <mergeCell ref="U100:U101"/>
    <mergeCell ref="V100:V101"/>
    <mergeCell ref="W100:W101"/>
    <mergeCell ref="X100:X101"/>
    <mergeCell ref="Y100:Y101"/>
    <mergeCell ref="Z100:Z101"/>
    <mergeCell ref="AA100:AA101"/>
    <mergeCell ref="AM98:AM99"/>
    <mergeCell ref="AN98:AN99"/>
    <mergeCell ref="AO98:AO99"/>
    <mergeCell ref="AP98:AP99"/>
    <mergeCell ref="AT98:AT99"/>
    <mergeCell ref="AU98:AU99"/>
    <mergeCell ref="V98:V99"/>
    <mergeCell ref="W98:W99"/>
    <mergeCell ref="X98:X99"/>
    <mergeCell ref="Y98:Y99"/>
    <mergeCell ref="Z98:Z99"/>
    <mergeCell ref="AA98:AA99"/>
    <mergeCell ref="AB98:AB99"/>
    <mergeCell ref="AC98:AC99"/>
    <mergeCell ref="AD98:AD99"/>
    <mergeCell ref="AE98:AE99"/>
    <mergeCell ref="AF98:AF99"/>
    <mergeCell ref="AG98:AG99"/>
    <mergeCell ref="AH98:AH99"/>
    <mergeCell ref="AI98:AI99"/>
    <mergeCell ref="AJ98:AJ99"/>
    <mergeCell ref="AK98:AK99"/>
    <mergeCell ref="AL98:AL99"/>
    <mergeCell ref="A97:I97"/>
    <mergeCell ref="A98:A99"/>
    <mergeCell ref="B98:B99"/>
    <mergeCell ref="C98:C99"/>
    <mergeCell ref="D98:D99"/>
    <mergeCell ref="E98:E99"/>
    <mergeCell ref="F98:F99"/>
    <mergeCell ref="G98:G99"/>
    <mergeCell ref="H98:H99"/>
    <mergeCell ref="I98:I99"/>
    <mergeCell ref="J98:J99"/>
    <mergeCell ref="N98:N99"/>
    <mergeCell ref="Q98:Q99"/>
    <mergeCell ref="R98:R99"/>
    <mergeCell ref="S98:S99"/>
    <mergeCell ref="T98:T99"/>
    <mergeCell ref="U98:U99"/>
    <mergeCell ref="AW95:AW96"/>
    <mergeCell ref="AX95:AX96"/>
    <mergeCell ref="AY95:AY96"/>
    <mergeCell ref="AZ95:AZ96"/>
    <mergeCell ref="BA95:BA96"/>
    <mergeCell ref="X95:X96"/>
    <mergeCell ref="Y95:Y96"/>
    <mergeCell ref="Z95:Z96"/>
    <mergeCell ref="BC95:BC96"/>
    <mergeCell ref="BD95:BD96"/>
    <mergeCell ref="BE95:BE96"/>
    <mergeCell ref="AP95:AP96"/>
    <mergeCell ref="AQ95:AQ96"/>
    <mergeCell ref="AR95:AR96"/>
    <mergeCell ref="AS95:AS96"/>
    <mergeCell ref="AD95:AD96"/>
    <mergeCell ref="AE95:AE96"/>
    <mergeCell ref="AF95:AF96"/>
    <mergeCell ref="AG95:AG96"/>
    <mergeCell ref="AH95:AH96"/>
    <mergeCell ref="AI95:AI96"/>
    <mergeCell ref="BB95:BB96"/>
    <mergeCell ref="AJ95:AJ96"/>
    <mergeCell ref="AK95:AK96"/>
    <mergeCell ref="AL95:AL96"/>
    <mergeCell ref="AM95:AM96"/>
    <mergeCell ref="AN95:AN96"/>
    <mergeCell ref="AO95:AO96"/>
    <mergeCell ref="AT95:AT96"/>
    <mergeCell ref="AU95:AU96"/>
    <mergeCell ref="AZ93:AZ94"/>
    <mergeCell ref="BA93:BA94"/>
    <mergeCell ref="BB93:BB94"/>
    <mergeCell ref="BC93:BC94"/>
    <mergeCell ref="BD93:BD94"/>
    <mergeCell ref="BE93:BE94"/>
    <mergeCell ref="BF93:BF94"/>
    <mergeCell ref="BG93:BG94"/>
    <mergeCell ref="A95:A96"/>
    <mergeCell ref="B95:B96"/>
    <mergeCell ref="C95:C96"/>
    <mergeCell ref="D95:D96"/>
    <mergeCell ref="E95:E96"/>
    <mergeCell ref="F95:F96"/>
    <mergeCell ref="G95:G96"/>
    <mergeCell ref="H95:H96"/>
    <mergeCell ref="I95:I96"/>
    <mergeCell ref="J95:J96"/>
    <mergeCell ref="N95:N96"/>
    <mergeCell ref="Q95:Q96"/>
    <mergeCell ref="AA95:AA96"/>
    <mergeCell ref="AB95:AB96"/>
    <mergeCell ref="AC95:AC96"/>
    <mergeCell ref="R95:R96"/>
    <mergeCell ref="S95:S96"/>
    <mergeCell ref="T95:T96"/>
    <mergeCell ref="U95:U96"/>
    <mergeCell ref="V95:V96"/>
    <mergeCell ref="W95:W96"/>
    <mergeCell ref="BF95:BF96"/>
    <mergeCell ref="BG95:BG96"/>
    <mergeCell ref="AV95:AV96"/>
    <mergeCell ref="AI93:AI94"/>
    <mergeCell ref="AJ93:AJ94"/>
    <mergeCell ref="AK93:AK94"/>
    <mergeCell ref="AL93:AL94"/>
    <mergeCell ref="AM93:AM94"/>
    <mergeCell ref="AN93:AN94"/>
    <mergeCell ref="AO93:AO94"/>
    <mergeCell ref="AP93:AP94"/>
    <mergeCell ref="AQ93:AQ94"/>
    <mergeCell ref="AR93:AR94"/>
    <mergeCell ref="AS93:AS94"/>
    <mergeCell ref="AT93:AT94"/>
    <mergeCell ref="AU93:AU94"/>
    <mergeCell ref="AV93:AV94"/>
    <mergeCell ref="AW93:AW94"/>
    <mergeCell ref="AX93:AX94"/>
    <mergeCell ref="AY93:AY94"/>
    <mergeCell ref="BE91:BE92"/>
    <mergeCell ref="BF91:BF92"/>
    <mergeCell ref="BG91:BG92"/>
    <mergeCell ref="A93:A94"/>
    <mergeCell ref="B93:B94"/>
    <mergeCell ref="C93:C94"/>
    <mergeCell ref="D93:D94"/>
    <mergeCell ref="E93:E94"/>
    <mergeCell ref="F93:F94"/>
    <mergeCell ref="G93:G94"/>
    <mergeCell ref="H93:H94"/>
    <mergeCell ref="I93:I94"/>
    <mergeCell ref="J93:J94"/>
    <mergeCell ref="N93:N94"/>
    <mergeCell ref="Q93:Q94"/>
    <mergeCell ref="R93:R94"/>
    <mergeCell ref="S93:S94"/>
    <mergeCell ref="T93:T94"/>
    <mergeCell ref="U93:U94"/>
    <mergeCell ref="V93:V94"/>
    <mergeCell ref="W93:W94"/>
    <mergeCell ref="X93:X94"/>
    <mergeCell ref="Y93:Y94"/>
    <mergeCell ref="Z93:Z94"/>
    <mergeCell ref="AA93:AA94"/>
    <mergeCell ref="AB93:AB94"/>
    <mergeCell ref="AC93:AC94"/>
    <mergeCell ref="AD93:AD94"/>
    <mergeCell ref="AE93:AE94"/>
    <mergeCell ref="AF93:AF94"/>
    <mergeCell ref="AG93:AG94"/>
    <mergeCell ref="AH93:AH94"/>
    <mergeCell ref="AN91:AN92"/>
    <mergeCell ref="AO91:AO92"/>
    <mergeCell ref="AP91:AP92"/>
    <mergeCell ref="AQ91:AQ92"/>
    <mergeCell ref="AR91:AR92"/>
    <mergeCell ref="AS91:AS92"/>
    <mergeCell ref="AT91:AT92"/>
    <mergeCell ref="AU91:AU92"/>
    <mergeCell ref="AV91:AV92"/>
    <mergeCell ref="AW91:AW92"/>
    <mergeCell ref="AX91:AX92"/>
    <mergeCell ref="AY91:AY92"/>
    <mergeCell ref="AZ91:AZ92"/>
    <mergeCell ref="BA91:BA92"/>
    <mergeCell ref="BB91:BB92"/>
    <mergeCell ref="BC91:BC92"/>
    <mergeCell ref="BD91:BD92"/>
    <mergeCell ref="W91:W92"/>
    <mergeCell ref="X91:X92"/>
    <mergeCell ref="Y91:Y92"/>
    <mergeCell ref="Z91:Z92"/>
    <mergeCell ref="AA91:AA92"/>
    <mergeCell ref="AB91:AB92"/>
    <mergeCell ref="AC91:AC92"/>
    <mergeCell ref="AD91:AD92"/>
    <mergeCell ref="AE91:AE92"/>
    <mergeCell ref="AF91:AF92"/>
    <mergeCell ref="AG91:AG92"/>
    <mergeCell ref="AH91:AH92"/>
    <mergeCell ref="AI91:AI92"/>
    <mergeCell ref="AJ91:AJ92"/>
    <mergeCell ref="AK91:AK92"/>
    <mergeCell ref="AL91:AL92"/>
    <mergeCell ref="AM91:AM92"/>
    <mergeCell ref="AS89:AS90"/>
    <mergeCell ref="AT89:AT90"/>
    <mergeCell ref="AU89:AU90"/>
    <mergeCell ref="AV89:AV90"/>
    <mergeCell ref="AW89:AW90"/>
    <mergeCell ref="AX89:AX90"/>
    <mergeCell ref="AY89:AY90"/>
    <mergeCell ref="AZ89:AZ90"/>
    <mergeCell ref="BA89:BA90"/>
    <mergeCell ref="BB89:BB90"/>
    <mergeCell ref="BC89:BC90"/>
    <mergeCell ref="BD89:BD90"/>
    <mergeCell ref="BE89:BE90"/>
    <mergeCell ref="BF89:BF90"/>
    <mergeCell ref="BG89:BG90"/>
    <mergeCell ref="A91:A92"/>
    <mergeCell ref="B91:B92"/>
    <mergeCell ref="C91:C92"/>
    <mergeCell ref="D91:D92"/>
    <mergeCell ref="E91:E92"/>
    <mergeCell ref="F91:F92"/>
    <mergeCell ref="G91:G92"/>
    <mergeCell ref="H91:H92"/>
    <mergeCell ref="I91:I92"/>
    <mergeCell ref="J91:J92"/>
    <mergeCell ref="N91:N92"/>
    <mergeCell ref="Q91:Q92"/>
    <mergeCell ref="R91:R92"/>
    <mergeCell ref="S91:S92"/>
    <mergeCell ref="T91:T92"/>
    <mergeCell ref="U91:U92"/>
    <mergeCell ref="V91:V92"/>
    <mergeCell ref="AB89:AB90"/>
    <mergeCell ref="AC89:AC90"/>
    <mergeCell ref="AD89:AD90"/>
    <mergeCell ref="AE89:AE90"/>
    <mergeCell ref="AF89:AF90"/>
    <mergeCell ref="AG89:AG90"/>
    <mergeCell ref="AH89:AH90"/>
    <mergeCell ref="AI89:AI90"/>
    <mergeCell ref="AJ89:AJ90"/>
    <mergeCell ref="AK89:AK90"/>
    <mergeCell ref="AL89:AL90"/>
    <mergeCell ref="AM89:AM90"/>
    <mergeCell ref="AN89:AN90"/>
    <mergeCell ref="AO89:AO90"/>
    <mergeCell ref="AP89:AP90"/>
    <mergeCell ref="AQ89:AQ90"/>
    <mergeCell ref="AR89:AR90"/>
    <mergeCell ref="BC86:BC87"/>
    <mergeCell ref="BD86:BD87"/>
    <mergeCell ref="BE86:BE87"/>
    <mergeCell ref="BF86:BF87"/>
    <mergeCell ref="BG86:BG87"/>
    <mergeCell ref="A88:I88"/>
    <mergeCell ref="AW86:AW87"/>
    <mergeCell ref="AX86:AX87"/>
    <mergeCell ref="AY86:AY87"/>
    <mergeCell ref="AZ86:AZ87"/>
    <mergeCell ref="A89:A90"/>
    <mergeCell ref="B89:B90"/>
    <mergeCell ref="C89:C90"/>
    <mergeCell ref="D89:D90"/>
    <mergeCell ref="E89:E90"/>
    <mergeCell ref="F89:F90"/>
    <mergeCell ref="G89:G90"/>
    <mergeCell ref="H89:H90"/>
    <mergeCell ref="I89:I90"/>
    <mergeCell ref="J89:J90"/>
    <mergeCell ref="N89:N90"/>
    <mergeCell ref="Q89:Q90"/>
    <mergeCell ref="R89:R90"/>
    <mergeCell ref="S89:S90"/>
    <mergeCell ref="T89:T90"/>
    <mergeCell ref="U89:U90"/>
    <mergeCell ref="V89:V90"/>
    <mergeCell ref="W89:W90"/>
    <mergeCell ref="X89:X90"/>
    <mergeCell ref="Y89:Y90"/>
    <mergeCell ref="Z89:Z90"/>
    <mergeCell ref="AA89:AA90"/>
    <mergeCell ref="AF86:AF87"/>
    <mergeCell ref="AG86:AG87"/>
    <mergeCell ref="AH86:AH87"/>
    <mergeCell ref="AI86:AI87"/>
    <mergeCell ref="AJ86:AJ87"/>
    <mergeCell ref="AK86:AK87"/>
    <mergeCell ref="AL86:AL87"/>
    <mergeCell ref="AM86:AM87"/>
    <mergeCell ref="AN86:AN87"/>
    <mergeCell ref="AO86:AO87"/>
    <mergeCell ref="AP86:AP87"/>
    <mergeCell ref="BA86:BA87"/>
    <mergeCell ref="BB86:BB87"/>
    <mergeCell ref="AQ86:AQ87"/>
    <mergeCell ref="AR86:AR87"/>
    <mergeCell ref="AS86:AS87"/>
    <mergeCell ref="AT86:AT87"/>
    <mergeCell ref="AU86:AU87"/>
    <mergeCell ref="AV86:AV87"/>
    <mergeCell ref="BF84:BF85"/>
    <mergeCell ref="BG84:BG85"/>
    <mergeCell ref="A86:A87"/>
    <mergeCell ref="B86:B87"/>
    <mergeCell ref="C86:C87"/>
    <mergeCell ref="D86:D87"/>
    <mergeCell ref="E86:E87"/>
    <mergeCell ref="F86:F87"/>
    <mergeCell ref="U84:U85"/>
    <mergeCell ref="V84:V85"/>
    <mergeCell ref="W84:W85"/>
    <mergeCell ref="X84:X85"/>
    <mergeCell ref="Y84:Y85"/>
    <mergeCell ref="Z84:Z85"/>
    <mergeCell ref="BE84:BE85"/>
    <mergeCell ref="AL84:AL85"/>
    <mergeCell ref="AA84:AA85"/>
    <mergeCell ref="AB84:AB85"/>
    <mergeCell ref="AC84:AC85"/>
    <mergeCell ref="AD84:AD85"/>
    <mergeCell ref="AE84:AE85"/>
    <mergeCell ref="AF84:AF85"/>
    <mergeCell ref="BD84:BD85"/>
    <mergeCell ref="AW84:AW85"/>
    <mergeCell ref="H86:H87"/>
    <mergeCell ref="I86:I87"/>
    <mergeCell ref="J86:J87"/>
    <mergeCell ref="N86:N87"/>
    <mergeCell ref="Q86:Q87"/>
    <mergeCell ref="R86:R87"/>
    <mergeCell ref="S86:S87"/>
    <mergeCell ref="T86:T87"/>
    <mergeCell ref="S84:S85"/>
    <mergeCell ref="T84:T85"/>
    <mergeCell ref="AX84:AX85"/>
    <mergeCell ref="AM84:AM85"/>
    <mergeCell ref="AN84:AN85"/>
    <mergeCell ref="AO84:AO85"/>
    <mergeCell ref="AP84:AP85"/>
    <mergeCell ref="AQ84:AQ85"/>
    <mergeCell ref="AR84:AR85"/>
    <mergeCell ref="G86:G87"/>
    <mergeCell ref="AY84:AY85"/>
    <mergeCell ref="AZ84:AZ85"/>
    <mergeCell ref="BA84:BA85"/>
    <mergeCell ref="BB84:BB85"/>
    <mergeCell ref="BC84:BC85"/>
    <mergeCell ref="AS84:AS85"/>
    <mergeCell ref="AT84:AT85"/>
    <mergeCell ref="AU84:AU85"/>
    <mergeCell ref="AV84:AV85"/>
    <mergeCell ref="J84:J85"/>
    <mergeCell ref="N84:N85"/>
    <mergeCell ref="U86:U87"/>
    <mergeCell ref="V86:V87"/>
    <mergeCell ref="W86:W87"/>
    <mergeCell ref="X86:X87"/>
    <mergeCell ref="Y86:Y87"/>
    <mergeCell ref="Z86:Z87"/>
    <mergeCell ref="AA86:AA87"/>
    <mergeCell ref="AB86:AB87"/>
    <mergeCell ref="AC86:AC87"/>
    <mergeCell ref="AD86:AD87"/>
    <mergeCell ref="AE86:AE87"/>
    <mergeCell ref="AR82:AR83"/>
    <mergeCell ref="AS82:AS83"/>
    <mergeCell ref="AT82:AT83"/>
    <mergeCell ref="AU82:AU83"/>
    <mergeCell ref="AV82:AV83"/>
    <mergeCell ref="AW82:AW83"/>
    <mergeCell ref="AX82:AX83"/>
    <mergeCell ref="AY82:AY83"/>
    <mergeCell ref="AZ82:AZ83"/>
    <mergeCell ref="BA82:BA83"/>
    <mergeCell ref="BB82:BB83"/>
    <mergeCell ref="BC82:BC83"/>
    <mergeCell ref="BD82:BD83"/>
    <mergeCell ref="BE82:BE83"/>
    <mergeCell ref="BF82:BF83"/>
    <mergeCell ref="BG82:BG83"/>
    <mergeCell ref="A84:A85"/>
    <mergeCell ref="B84:B85"/>
    <mergeCell ref="C84:C85"/>
    <mergeCell ref="D84:D85"/>
    <mergeCell ref="E84:E85"/>
    <mergeCell ref="F84:F85"/>
    <mergeCell ref="G84:G85"/>
    <mergeCell ref="H84:H85"/>
    <mergeCell ref="I84:I85"/>
    <mergeCell ref="AG84:AG85"/>
    <mergeCell ref="AH84:AH85"/>
    <mergeCell ref="AI84:AI85"/>
    <mergeCell ref="AJ84:AJ85"/>
    <mergeCell ref="AK84:AK85"/>
    <mergeCell ref="Q84:Q85"/>
    <mergeCell ref="R84:R85"/>
    <mergeCell ref="BD80:BD81"/>
    <mergeCell ref="BE80:BE81"/>
    <mergeCell ref="BF80:BF81"/>
    <mergeCell ref="BG80:BG81"/>
    <mergeCell ref="AB80:AB81"/>
    <mergeCell ref="AC80:AC81"/>
    <mergeCell ref="AD80:AD81"/>
    <mergeCell ref="AX80:AX81"/>
    <mergeCell ref="AY80:AY81"/>
    <mergeCell ref="F82:F83"/>
    <mergeCell ref="G82:G83"/>
    <mergeCell ref="H82:H83"/>
    <mergeCell ref="I82:I83"/>
    <mergeCell ref="J82:J83"/>
    <mergeCell ref="N82:N83"/>
    <mergeCell ref="Q82:Q83"/>
    <mergeCell ref="R82:R83"/>
    <mergeCell ref="S82:S83"/>
    <mergeCell ref="T82:T83"/>
    <mergeCell ref="U82:U83"/>
    <mergeCell ref="V82:V83"/>
    <mergeCell ref="W82:W83"/>
    <mergeCell ref="X82:X83"/>
    <mergeCell ref="Y82:Y83"/>
    <mergeCell ref="Z82:Z83"/>
    <mergeCell ref="AA82:AA83"/>
    <mergeCell ref="AB82:AB83"/>
    <mergeCell ref="AC82:AC83"/>
    <mergeCell ref="AD82:AD83"/>
    <mergeCell ref="AE82:AE83"/>
    <mergeCell ref="AF82:AF83"/>
    <mergeCell ref="AG82:AG83"/>
    <mergeCell ref="A82:A83"/>
    <mergeCell ref="B82:B83"/>
    <mergeCell ref="C82:C83"/>
    <mergeCell ref="D82:D83"/>
    <mergeCell ref="E82:E83"/>
    <mergeCell ref="AW80:AW81"/>
    <mergeCell ref="AK80:AK81"/>
    <mergeCell ref="AL80:AL81"/>
    <mergeCell ref="AM80:AM81"/>
    <mergeCell ref="AN80:AN81"/>
    <mergeCell ref="H80:H81"/>
    <mergeCell ref="I80:I81"/>
    <mergeCell ref="J80:J81"/>
    <mergeCell ref="N80:N81"/>
    <mergeCell ref="Q80:Q81"/>
    <mergeCell ref="R80:R81"/>
    <mergeCell ref="S80:S81"/>
    <mergeCell ref="T80:T81"/>
    <mergeCell ref="U80:U81"/>
    <mergeCell ref="V80:V81"/>
    <mergeCell ref="W80:W81"/>
    <mergeCell ref="X80:X81"/>
    <mergeCell ref="AH82:AH83"/>
    <mergeCell ref="AI82:AI83"/>
    <mergeCell ref="AJ82:AJ83"/>
    <mergeCell ref="AK82:AK83"/>
    <mergeCell ref="AL82:AL83"/>
    <mergeCell ref="AM82:AM83"/>
    <mergeCell ref="AN82:AN83"/>
    <mergeCell ref="AO82:AO83"/>
    <mergeCell ref="AP82:AP83"/>
    <mergeCell ref="AQ82:AQ83"/>
    <mergeCell ref="A80:A81"/>
    <mergeCell ref="B80:B81"/>
    <mergeCell ref="C80:C81"/>
    <mergeCell ref="D80:D81"/>
    <mergeCell ref="E80:E81"/>
    <mergeCell ref="F80:F81"/>
    <mergeCell ref="Y80:Y81"/>
    <mergeCell ref="Z80:Z81"/>
    <mergeCell ref="AA80:AA81"/>
    <mergeCell ref="BE78:BE79"/>
    <mergeCell ref="BF78:BF79"/>
    <mergeCell ref="BG78:BG79"/>
    <mergeCell ref="BD78:BD79"/>
    <mergeCell ref="AW78:AW79"/>
    <mergeCell ref="AX78:AX79"/>
    <mergeCell ref="AM78:AM79"/>
    <mergeCell ref="AO80:AO81"/>
    <mergeCell ref="AP80:AP81"/>
    <mergeCell ref="AE80:AE81"/>
    <mergeCell ref="AF80:AF81"/>
    <mergeCell ref="AG80:AG81"/>
    <mergeCell ref="AH80:AH81"/>
    <mergeCell ref="AI80:AI81"/>
    <mergeCell ref="AJ80:AJ81"/>
    <mergeCell ref="AZ80:AZ81"/>
    <mergeCell ref="BA80:BA81"/>
    <mergeCell ref="BB80:BB81"/>
    <mergeCell ref="AQ80:AQ81"/>
    <mergeCell ref="AR80:AR81"/>
    <mergeCell ref="AS80:AS81"/>
    <mergeCell ref="AT80:AT81"/>
    <mergeCell ref="AU80:AU81"/>
    <mergeCell ref="AN78:AN79"/>
    <mergeCell ref="AO78:AO79"/>
    <mergeCell ref="AP78:AP79"/>
    <mergeCell ref="AQ78:AQ79"/>
    <mergeCell ref="AR78:AR79"/>
    <mergeCell ref="AG78:AG79"/>
    <mergeCell ref="AH78:AH79"/>
    <mergeCell ref="AI78:AI79"/>
    <mergeCell ref="AJ78:AJ79"/>
    <mergeCell ref="AK78:AK79"/>
    <mergeCell ref="G80:G81"/>
    <mergeCell ref="AY78:AY79"/>
    <mergeCell ref="AZ78:AZ79"/>
    <mergeCell ref="BA78:BA79"/>
    <mergeCell ref="BB78:BB79"/>
    <mergeCell ref="BC78:BC79"/>
    <mergeCell ref="AS78:AS79"/>
    <mergeCell ref="AT78:AT79"/>
    <mergeCell ref="AU78:AU79"/>
    <mergeCell ref="AV78:AV79"/>
    <mergeCell ref="AV80:AV81"/>
    <mergeCell ref="BC80:BC81"/>
    <mergeCell ref="BE75:BE76"/>
    <mergeCell ref="BF75:BF76"/>
    <mergeCell ref="BG75:BG76"/>
    <mergeCell ref="A77:I77"/>
    <mergeCell ref="A78:A79"/>
    <mergeCell ref="B78:B79"/>
    <mergeCell ref="C78:C79"/>
    <mergeCell ref="D78:D79"/>
    <mergeCell ref="E78:E79"/>
    <mergeCell ref="F78:F79"/>
    <mergeCell ref="G78:G79"/>
    <mergeCell ref="H78:H79"/>
    <mergeCell ref="I78:I79"/>
    <mergeCell ref="J78:J79"/>
    <mergeCell ref="N78:N79"/>
    <mergeCell ref="Q78:Q79"/>
    <mergeCell ref="R78:R79"/>
    <mergeCell ref="S78:S79"/>
    <mergeCell ref="T78:T79"/>
    <mergeCell ref="U78:U79"/>
    <mergeCell ref="V78:V79"/>
    <mergeCell ref="W78:W79"/>
    <mergeCell ref="X78:X79"/>
    <mergeCell ref="Y78:Y79"/>
    <mergeCell ref="Z78:Z79"/>
    <mergeCell ref="AL78:AL79"/>
    <mergeCell ref="AA78:AA79"/>
    <mergeCell ref="AB78:AB79"/>
    <mergeCell ref="AC78:AC79"/>
    <mergeCell ref="AD78:AD79"/>
    <mergeCell ref="AE78:AE79"/>
    <mergeCell ref="AF78:AF79"/>
    <mergeCell ref="AN75:AN76"/>
    <mergeCell ref="AO75:AO76"/>
    <mergeCell ref="AP75:AP76"/>
    <mergeCell ref="AQ75:AQ76"/>
    <mergeCell ref="AR75:AR76"/>
    <mergeCell ref="AS75:AS76"/>
    <mergeCell ref="AT75:AT76"/>
    <mergeCell ref="AU75:AU76"/>
    <mergeCell ref="AV75:AV76"/>
    <mergeCell ref="AW75:AW76"/>
    <mergeCell ref="AX75:AX76"/>
    <mergeCell ref="AY75:AY76"/>
    <mergeCell ref="AZ75:AZ76"/>
    <mergeCell ref="BA75:BA76"/>
    <mergeCell ref="BB75:BB76"/>
    <mergeCell ref="BC75:BC76"/>
    <mergeCell ref="BD75:BD76"/>
    <mergeCell ref="W75:W76"/>
    <mergeCell ref="X75:X76"/>
    <mergeCell ref="Y75:Y76"/>
    <mergeCell ref="Z75:Z76"/>
    <mergeCell ref="AA75:AA76"/>
    <mergeCell ref="AB75:AB76"/>
    <mergeCell ref="AC75:AC76"/>
    <mergeCell ref="AD75:AD76"/>
    <mergeCell ref="AE75:AE76"/>
    <mergeCell ref="AF75:AF76"/>
    <mergeCell ref="AG75:AG76"/>
    <mergeCell ref="AH75:AH76"/>
    <mergeCell ref="AI75:AI76"/>
    <mergeCell ref="AJ75:AJ76"/>
    <mergeCell ref="AK75:AK76"/>
    <mergeCell ref="AL75:AL76"/>
    <mergeCell ref="AM75:AM76"/>
    <mergeCell ref="A75:A76"/>
    <mergeCell ref="B75:B76"/>
    <mergeCell ref="C75:C76"/>
    <mergeCell ref="D75:D76"/>
    <mergeCell ref="E75:E76"/>
    <mergeCell ref="F75:F76"/>
    <mergeCell ref="G75:G76"/>
    <mergeCell ref="H75:H76"/>
    <mergeCell ref="I75:I76"/>
    <mergeCell ref="J75:J76"/>
    <mergeCell ref="N75:N76"/>
    <mergeCell ref="Q75:Q76"/>
    <mergeCell ref="R75:R76"/>
    <mergeCell ref="S75:S76"/>
    <mergeCell ref="T75:T76"/>
    <mergeCell ref="U75:U76"/>
    <mergeCell ref="V75:V76"/>
    <mergeCell ref="BG73:BG74"/>
    <mergeCell ref="AV73:AV74"/>
    <mergeCell ref="AW73:AW74"/>
    <mergeCell ref="AX73:AX74"/>
    <mergeCell ref="AY73:AY74"/>
    <mergeCell ref="AZ73:AZ74"/>
    <mergeCell ref="BA73:BA74"/>
    <mergeCell ref="AI73:AI74"/>
    <mergeCell ref="X73:X74"/>
    <mergeCell ref="Y73:Y74"/>
    <mergeCell ref="Z73:Z74"/>
    <mergeCell ref="AA73:AA74"/>
    <mergeCell ref="AB73:AB74"/>
    <mergeCell ref="AC73:AC74"/>
    <mergeCell ref="BB73:BB74"/>
    <mergeCell ref="BC73:BC74"/>
    <mergeCell ref="BD73:BD74"/>
    <mergeCell ref="BE73:BE74"/>
    <mergeCell ref="BF73:BF74"/>
    <mergeCell ref="AD73:AD74"/>
    <mergeCell ref="AE73:AE74"/>
    <mergeCell ref="AF73:AF74"/>
    <mergeCell ref="AG73:AG74"/>
    <mergeCell ref="AH73:AH74"/>
    <mergeCell ref="AT71:AT72"/>
    <mergeCell ref="AU71:AU72"/>
    <mergeCell ref="A73:A74"/>
    <mergeCell ref="B73:B74"/>
    <mergeCell ref="C73:C74"/>
    <mergeCell ref="D73:D74"/>
    <mergeCell ref="E73:E74"/>
    <mergeCell ref="F73:F74"/>
    <mergeCell ref="U73:U74"/>
    <mergeCell ref="V73:V74"/>
    <mergeCell ref="W73:W74"/>
    <mergeCell ref="G73:G74"/>
    <mergeCell ref="H73:H74"/>
    <mergeCell ref="I73:I74"/>
    <mergeCell ref="J73:J74"/>
    <mergeCell ref="N73:N74"/>
    <mergeCell ref="Q73:Q74"/>
    <mergeCell ref="AJ73:AJ74"/>
    <mergeCell ref="AK73:AK74"/>
    <mergeCell ref="AL73:AL74"/>
    <mergeCell ref="AM73:AM74"/>
    <mergeCell ref="AN73:AN74"/>
    <mergeCell ref="AO73:AO74"/>
    <mergeCell ref="AP73:AP74"/>
    <mergeCell ref="AQ73:AQ74"/>
    <mergeCell ref="AR73:AR74"/>
    <mergeCell ref="AS73:AS74"/>
    <mergeCell ref="AT73:AT74"/>
    <mergeCell ref="AU73:AU74"/>
    <mergeCell ref="R73:R74"/>
    <mergeCell ref="S73:S74"/>
    <mergeCell ref="T73:T74"/>
    <mergeCell ref="AL71:AL72"/>
    <mergeCell ref="AM71:AM72"/>
    <mergeCell ref="AN71:AN72"/>
    <mergeCell ref="AO71:AO72"/>
    <mergeCell ref="BG71:BG72"/>
    <mergeCell ref="AV71:AV72"/>
    <mergeCell ref="AW71:AW72"/>
    <mergeCell ref="AX71:AX72"/>
    <mergeCell ref="AY71:AY72"/>
    <mergeCell ref="AZ71:AZ72"/>
    <mergeCell ref="BA71:BA72"/>
    <mergeCell ref="R71:R72"/>
    <mergeCell ref="S71:S72"/>
    <mergeCell ref="T71:T72"/>
    <mergeCell ref="BD71:BD72"/>
    <mergeCell ref="BE71:BE72"/>
    <mergeCell ref="BF71:BF72"/>
    <mergeCell ref="AP71:AP72"/>
    <mergeCell ref="AQ71:AQ72"/>
    <mergeCell ref="AR71:AR72"/>
    <mergeCell ref="AS71:AS72"/>
    <mergeCell ref="X71:X72"/>
    <mergeCell ref="Y71:Y72"/>
    <mergeCell ref="Z71:Z72"/>
    <mergeCell ref="AA71:AA72"/>
    <mergeCell ref="AB71:AB72"/>
    <mergeCell ref="AC71:AC72"/>
    <mergeCell ref="BB71:BB72"/>
    <mergeCell ref="BC71:BC72"/>
    <mergeCell ref="AD71:AD72"/>
    <mergeCell ref="AE71:AE72"/>
    <mergeCell ref="AF71:AF72"/>
    <mergeCell ref="A71:A72"/>
    <mergeCell ref="B71:B72"/>
    <mergeCell ref="C71:C72"/>
    <mergeCell ref="D71:D72"/>
    <mergeCell ref="E71:E72"/>
    <mergeCell ref="F71:F72"/>
    <mergeCell ref="U71:U72"/>
    <mergeCell ref="V71:V72"/>
    <mergeCell ref="W71:W72"/>
    <mergeCell ref="G71:G72"/>
    <mergeCell ref="H71:H72"/>
    <mergeCell ref="I71:I72"/>
    <mergeCell ref="J71:J72"/>
    <mergeCell ref="N71:N72"/>
    <mergeCell ref="Q71:Q72"/>
    <mergeCell ref="AJ71:AJ72"/>
    <mergeCell ref="AK71:AK72"/>
    <mergeCell ref="AG71:AG72"/>
    <mergeCell ref="AH71:AH72"/>
    <mergeCell ref="AI71:AI72"/>
    <mergeCell ref="BD69:BD70"/>
    <mergeCell ref="BE69:BE70"/>
    <mergeCell ref="BF69:BF70"/>
    <mergeCell ref="BG69:BG70"/>
    <mergeCell ref="AV69:AV70"/>
    <mergeCell ref="AW69:AW70"/>
    <mergeCell ref="AX69:AX70"/>
    <mergeCell ref="AY69:AY70"/>
    <mergeCell ref="AZ69:AZ70"/>
    <mergeCell ref="BA69:BA70"/>
    <mergeCell ref="X69:X70"/>
    <mergeCell ref="Y69:Y70"/>
    <mergeCell ref="Z69:Z70"/>
    <mergeCell ref="AA69:AA70"/>
    <mergeCell ref="AB69:AB70"/>
    <mergeCell ref="AC69:AC70"/>
    <mergeCell ref="BB69:BB70"/>
    <mergeCell ref="BC69:BC70"/>
    <mergeCell ref="AD69:AD70"/>
    <mergeCell ref="AE69:AE70"/>
    <mergeCell ref="AF69:AF70"/>
    <mergeCell ref="AG69:AG70"/>
    <mergeCell ref="AH69:AH70"/>
    <mergeCell ref="AI69:AI70"/>
    <mergeCell ref="AP69:AP70"/>
    <mergeCell ref="AQ69:AQ70"/>
    <mergeCell ref="A68:O68"/>
    <mergeCell ref="S69:S70"/>
    <mergeCell ref="T69:T70"/>
    <mergeCell ref="U69:U70"/>
    <mergeCell ref="V69:V70"/>
    <mergeCell ref="W69:W70"/>
    <mergeCell ref="AR69:AR70"/>
    <mergeCell ref="AS69:AS70"/>
    <mergeCell ref="AT69:AT70"/>
    <mergeCell ref="AU69:AU70"/>
    <mergeCell ref="AJ69:AJ70"/>
    <mergeCell ref="AK69:AK70"/>
    <mergeCell ref="AL69:AL70"/>
    <mergeCell ref="AM69:AM70"/>
    <mergeCell ref="AN69:AN70"/>
    <mergeCell ref="AO69:AO70"/>
    <mergeCell ref="AT63:AT64"/>
    <mergeCell ref="AU63:AU64"/>
    <mergeCell ref="BB63:BB64"/>
    <mergeCell ref="BC63:BC64"/>
    <mergeCell ref="BD63:BD64"/>
    <mergeCell ref="BE63:BE64"/>
    <mergeCell ref="BF63:BF64"/>
    <mergeCell ref="BG63:BG64"/>
    <mergeCell ref="A65:I65"/>
    <mergeCell ref="A66:I66"/>
    <mergeCell ref="A67:O67"/>
    <mergeCell ref="AC63:AC64"/>
    <mergeCell ref="AD63:AD64"/>
    <mergeCell ref="AE63:AE64"/>
    <mergeCell ref="AF63:AF64"/>
    <mergeCell ref="AG63:AG64"/>
    <mergeCell ref="AH63:AH64"/>
    <mergeCell ref="AI63:AI64"/>
    <mergeCell ref="AJ63:AJ64"/>
    <mergeCell ref="AK63:AK64"/>
    <mergeCell ref="AL63:AL64"/>
    <mergeCell ref="AM63:AM64"/>
    <mergeCell ref="AN63:AN64"/>
    <mergeCell ref="AO63:AO64"/>
    <mergeCell ref="AP63:AP64"/>
    <mergeCell ref="AQ63:AQ64"/>
    <mergeCell ref="AA63:AA64"/>
    <mergeCell ref="AS63:AS64"/>
    <mergeCell ref="AV63:AV64"/>
    <mergeCell ref="AB63:AB64"/>
    <mergeCell ref="AR63:AR64"/>
    <mergeCell ref="BB61:BB62"/>
    <mergeCell ref="BC61:BC62"/>
    <mergeCell ref="BD61:BD62"/>
    <mergeCell ref="BE61:BE62"/>
    <mergeCell ref="BF61:BF62"/>
    <mergeCell ref="BG61:BG62"/>
    <mergeCell ref="A63:A64"/>
    <mergeCell ref="B63:B64"/>
    <mergeCell ref="C63:C64"/>
    <mergeCell ref="D63:D64"/>
    <mergeCell ref="E63:E64"/>
    <mergeCell ref="F63:F64"/>
    <mergeCell ref="G63:G64"/>
    <mergeCell ref="H63:H64"/>
    <mergeCell ref="I63:I64"/>
    <mergeCell ref="J63:J64"/>
    <mergeCell ref="N63:N64"/>
    <mergeCell ref="Q63:Q64"/>
    <mergeCell ref="R63:R64"/>
    <mergeCell ref="S63:S64"/>
    <mergeCell ref="T63:T64"/>
    <mergeCell ref="U63:U64"/>
    <mergeCell ref="V63:V64"/>
    <mergeCell ref="W63:W64"/>
    <mergeCell ref="X63:X64"/>
    <mergeCell ref="Y63:Y64"/>
    <mergeCell ref="Z63:Z64"/>
    <mergeCell ref="AW63:AW64"/>
    <mergeCell ref="AX63:AX64"/>
    <mergeCell ref="AY63:AY64"/>
    <mergeCell ref="AZ63:AZ64"/>
    <mergeCell ref="BA63:BA64"/>
    <mergeCell ref="BD59:BD60"/>
    <mergeCell ref="BE59:BE60"/>
    <mergeCell ref="BF59:BF60"/>
    <mergeCell ref="BG59:BG60"/>
    <mergeCell ref="A61:A62"/>
    <mergeCell ref="B61:B62"/>
    <mergeCell ref="C61:C62"/>
    <mergeCell ref="D61:D62"/>
    <mergeCell ref="E61:E62"/>
    <mergeCell ref="F61:F62"/>
    <mergeCell ref="G61:G62"/>
    <mergeCell ref="H61:H62"/>
    <mergeCell ref="I61:I62"/>
    <mergeCell ref="J61:J62"/>
    <mergeCell ref="N61:N62"/>
    <mergeCell ref="Q61:Q62"/>
    <mergeCell ref="R61:R62"/>
    <mergeCell ref="S61:S62"/>
    <mergeCell ref="T61:T62"/>
    <mergeCell ref="U61:U62"/>
    <mergeCell ref="V61:V62"/>
    <mergeCell ref="W61:W62"/>
    <mergeCell ref="X61:X62"/>
    <mergeCell ref="Y61:Y62"/>
    <mergeCell ref="Z61:Z62"/>
    <mergeCell ref="AA61:AA62"/>
    <mergeCell ref="AB61:AB62"/>
    <mergeCell ref="AC61:AC62"/>
    <mergeCell ref="AD61:AD62"/>
    <mergeCell ref="AE61:AE62"/>
    <mergeCell ref="AF61:AF62"/>
    <mergeCell ref="AG61:AG62"/>
    <mergeCell ref="AZ59:AZ60"/>
    <mergeCell ref="BA59:BA60"/>
    <mergeCell ref="AH61:AH62"/>
    <mergeCell ref="AI61:AI62"/>
    <mergeCell ref="AJ61:AJ62"/>
    <mergeCell ref="AK61:AK62"/>
    <mergeCell ref="AL61:AL62"/>
    <mergeCell ref="AM61:AM62"/>
    <mergeCell ref="AN61:AN62"/>
    <mergeCell ref="AO61:AO62"/>
    <mergeCell ref="AP61:AP62"/>
    <mergeCell ref="AQ61:AQ62"/>
    <mergeCell ref="AR61:AR62"/>
    <mergeCell ref="AS61:AS62"/>
    <mergeCell ref="AT61:AT62"/>
    <mergeCell ref="AU61:AU62"/>
    <mergeCell ref="AV61:AV62"/>
    <mergeCell ref="AW61:AW62"/>
    <mergeCell ref="AX61:AX62"/>
    <mergeCell ref="AY61:AY62"/>
    <mergeCell ref="AZ61:AZ62"/>
    <mergeCell ref="BA61:BA62"/>
    <mergeCell ref="BB59:BB60"/>
    <mergeCell ref="BC59:BC60"/>
    <mergeCell ref="V59:V60"/>
    <mergeCell ref="W59:W60"/>
    <mergeCell ref="X59:X60"/>
    <mergeCell ref="Y59:Y60"/>
    <mergeCell ref="Z59:Z60"/>
    <mergeCell ref="AA59:AA60"/>
    <mergeCell ref="AB59:AB60"/>
    <mergeCell ref="AC59:AC60"/>
    <mergeCell ref="AD59:AD60"/>
    <mergeCell ref="AE59:AE60"/>
    <mergeCell ref="AF59:AF60"/>
    <mergeCell ref="AG59:AG60"/>
    <mergeCell ref="AH59:AH60"/>
    <mergeCell ref="AI59:AI60"/>
    <mergeCell ref="AJ59:AJ60"/>
    <mergeCell ref="AK59:AK60"/>
    <mergeCell ref="AL59:AL60"/>
    <mergeCell ref="AM59:AM60"/>
    <mergeCell ref="AN59:AN60"/>
    <mergeCell ref="AO59:AO60"/>
    <mergeCell ref="AP59:AP60"/>
    <mergeCell ref="AQ59:AQ60"/>
    <mergeCell ref="AR59:AR60"/>
    <mergeCell ref="AS59:AS60"/>
    <mergeCell ref="AT59:AT60"/>
    <mergeCell ref="AU59:AU60"/>
    <mergeCell ref="AV59:AV60"/>
    <mergeCell ref="AW59:AW60"/>
    <mergeCell ref="AX59:AX60"/>
    <mergeCell ref="AY59:AY60"/>
    <mergeCell ref="AR57:AR58"/>
    <mergeCell ref="AS57:AS58"/>
    <mergeCell ref="AT57:AT58"/>
    <mergeCell ref="AU57:AU58"/>
    <mergeCell ref="AV57:AV58"/>
    <mergeCell ref="AW57:AW58"/>
    <mergeCell ref="AX57:AX58"/>
    <mergeCell ref="AY57:AY58"/>
    <mergeCell ref="AZ57:AZ58"/>
    <mergeCell ref="BA57:BA58"/>
    <mergeCell ref="BB57:BB58"/>
    <mergeCell ref="BC57:BC58"/>
    <mergeCell ref="BD57:BD58"/>
    <mergeCell ref="BE57:BE58"/>
    <mergeCell ref="BF57:BF58"/>
    <mergeCell ref="BG57:BG58"/>
    <mergeCell ref="A59:A60"/>
    <mergeCell ref="B59:B60"/>
    <mergeCell ref="C59:C60"/>
    <mergeCell ref="D59:D60"/>
    <mergeCell ref="E59:E60"/>
    <mergeCell ref="F59:F60"/>
    <mergeCell ref="G59:G60"/>
    <mergeCell ref="H59:H60"/>
    <mergeCell ref="I59:I60"/>
    <mergeCell ref="J59:J60"/>
    <mergeCell ref="N59:N60"/>
    <mergeCell ref="Q59:Q60"/>
    <mergeCell ref="R59:R60"/>
    <mergeCell ref="S59:S60"/>
    <mergeCell ref="T59:T60"/>
    <mergeCell ref="U59:U60"/>
    <mergeCell ref="BD55:BD56"/>
    <mergeCell ref="BE55:BE56"/>
    <mergeCell ref="BF55:BF56"/>
    <mergeCell ref="BG55:BG56"/>
    <mergeCell ref="AB55:AB56"/>
    <mergeCell ref="AC55:AC56"/>
    <mergeCell ref="AD55:AD56"/>
    <mergeCell ref="AX55:AX56"/>
    <mergeCell ref="AY55:AY56"/>
    <mergeCell ref="F57:F58"/>
    <mergeCell ref="G57:G58"/>
    <mergeCell ref="H57:H58"/>
    <mergeCell ref="I57:I58"/>
    <mergeCell ref="J57:J58"/>
    <mergeCell ref="N57:N58"/>
    <mergeCell ref="Q57:Q58"/>
    <mergeCell ref="R57:R58"/>
    <mergeCell ref="S57:S58"/>
    <mergeCell ref="T57:T58"/>
    <mergeCell ref="U57:U58"/>
    <mergeCell ref="V57:V58"/>
    <mergeCell ref="W57:W58"/>
    <mergeCell ref="X57:X58"/>
    <mergeCell ref="Y57:Y58"/>
    <mergeCell ref="Z57:Z58"/>
    <mergeCell ref="AA57:AA58"/>
    <mergeCell ref="AB57:AB58"/>
    <mergeCell ref="AC57:AC58"/>
    <mergeCell ref="AD57:AD58"/>
    <mergeCell ref="AE57:AE58"/>
    <mergeCell ref="AF57:AF58"/>
    <mergeCell ref="AG57:AG58"/>
    <mergeCell ref="A57:A58"/>
    <mergeCell ref="B57:B58"/>
    <mergeCell ref="C57:C58"/>
    <mergeCell ref="D57:D58"/>
    <mergeCell ref="E57:E58"/>
    <mergeCell ref="AW55:AW56"/>
    <mergeCell ref="AK55:AK56"/>
    <mergeCell ref="AL55:AL56"/>
    <mergeCell ref="AM55:AM56"/>
    <mergeCell ref="AN55:AN56"/>
    <mergeCell ref="H55:H56"/>
    <mergeCell ref="I55:I56"/>
    <mergeCell ref="J55:J56"/>
    <mergeCell ref="N55:N56"/>
    <mergeCell ref="Q55:Q56"/>
    <mergeCell ref="R55:R56"/>
    <mergeCell ref="S55:S56"/>
    <mergeCell ref="T55:T56"/>
    <mergeCell ref="U55:U56"/>
    <mergeCell ref="V55:V56"/>
    <mergeCell ref="W55:W56"/>
    <mergeCell ref="X55:X56"/>
    <mergeCell ref="AH57:AH58"/>
    <mergeCell ref="AI57:AI58"/>
    <mergeCell ref="AJ57:AJ58"/>
    <mergeCell ref="AK57:AK58"/>
    <mergeCell ref="AL57:AL58"/>
    <mergeCell ref="AM57:AM58"/>
    <mergeCell ref="AN57:AN58"/>
    <mergeCell ref="AO57:AO58"/>
    <mergeCell ref="AP57:AP58"/>
    <mergeCell ref="AQ57:AQ58"/>
    <mergeCell ref="A55:A56"/>
    <mergeCell ref="B55:B56"/>
    <mergeCell ref="C55:C56"/>
    <mergeCell ref="D55:D56"/>
    <mergeCell ref="E55:E56"/>
    <mergeCell ref="F55:F56"/>
    <mergeCell ref="Y55:Y56"/>
    <mergeCell ref="Z55:Z56"/>
    <mergeCell ref="AA55:AA56"/>
    <mergeCell ref="BE53:BE54"/>
    <mergeCell ref="BF53:BF54"/>
    <mergeCell ref="BG53:BG54"/>
    <mergeCell ref="BD53:BD54"/>
    <mergeCell ref="AW53:AW54"/>
    <mergeCell ref="AX53:AX54"/>
    <mergeCell ref="AM53:AM54"/>
    <mergeCell ref="AO55:AO56"/>
    <mergeCell ref="AP55:AP56"/>
    <mergeCell ref="AE55:AE56"/>
    <mergeCell ref="AF55:AF56"/>
    <mergeCell ref="AG55:AG56"/>
    <mergeCell ref="AH55:AH56"/>
    <mergeCell ref="AI55:AI56"/>
    <mergeCell ref="AJ55:AJ56"/>
    <mergeCell ref="AZ55:AZ56"/>
    <mergeCell ref="BA55:BA56"/>
    <mergeCell ref="BB55:BB56"/>
    <mergeCell ref="AQ55:AQ56"/>
    <mergeCell ref="AR55:AR56"/>
    <mergeCell ref="AS55:AS56"/>
    <mergeCell ref="AT55:AT56"/>
    <mergeCell ref="AU55:AU56"/>
    <mergeCell ref="AN53:AN54"/>
    <mergeCell ref="AO53:AO54"/>
    <mergeCell ref="AP53:AP54"/>
    <mergeCell ref="AQ53:AQ54"/>
    <mergeCell ref="AR53:AR54"/>
    <mergeCell ref="AG53:AG54"/>
    <mergeCell ref="AH53:AH54"/>
    <mergeCell ref="AI53:AI54"/>
    <mergeCell ref="AJ53:AJ54"/>
    <mergeCell ref="AK53:AK54"/>
    <mergeCell ref="G55:G56"/>
    <mergeCell ref="AY53:AY54"/>
    <mergeCell ref="AZ53:AZ54"/>
    <mergeCell ref="BA53:BA54"/>
    <mergeCell ref="BB53:BB54"/>
    <mergeCell ref="BC53:BC54"/>
    <mergeCell ref="AS53:AS54"/>
    <mergeCell ref="AT53:AT54"/>
    <mergeCell ref="AU53:AU54"/>
    <mergeCell ref="AV53:AV54"/>
    <mergeCell ref="AV55:AV56"/>
    <mergeCell ref="BC55:BC56"/>
    <mergeCell ref="BE50:BE51"/>
    <mergeCell ref="BF50:BF51"/>
    <mergeCell ref="BG50:BG51"/>
    <mergeCell ref="A52:I52"/>
    <mergeCell ref="A53:A54"/>
    <mergeCell ref="B53:B54"/>
    <mergeCell ref="C53:C54"/>
    <mergeCell ref="D53:D54"/>
    <mergeCell ref="E53:E54"/>
    <mergeCell ref="F53:F54"/>
    <mergeCell ref="G53:G54"/>
    <mergeCell ref="H53:H54"/>
    <mergeCell ref="I53:I54"/>
    <mergeCell ref="J53:J54"/>
    <mergeCell ref="N53:N54"/>
    <mergeCell ref="Q53:Q54"/>
    <mergeCell ref="R53:R54"/>
    <mergeCell ref="S53:S54"/>
    <mergeCell ref="T53:T54"/>
    <mergeCell ref="U53:U54"/>
    <mergeCell ref="V53:V54"/>
    <mergeCell ref="W53:W54"/>
    <mergeCell ref="X53:X54"/>
    <mergeCell ref="Y53:Y54"/>
    <mergeCell ref="Z53:Z54"/>
    <mergeCell ref="AL53:AL54"/>
    <mergeCell ref="AA53:AA54"/>
    <mergeCell ref="AB53:AB54"/>
    <mergeCell ref="AC53:AC54"/>
    <mergeCell ref="AD53:AD54"/>
    <mergeCell ref="AE53:AE54"/>
    <mergeCell ref="AF53:AF54"/>
    <mergeCell ref="AN50:AN51"/>
    <mergeCell ref="AO50:AO51"/>
    <mergeCell ref="AP50:AP51"/>
    <mergeCell ref="AQ50:AQ51"/>
    <mergeCell ref="AR50:AR51"/>
    <mergeCell ref="AS50:AS51"/>
    <mergeCell ref="AT50:AT51"/>
    <mergeCell ref="AU50:AU51"/>
    <mergeCell ref="AV50:AV51"/>
    <mergeCell ref="AW50:AW51"/>
    <mergeCell ref="AX50:AX51"/>
    <mergeCell ref="AY50:AY51"/>
    <mergeCell ref="AZ50:AZ51"/>
    <mergeCell ref="BA50:BA51"/>
    <mergeCell ref="BB50:BB51"/>
    <mergeCell ref="BC50:BC51"/>
    <mergeCell ref="BD50:BD51"/>
    <mergeCell ref="W50:W51"/>
    <mergeCell ref="X50:X51"/>
    <mergeCell ref="Y50:Y51"/>
    <mergeCell ref="Z50:Z51"/>
    <mergeCell ref="AA50:AA51"/>
    <mergeCell ref="AB50:AB51"/>
    <mergeCell ref="AC50:AC51"/>
    <mergeCell ref="AD50:AD51"/>
    <mergeCell ref="AE50:AE51"/>
    <mergeCell ref="AF50:AF51"/>
    <mergeCell ref="AG50:AG51"/>
    <mergeCell ref="AH50:AH51"/>
    <mergeCell ref="AI50:AI51"/>
    <mergeCell ref="AJ50:AJ51"/>
    <mergeCell ref="AK50:AK51"/>
    <mergeCell ref="AL50:AL51"/>
    <mergeCell ref="AM50:AM51"/>
    <mergeCell ref="A50:A51"/>
    <mergeCell ref="B50:B51"/>
    <mergeCell ref="C50:C51"/>
    <mergeCell ref="D50:D51"/>
    <mergeCell ref="E50:E51"/>
    <mergeCell ref="F50:F51"/>
    <mergeCell ref="G50:G51"/>
    <mergeCell ref="H50:H51"/>
    <mergeCell ref="I50:I51"/>
    <mergeCell ref="J50:J51"/>
    <mergeCell ref="N50:N51"/>
    <mergeCell ref="Q50:Q51"/>
    <mergeCell ref="R50:R51"/>
    <mergeCell ref="S50:S51"/>
    <mergeCell ref="T50:T51"/>
    <mergeCell ref="U50:U51"/>
    <mergeCell ref="V50:V51"/>
    <mergeCell ref="AL48:AL49"/>
    <mergeCell ref="AM48:AM49"/>
    <mergeCell ref="AN48:AN49"/>
    <mergeCell ref="AO48:AO49"/>
    <mergeCell ref="AP48:AP49"/>
    <mergeCell ref="AQ48:AQ49"/>
    <mergeCell ref="AR48:AR49"/>
    <mergeCell ref="AS48:AS49"/>
    <mergeCell ref="AT48:AT49"/>
    <mergeCell ref="AU48:AU49"/>
    <mergeCell ref="R48:R49"/>
    <mergeCell ref="S48:S49"/>
    <mergeCell ref="T48:T49"/>
    <mergeCell ref="BG48:BG49"/>
    <mergeCell ref="AV48:AV49"/>
    <mergeCell ref="AW48:AW49"/>
    <mergeCell ref="AX48:AX49"/>
    <mergeCell ref="AY48:AY49"/>
    <mergeCell ref="AZ48:AZ49"/>
    <mergeCell ref="BA48:BA49"/>
    <mergeCell ref="AI48:AI49"/>
    <mergeCell ref="X48:X49"/>
    <mergeCell ref="Y48:Y49"/>
    <mergeCell ref="Z48:Z49"/>
    <mergeCell ref="AA48:AA49"/>
    <mergeCell ref="AB48:AB49"/>
    <mergeCell ref="AC48:AC49"/>
    <mergeCell ref="BB48:BB49"/>
    <mergeCell ref="BC48:BC49"/>
    <mergeCell ref="BD48:BD49"/>
    <mergeCell ref="BE48:BE49"/>
    <mergeCell ref="BF48:BF49"/>
    <mergeCell ref="A48:A49"/>
    <mergeCell ref="B48:B49"/>
    <mergeCell ref="C48:C49"/>
    <mergeCell ref="D48:D49"/>
    <mergeCell ref="E48:E49"/>
    <mergeCell ref="F48:F49"/>
    <mergeCell ref="U48:U49"/>
    <mergeCell ref="V48:V49"/>
    <mergeCell ref="W48:W49"/>
    <mergeCell ref="G48:G49"/>
    <mergeCell ref="H48:H49"/>
    <mergeCell ref="I48:I49"/>
    <mergeCell ref="J48:J49"/>
    <mergeCell ref="N48:N49"/>
    <mergeCell ref="Q48:Q49"/>
    <mergeCell ref="AJ48:AJ49"/>
    <mergeCell ref="AK48:AK49"/>
    <mergeCell ref="AD48:AD49"/>
    <mergeCell ref="AE48:AE49"/>
    <mergeCell ref="AF48:AF49"/>
    <mergeCell ref="AG48:AG49"/>
    <mergeCell ref="AH48:AH49"/>
    <mergeCell ref="AV46:AV47"/>
    <mergeCell ref="AW46:AW47"/>
    <mergeCell ref="AX46:AX47"/>
    <mergeCell ref="AY46:AY47"/>
    <mergeCell ref="AZ46:AZ47"/>
    <mergeCell ref="BA46:BA47"/>
    <mergeCell ref="R46:R47"/>
    <mergeCell ref="S46:S47"/>
    <mergeCell ref="T46:T47"/>
    <mergeCell ref="BD46:BD47"/>
    <mergeCell ref="BE46:BE47"/>
    <mergeCell ref="BF46:BF47"/>
    <mergeCell ref="AP46:AP47"/>
    <mergeCell ref="AQ46:AQ47"/>
    <mergeCell ref="AR46:AR47"/>
    <mergeCell ref="AS46:AS47"/>
    <mergeCell ref="X46:X47"/>
    <mergeCell ref="Y46:Y47"/>
    <mergeCell ref="Z46:Z47"/>
    <mergeCell ref="AA46:AA47"/>
    <mergeCell ref="AB46:AB47"/>
    <mergeCell ref="AC46:AC47"/>
    <mergeCell ref="BB46:BB47"/>
    <mergeCell ref="BC46:BC47"/>
    <mergeCell ref="AD46:AD47"/>
    <mergeCell ref="AE46:AE47"/>
    <mergeCell ref="AF46:AF47"/>
    <mergeCell ref="AG46:AG47"/>
    <mergeCell ref="AH46:AH47"/>
    <mergeCell ref="AI46:AI47"/>
    <mergeCell ref="AT46:AT47"/>
    <mergeCell ref="AU46:AU47"/>
    <mergeCell ref="AY43:AY44"/>
    <mergeCell ref="AZ43:AZ44"/>
    <mergeCell ref="BA43:BA44"/>
    <mergeCell ref="BB43:BB44"/>
    <mergeCell ref="BC43:BC44"/>
    <mergeCell ref="BD43:BD44"/>
    <mergeCell ref="BE43:BE44"/>
    <mergeCell ref="BF43:BF44"/>
    <mergeCell ref="BG43:BG44"/>
    <mergeCell ref="A45:I45"/>
    <mergeCell ref="A46:A47"/>
    <mergeCell ref="B46:B47"/>
    <mergeCell ref="C46:C47"/>
    <mergeCell ref="D46:D47"/>
    <mergeCell ref="E46:E47"/>
    <mergeCell ref="F46:F47"/>
    <mergeCell ref="U46:U47"/>
    <mergeCell ref="V46:V47"/>
    <mergeCell ref="W46:W47"/>
    <mergeCell ref="G46:G47"/>
    <mergeCell ref="H46:H47"/>
    <mergeCell ref="I46:I47"/>
    <mergeCell ref="J46:J47"/>
    <mergeCell ref="N46:N47"/>
    <mergeCell ref="Q46:Q47"/>
    <mergeCell ref="AJ46:AJ47"/>
    <mergeCell ref="AK46:AK47"/>
    <mergeCell ref="AL46:AL47"/>
    <mergeCell ref="AM46:AM47"/>
    <mergeCell ref="AN46:AN47"/>
    <mergeCell ref="AO46:AO47"/>
    <mergeCell ref="BG46:BG47"/>
    <mergeCell ref="AH43:AH44"/>
    <mergeCell ref="AI43:AI44"/>
    <mergeCell ref="AJ43:AJ44"/>
    <mergeCell ref="AK43:AK44"/>
    <mergeCell ref="AL43:AL44"/>
    <mergeCell ref="AM43:AM44"/>
    <mergeCell ref="AN43:AN44"/>
    <mergeCell ref="AO43:AO44"/>
    <mergeCell ref="AP43:AP44"/>
    <mergeCell ref="AQ43:AQ44"/>
    <mergeCell ref="AR43:AR44"/>
    <mergeCell ref="AS43:AS44"/>
    <mergeCell ref="AT43:AT44"/>
    <mergeCell ref="AU43:AU44"/>
    <mergeCell ref="AV43:AV44"/>
    <mergeCell ref="AW43:AW44"/>
    <mergeCell ref="AX43:AX44"/>
    <mergeCell ref="BD41:BD42"/>
    <mergeCell ref="BE41:BE42"/>
    <mergeCell ref="BF41:BF42"/>
    <mergeCell ref="BG41:BG42"/>
    <mergeCell ref="A43:A44"/>
    <mergeCell ref="B43:B44"/>
    <mergeCell ref="C43:C44"/>
    <mergeCell ref="D43:D44"/>
    <mergeCell ref="E43:E44"/>
    <mergeCell ref="F43:F44"/>
    <mergeCell ref="G43:G44"/>
    <mergeCell ref="H43:H44"/>
    <mergeCell ref="I43:I44"/>
    <mergeCell ref="J43:J44"/>
    <mergeCell ref="N43:N44"/>
    <mergeCell ref="Q43:Q44"/>
    <mergeCell ref="R43:R44"/>
    <mergeCell ref="S43:S44"/>
    <mergeCell ref="T43:T44"/>
    <mergeCell ref="U43:U44"/>
    <mergeCell ref="V43:V44"/>
    <mergeCell ref="W43:W44"/>
    <mergeCell ref="X43:X44"/>
    <mergeCell ref="Y43:Y44"/>
    <mergeCell ref="Z43:Z44"/>
    <mergeCell ref="AA43:AA44"/>
    <mergeCell ref="AB43:AB44"/>
    <mergeCell ref="AC43:AC44"/>
    <mergeCell ref="AD43:AD44"/>
    <mergeCell ref="AE43:AE44"/>
    <mergeCell ref="AF43:AF44"/>
    <mergeCell ref="AG43:AG44"/>
    <mergeCell ref="AM41:AM42"/>
    <mergeCell ref="AN41:AN42"/>
    <mergeCell ref="AO41:AO42"/>
    <mergeCell ref="AP41:AP42"/>
    <mergeCell ref="AQ41:AQ42"/>
    <mergeCell ref="AR41:AR42"/>
    <mergeCell ref="AS41:AS42"/>
    <mergeCell ref="AT41:AT42"/>
    <mergeCell ref="AU41:AU42"/>
    <mergeCell ref="AV41:AV42"/>
    <mergeCell ref="AW41:AW42"/>
    <mergeCell ref="AX41:AX42"/>
    <mergeCell ref="AY41:AY42"/>
    <mergeCell ref="AZ41:AZ42"/>
    <mergeCell ref="BA41:BA42"/>
    <mergeCell ref="BB41:BB42"/>
    <mergeCell ref="BC41:BC42"/>
    <mergeCell ref="V41:V42"/>
    <mergeCell ref="W41:W42"/>
    <mergeCell ref="X41:X42"/>
    <mergeCell ref="Y41:Y42"/>
    <mergeCell ref="Z41:Z42"/>
    <mergeCell ref="AA41:AA42"/>
    <mergeCell ref="AB41:AB42"/>
    <mergeCell ref="AC41:AC42"/>
    <mergeCell ref="AD41:AD42"/>
    <mergeCell ref="AE41:AE42"/>
    <mergeCell ref="AF41:AF42"/>
    <mergeCell ref="AG41:AG42"/>
    <mergeCell ref="AH41:AH42"/>
    <mergeCell ref="AI41:AI42"/>
    <mergeCell ref="AJ41:AJ42"/>
    <mergeCell ref="AK41:AK42"/>
    <mergeCell ref="AL41:AL42"/>
    <mergeCell ref="AR39:AR40"/>
    <mergeCell ref="AS39:AS40"/>
    <mergeCell ref="AT39:AT40"/>
    <mergeCell ref="AU39:AU40"/>
    <mergeCell ref="AV39:AV40"/>
    <mergeCell ref="AW39:AW40"/>
    <mergeCell ref="AX39:AX40"/>
    <mergeCell ref="AY39:AY40"/>
    <mergeCell ref="AZ39:AZ40"/>
    <mergeCell ref="BA39:BA40"/>
    <mergeCell ref="BB39:BB40"/>
    <mergeCell ref="BC39:BC40"/>
    <mergeCell ref="BD39:BD40"/>
    <mergeCell ref="BE39:BE40"/>
    <mergeCell ref="BF39:BF40"/>
    <mergeCell ref="BG39:BG40"/>
    <mergeCell ref="A41:A42"/>
    <mergeCell ref="B41:B42"/>
    <mergeCell ref="C41:C42"/>
    <mergeCell ref="D41:D42"/>
    <mergeCell ref="E41:E42"/>
    <mergeCell ref="F41:F42"/>
    <mergeCell ref="G41:G42"/>
    <mergeCell ref="H41:H42"/>
    <mergeCell ref="I41:I42"/>
    <mergeCell ref="J41:J42"/>
    <mergeCell ref="N41:N42"/>
    <mergeCell ref="Q41:Q42"/>
    <mergeCell ref="R41:R42"/>
    <mergeCell ref="S41:S42"/>
    <mergeCell ref="T41:T42"/>
    <mergeCell ref="U41:U42"/>
    <mergeCell ref="AA39:AA40"/>
    <mergeCell ref="AB39:AB40"/>
    <mergeCell ref="AC39:AC40"/>
    <mergeCell ref="AD39:AD40"/>
    <mergeCell ref="AE39:AE40"/>
    <mergeCell ref="AF39:AF40"/>
    <mergeCell ref="AG39:AG40"/>
    <mergeCell ref="AH39:AH40"/>
    <mergeCell ref="AI39:AI40"/>
    <mergeCell ref="AJ39:AJ40"/>
    <mergeCell ref="AK39:AK40"/>
    <mergeCell ref="AL39:AL40"/>
    <mergeCell ref="AM39:AM40"/>
    <mergeCell ref="AN39:AN40"/>
    <mergeCell ref="AO39:AO40"/>
    <mergeCell ref="AP39:AP40"/>
    <mergeCell ref="AQ39:AQ40"/>
    <mergeCell ref="AW37:AW38"/>
    <mergeCell ref="AX37:AX38"/>
    <mergeCell ref="AY37:AY38"/>
    <mergeCell ref="AZ37:AZ38"/>
    <mergeCell ref="BA37:BA38"/>
    <mergeCell ref="BB37:BB38"/>
    <mergeCell ref="BC37:BC38"/>
    <mergeCell ref="BD37:BD38"/>
    <mergeCell ref="BE37:BE38"/>
    <mergeCell ref="BF37:BF38"/>
    <mergeCell ref="BG37:BG38"/>
    <mergeCell ref="A39:A40"/>
    <mergeCell ref="B39:B40"/>
    <mergeCell ref="C39:C40"/>
    <mergeCell ref="D39:D40"/>
    <mergeCell ref="E39:E40"/>
    <mergeCell ref="F39:F40"/>
    <mergeCell ref="G39:G40"/>
    <mergeCell ref="H39:H40"/>
    <mergeCell ref="I39:I40"/>
    <mergeCell ref="J39:J40"/>
    <mergeCell ref="N39:N40"/>
    <mergeCell ref="Q39:Q40"/>
    <mergeCell ref="R39:R40"/>
    <mergeCell ref="S39:S40"/>
    <mergeCell ref="T39:T40"/>
    <mergeCell ref="U39:U40"/>
    <mergeCell ref="V39:V40"/>
    <mergeCell ref="W39:W40"/>
    <mergeCell ref="X39:X40"/>
    <mergeCell ref="Y39:Y40"/>
    <mergeCell ref="Z39:Z40"/>
    <mergeCell ref="AF37:AF38"/>
    <mergeCell ref="AG37:AG38"/>
    <mergeCell ref="AH37:AH38"/>
    <mergeCell ref="AI37:AI38"/>
    <mergeCell ref="AJ37:AJ38"/>
    <mergeCell ref="AK37:AK38"/>
    <mergeCell ref="AL37:AL38"/>
    <mergeCell ref="AM37:AM38"/>
    <mergeCell ref="AN37:AN38"/>
    <mergeCell ref="AO37:AO38"/>
    <mergeCell ref="AP37:AP38"/>
    <mergeCell ref="AQ37:AQ38"/>
    <mergeCell ref="AR37:AR38"/>
    <mergeCell ref="AS37:AS38"/>
    <mergeCell ref="AT37:AT38"/>
    <mergeCell ref="AU37:AU38"/>
    <mergeCell ref="AV37:AV38"/>
    <mergeCell ref="BB35:BB36"/>
    <mergeCell ref="BC35:BC36"/>
    <mergeCell ref="BD35:BD36"/>
    <mergeCell ref="BE35:BE36"/>
    <mergeCell ref="BF35:BF36"/>
    <mergeCell ref="BG35:BG36"/>
    <mergeCell ref="A37:A38"/>
    <mergeCell ref="B37:B38"/>
    <mergeCell ref="C37:C38"/>
    <mergeCell ref="D37:D38"/>
    <mergeCell ref="E37:E38"/>
    <mergeCell ref="F37:F38"/>
    <mergeCell ref="G37:G38"/>
    <mergeCell ref="H37:H38"/>
    <mergeCell ref="I37:I38"/>
    <mergeCell ref="J37:J38"/>
    <mergeCell ref="N37:N38"/>
    <mergeCell ref="Q37:Q38"/>
    <mergeCell ref="R37:R38"/>
    <mergeCell ref="S37:S38"/>
    <mergeCell ref="T37:T38"/>
    <mergeCell ref="U37:U38"/>
    <mergeCell ref="V37:V38"/>
    <mergeCell ref="W37:W38"/>
    <mergeCell ref="X37:X38"/>
    <mergeCell ref="Y37:Y38"/>
    <mergeCell ref="Z37:Z38"/>
    <mergeCell ref="AA37:AA38"/>
    <mergeCell ref="AB37:AB38"/>
    <mergeCell ref="AC37:AC38"/>
    <mergeCell ref="AD37:AD38"/>
    <mergeCell ref="AE37:AE38"/>
    <mergeCell ref="AK35:AK36"/>
    <mergeCell ref="AL35:AL36"/>
    <mergeCell ref="AM35:AM36"/>
    <mergeCell ref="AN35:AN36"/>
    <mergeCell ref="AO35:AO36"/>
    <mergeCell ref="AP35:AP36"/>
    <mergeCell ref="AQ35:AQ36"/>
    <mergeCell ref="AR35:AR36"/>
    <mergeCell ref="AS35:AS36"/>
    <mergeCell ref="AT35:AT36"/>
    <mergeCell ref="AU35:AU36"/>
    <mergeCell ref="AV35:AV36"/>
    <mergeCell ref="AW35:AW36"/>
    <mergeCell ref="AX35:AX36"/>
    <mergeCell ref="AY35:AY36"/>
    <mergeCell ref="AZ35:AZ36"/>
    <mergeCell ref="BA35:BA36"/>
    <mergeCell ref="BG33:BG34"/>
    <mergeCell ref="A35:A36"/>
    <mergeCell ref="B35:B36"/>
    <mergeCell ref="C35:C36"/>
    <mergeCell ref="D35:D36"/>
    <mergeCell ref="E35:E36"/>
    <mergeCell ref="F35:F36"/>
    <mergeCell ref="G35:G36"/>
    <mergeCell ref="H35:H36"/>
    <mergeCell ref="I35:I36"/>
    <mergeCell ref="J35:J36"/>
    <mergeCell ref="N35:N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35:AF36"/>
    <mergeCell ref="AG35:AG36"/>
    <mergeCell ref="AH35:AH36"/>
    <mergeCell ref="AI35:AI36"/>
    <mergeCell ref="AJ35:AJ36"/>
    <mergeCell ref="AP33:AP34"/>
    <mergeCell ref="AQ33:AQ34"/>
    <mergeCell ref="AR33:AR34"/>
    <mergeCell ref="AS33:AS34"/>
    <mergeCell ref="AT33:AT34"/>
    <mergeCell ref="AU33:AU34"/>
    <mergeCell ref="AV33:AV34"/>
    <mergeCell ref="AW33:AW34"/>
    <mergeCell ref="AX33:AX34"/>
    <mergeCell ref="AY33:AY34"/>
    <mergeCell ref="AZ33:AZ34"/>
    <mergeCell ref="BA33:BA34"/>
    <mergeCell ref="BB33:BB34"/>
    <mergeCell ref="BC33:BC34"/>
    <mergeCell ref="BD33:BD34"/>
    <mergeCell ref="BE33:BE34"/>
    <mergeCell ref="BF33:BF34"/>
    <mergeCell ref="Y33:Y34"/>
    <mergeCell ref="Z33:Z34"/>
    <mergeCell ref="AA33:AA34"/>
    <mergeCell ref="AB33:AB34"/>
    <mergeCell ref="AC33:AC34"/>
    <mergeCell ref="AD33:AD34"/>
    <mergeCell ref="AE33:AE34"/>
    <mergeCell ref="AF33:AF34"/>
    <mergeCell ref="AG33:AG34"/>
    <mergeCell ref="AH33:AH34"/>
    <mergeCell ref="AI33:AI34"/>
    <mergeCell ref="AJ33:AJ34"/>
    <mergeCell ref="AK33:AK34"/>
    <mergeCell ref="AL33:AL34"/>
    <mergeCell ref="AM33:AM34"/>
    <mergeCell ref="AN33:AN34"/>
    <mergeCell ref="AO33:AO34"/>
    <mergeCell ref="AU31:AU32"/>
    <mergeCell ref="AV31:AV32"/>
    <mergeCell ref="AW31:AW32"/>
    <mergeCell ref="AX31:AX32"/>
    <mergeCell ref="AY31:AY32"/>
    <mergeCell ref="AZ31:AZ32"/>
    <mergeCell ref="BA31:BA32"/>
    <mergeCell ref="BB31:BB32"/>
    <mergeCell ref="BC31:BC32"/>
    <mergeCell ref="BD31:BD32"/>
    <mergeCell ref="BE31:BE32"/>
    <mergeCell ref="BF31:BF32"/>
    <mergeCell ref="BG31:BG32"/>
    <mergeCell ref="A33:A34"/>
    <mergeCell ref="B33:B34"/>
    <mergeCell ref="C33:C34"/>
    <mergeCell ref="D33:D34"/>
    <mergeCell ref="E33:E34"/>
    <mergeCell ref="F33:F34"/>
    <mergeCell ref="G33:G34"/>
    <mergeCell ref="H33:H34"/>
    <mergeCell ref="I33:I34"/>
    <mergeCell ref="J33:J34"/>
    <mergeCell ref="N33:N34"/>
    <mergeCell ref="Q33:Q34"/>
    <mergeCell ref="R33:R34"/>
    <mergeCell ref="S33:S34"/>
    <mergeCell ref="T33:T34"/>
    <mergeCell ref="U33:U34"/>
    <mergeCell ref="V33:V34"/>
    <mergeCell ref="W33:W34"/>
    <mergeCell ref="X33:X34"/>
    <mergeCell ref="AD31:AD32"/>
    <mergeCell ref="AE31:AE32"/>
    <mergeCell ref="AF31:AF32"/>
    <mergeCell ref="AG31:AG32"/>
    <mergeCell ref="AH31:AH32"/>
    <mergeCell ref="AI31:AI32"/>
    <mergeCell ref="AJ31:AJ32"/>
    <mergeCell ref="AK31:AK32"/>
    <mergeCell ref="AL31:AL32"/>
    <mergeCell ref="AM31:AM32"/>
    <mergeCell ref="AN31:AN32"/>
    <mergeCell ref="AO31:AO32"/>
    <mergeCell ref="AP31:AP32"/>
    <mergeCell ref="AQ31:AQ32"/>
    <mergeCell ref="AR31:AR32"/>
    <mergeCell ref="AS31:AS32"/>
    <mergeCell ref="AT31:AT32"/>
    <mergeCell ref="AZ29:AZ30"/>
    <mergeCell ref="BA29:BA30"/>
    <mergeCell ref="BB29:BB30"/>
    <mergeCell ref="BC29:BC30"/>
    <mergeCell ref="BD29:BD30"/>
    <mergeCell ref="BE29:BE30"/>
    <mergeCell ref="BF29:BF30"/>
    <mergeCell ref="BG29:BG30"/>
    <mergeCell ref="A31:A32"/>
    <mergeCell ref="B31:B32"/>
    <mergeCell ref="C31:C32"/>
    <mergeCell ref="D31:D32"/>
    <mergeCell ref="E31:E32"/>
    <mergeCell ref="F31:F32"/>
    <mergeCell ref="G31:G32"/>
    <mergeCell ref="H31:H32"/>
    <mergeCell ref="I31:I32"/>
    <mergeCell ref="J31:J32"/>
    <mergeCell ref="N31:N32"/>
    <mergeCell ref="Q31:Q32"/>
    <mergeCell ref="R31:R32"/>
    <mergeCell ref="S31:S32"/>
    <mergeCell ref="T31:T32"/>
    <mergeCell ref="U31:U32"/>
    <mergeCell ref="V31:V32"/>
    <mergeCell ref="W31:W32"/>
    <mergeCell ref="X31:X32"/>
    <mergeCell ref="Y31:Y32"/>
    <mergeCell ref="Z31:Z32"/>
    <mergeCell ref="AA31:AA32"/>
    <mergeCell ref="AB31:AB32"/>
    <mergeCell ref="AC31:AC32"/>
    <mergeCell ref="AI29:AI30"/>
    <mergeCell ref="AJ29:AJ30"/>
    <mergeCell ref="AK29:AK30"/>
    <mergeCell ref="AL29:AL30"/>
    <mergeCell ref="AM29:AM30"/>
    <mergeCell ref="AN29:AN30"/>
    <mergeCell ref="AO29:AO30"/>
    <mergeCell ref="AP29:AP30"/>
    <mergeCell ref="AQ29:AQ30"/>
    <mergeCell ref="AR29:AR30"/>
    <mergeCell ref="AS29:AS30"/>
    <mergeCell ref="AT29:AT30"/>
    <mergeCell ref="AU29:AU30"/>
    <mergeCell ref="AV29:AV30"/>
    <mergeCell ref="AW29:AW30"/>
    <mergeCell ref="AX29:AX30"/>
    <mergeCell ref="AY29:AY30"/>
    <mergeCell ref="R29:R30"/>
    <mergeCell ref="S29:S30"/>
    <mergeCell ref="T29:T30"/>
    <mergeCell ref="U29:U30"/>
    <mergeCell ref="V29:V30"/>
    <mergeCell ref="W29:W30"/>
    <mergeCell ref="X29:X30"/>
    <mergeCell ref="Y29:Y30"/>
    <mergeCell ref="Z29:Z30"/>
    <mergeCell ref="AA29:AA30"/>
    <mergeCell ref="AB29:AB30"/>
    <mergeCell ref="AC29:AC30"/>
    <mergeCell ref="AD29:AD30"/>
    <mergeCell ref="AE29:AE30"/>
    <mergeCell ref="AF29:AF30"/>
    <mergeCell ref="AG29:AG30"/>
    <mergeCell ref="AH29:AH30"/>
    <mergeCell ref="A29:A30"/>
    <mergeCell ref="B29:B30"/>
    <mergeCell ref="C29:C30"/>
    <mergeCell ref="D29:D30"/>
    <mergeCell ref="E29:E30"/>
    <mergeCell ref="AW27:AW28"/>
    <mergeCell ref="AK27:AK28"/>
    <mergeCell ref="AL27:AL28"/>
    <mergeCell ref="AM27:AM28"/>
    <mergeCell ref="AN27:AN28"/>
    <mergeCell ref="H27:H28"/>
    <mergeCell ref="I27:I28"/>
    <mergeCell ref="J27:J28"/>
    <mergeCell ref="N27:N28"/>
    <mergeCell ref="Q27:Q28"/>
    <mergeCell ref="R27:R28"/>
    <mergeCell ref="S27:S28"/>
    <mergeCell ref="T27:T28"/>
    <mergeCell ref="U27:U28"/>
    <mergeCell ref="V27:V28"/>
    <mergeCell ref="W27:W28"/>
    <mergeCell ref="X27:X28"/>
    <mergeCell ref="AB27:AB28"/>
    <mergeCell ref="AC27:AC28"/>
    <mergeCell ref="AD27:AD28"/>
    <mergeCell ref="F29:F30"/>
    <mergeCell ref="G29:G30"/>
    <mergeCell ref="H29:H30"/>
    <mergeCell ref="I29:I30"/>
    <mergeCell ref="J29:J30"/>
    <mergeCell ref="N29:N30"/>
    <mergeCell ref="Q29:Q30"/>
    <mergeCell ref="BG23:BG24"/>
    <mergeCell ref="BD23:BD24"/>
    <mergeCell ref="AW23:AW24"/>
    <mergeCell ref="AX23:AX24"/>
    <mergeCell ref="AM23:AM24"/>
    <mergeCell ref="AO27:AO28"/>
    <mergeCell ref="AP27:AP28"/>
    <mergeCell ref="AE27:AE28"/>
    <mergeCell ref="AF27:AF28"/>
    <mergeCell ref="AG27:AG28"/>
    <mergeCell ref="AH27:AH28"/>
    <mergeCell ref="AI27:AI28"/>
    <mergeCell ref="AJ27:AJ28"/>
    <mergeCell ref="AZ27:AZ28"/>
    <mergeCell ref="BA27:BA28"/>
    <mergeCell ref="BB27:BB28"/>
    <mergeCell ref="AQ27:AQ28"/>
    <mergeCell ref="AR27:AR28"/>
    <mergeCell ref="AS27:AS28"/>
    <mergeCell ref="AT27:AT28"/>
    <mergeCell ref="AU27:AU28"/>
    <mergeCell ref="AV27:AV28"/>
    <mergeCell ref="BC27:BC28"/>
    <mergeCell ref="BD27:BD28"/>
    <mergeCell ref="BE27:BE28"/>
    <mergeCell ref="BF27:BF28"/>
    <mergeCell ref="BG27:BG28"/>
    <mergeCell ref="AX27:AX28"/>
    <mergeCell ref="AY27:AY28"/>
    <mergeCell ref="BB23:BB24"/>
    <mergeCell ref="BC23:BC24"/>
    <mergeCell ref="AS23:AS24"/>
    <mergeCell ref="AT23:AT24"/>
    <mergeCell ref="AU23:AU24"/>
    <mergeCell ref="AV23:AV24"/>
    <mergeCell ref="A27:A28"/>
    <mergeCell ref="B27:B28"/>
    <mergeCell ref="C27:C28"/>
    <mergeCell ref="D27:D28"/>
    <mergeCell ref="E27:E28"/>
    <mergeCell ref="F27:F28"/>
    <mergeCell ref="Y27:Y28"/>
    <mergeCell ref="Z27:Z28"/>
    <mergeCell ref="AA27:AA28"/>
    <mergeCell ref="BE23:BE24"/>
    <mergeCell ref="BF23:BF24"/>
    <mergeCell ref="AD23:AD24"/>
    <mergeCell ref="AE23:AE24"/>
    <mergeCell ref="AF23:AF24"/>
    <mergeCell ref="AN23:AN24"/>
    <mergeCell ref="AO23:AO24"/>
    <mergeCell ref="AP23:AP24"/>
    <mergeCell ref="AQ23:AQ24"/>
    <mergeCell ref="AR23:AR24"/>
    <mergeCell ref="AG23:AG24"/>
    <mergeCell ref="AH23:AH24"/>
    <mergeCell ref="AI23:AI24"/>
    <mergeCell ref="AJ23:AJ24"/>
    <mergeCell ref="AK23:AK24"/>
    <mergeCell ref="G27:G28"/>
    <mergeCell ref="AY23:AY24"/>
    <mergeCell ref="AZ23:AZ24"/>
    <mergeCell ref="BA23:BA24"/>
    <mergeCell ref="BF25:BF26"/>
    <mergeCell ref="BA21:BA22"/>
    <mergeCell ref="BB21:BB22"/>
    <mergeCell ref="BC21:BC22"/>
    <mergeCell ref="BD21:BD22"/>
    <mergeCell ref="BE21:BE22"/>
    <mergeCell ref="BF21:BF22"/>
    <mergeCell ref="BG21:BG22"/>
    <mergeCell ref="A23:A24"/>
    <mergeCell ref="B23:B24"/>
    <mergeCell ref="C23:C24"/>
    <mergeCell ref="D23:D24"/>
    <mergeCell ref="E23:E24"/>
    <mergeCell ref="F23:F24"/>
    <mergeCell ref="G23:G24"/>
    <mergeCell ref="H23:H24"/>
    <mergeCell ref="I23:I24"/>
    <mergeCell ref="J23:J24"/>
    <mergeCell ref="N23:N24"/>
    <mergeCell ref="Q23:Q24"/>
    <mergeCell ref="R23:R24"/>
    <mergeCell ref="S23:S24"/>
    <mergeCell ref="T23:T24"/>
    <mergeCell ref="U23:U24"/>
    <mergeCell ref="V23:V24"/>
    <mergeCell ref="W23:W24"/>
    <mergeCell ref="X23:X24"/>
    <mergeCell ref="Y23:Y24"/>
    <mergeCell ref="Z23:Z24"/>
    <mergeCell ref="AL23:AL24"/>
    <mergeCell ref="AA23:AA24"/>
    <mergeCell ref="AB23:AB24"/>
    <mergeCell ref="AC23:AC24"/>
    <mergeCell ref="AJ21:AJ22"/>
    <mergeCell ref="AK21:AK22"/>
    <mergeCell ref="AL21:AL22"/>
    <mergeCell ref="AM21:AM22"/>
    <mergeCell ref="AN21:AN22"/>
    <mergeCell ref="AO21:AO22"/>
    <mergeCell ref="AP21:AP22"/>
    <mergeCell ref="AQ21:AQ22"/>
    <mergeCell ref="AR21:AR22"/>
    <mergeCell ref="AS21:AS22"/>
    <mergeCell ref="AT21:AT22"/>
    <mergeCell ref="AU21:AU22"/>
    <mergeCell ref="AV21:AV22"/>
    <mergeCell ref="AW21:AW22"/>
    <mergeCell ref="AX21:AX22"/>
    <mergeCell ref="AY21:AY22"/>
    <mergeCell ref="AZ21:AZ22"/>
    <mergeCell ref="BF19:BF20"/>
    <mergeCell ref="BG19:BG20"/>
    <mergeCell ref="A21:A22"/>
    <mergeCell ref="B21:B22"/>
    <mergeCell ref="C21:C22"/>
    <mergeCell ref="D21:D22"/>
    <mergeCell ref="E21:E22"/>
    <mergeCell ref="F21:F22"/>
    <mergeCell ref="G21:G22"/>
    <mergeCell ref="H21:H22"/>
    <mergeCell ref="I21:I22"/>
    <mergeCell ref="J21:J22"/>
    <mergeCell ref="N21:N22"/>
    <mergeCell ref="Q21:Q22"/>
    <mergeCell ref="R21:R22"/>
    <mergeCell ref="S21:S22"/>
    <mergeCell ref="T21:T22"/>
    <mergeCell ref="U21:U22"/>
    <mergeCell ref="V21:V22"/>
    <mergeCell ref="W21:W22"/>
    <mergeCell ref="X21:X22"/>
    <mergeCell ref="Y21:Y22"/>
    <mergeCell ref="Z21:Z22"/>
    <mergeCell ref="AA21:AA22"/>
    <mergeCell ref="AB21:AB22"/>
    <mergeCell ref="AC21:AC22"/>
    <mergeCell ref="AD21:AD22"/>
    <mergeCell ref="AE21:AE22"/>
    <mergeCell ref="AF21:AF22"/>
    <mergeCell ref="AG21:AG22"/>
    <mergeCell ref="AH21:AH22"/>
    <mergeCell ref="AI21:AI22"/>
    <mergeCell ref="AO19:AO20"/>
    <mergeCell ref="AP19:AP20"/>
    <mergeCell ref="AQ19:AQ20"/>
    <mergeCell ref="AR19:AR20"/>
    <mergeCell ref="AS19:AS20"/>
    <mergeCell ref="AT19:AT20"/>
    <mergeCell ref="AU19:AU20"/>
    <mergeCell ref="AV19:AV20"/>
    <mergeCell ref="AW19:AW20"/>
    <mergeCell ref="AX19:AX20"/>
    <mergeCell ref="AY19:AY20"/>
    <mergeCell ref="AZ19:AZ20"/>
    <mergeCell ref="BA19:BA20"/>
    <mergeCell ref="BB19:BB20"/>
    <mergeCell ref="BC19:BC20"/>
    <mergeCell ref="BD19:BD20"/>
    <mergeCell ref="BE19:BE20"/>
    <mergeCell ref="X19:X20"/>
    <mergeCell ref="Y19:Y20"/>
    <mergeCell ref="Z19:Z20"/>
    <mergeCell ref="AA19:AA20"/>
    <mergeCell ref="AB19:AB20"/>
    <mergeCell ref="AC19:AC20"/>
    <mergeCell ref="AD19:AD20"/>
    <mergeCell ref="AE19:AE20"/>
    <mergeCell ref="AF19:AF20"/>
    <mergeCell ref="AG19:AG20"/>
    <mergeCell ref="AH19:AH20"/>
    <mergeCell ref="AI19:AI20"/>
    <mergeCell ref="AJ19:AJ20"/>
    <mergeCell ref="AK19:AK20"/>
    <mergeCell ref="AL19:AL20"/>
    <mergeCell ref="AM19:AM20"/>
    <mergeCell ref="AN19:AN20"/>
    <mergeCell ref="AT17:AT18"/>
    <mergeCell ref="AU17:AU18"/>
    <mergeCell ref="AV17:AV18"/>
    <mergeCell ref="AW17:AW18"/>
    <mergeCell ref="AX17:AX18"/>
    <mergeCell ref="AY17:AY18"/>
    <mergeCell ref="AZ17:AZ18"/>
    <mergeCell ref="BA17:BA18"/>
    <mergeCell ref="BB17:BB18"/>
    <mergeCell ref="BC17:BC18"/>
    <mergeCell ref="BD17:BD18"/>
    <mergeCell ref="BE17:BE18"/>
    <mergeCell ref="BF17:BF18"/>
    <mergeCell ref="BG17:BG18"/>
    <mergeCell ref="A19:A20"/>
    <mergeCell ref="B19:B20"/>
    <mergeCell ref="C19:C20"/>
    <mergeCell ref="D19:D20"/>
    <mergeCell ref="E19:E20"/>
    <mergeCell ref="F19:F20"/>
    <mergeCell ref="G19:G20"/>
    <mergeCell ref="H19:H20"/>
    <mergeCell ref="I19:I20"/>
    <mergeCell ref="J19:J20"/>
    <mergeCell ref="N19:N20"/>
    <mergeCell ref="Q19:Q20"/>
    <mergeCell ref="R19:R20"/>
    <mergeCell ref="S19:S20"/>
    <mergeCell ref="T19:T20"/>
    <mergeCell ref="U19:U20"/>
    <mergeCell ref="V19:V20"/>
    <mergeCell ref="W19:W20"/>
    <mergeCell ref="AC17:AC18"/>
    <mergeCell ref="AD17:AD18"/>
    <mergeCell ref="AE17:AE18"/>
    <mergeCell ref="AF17:AF18"/>
    <mergeCell ref="AG17:AG18"/>
    <mergeCell ref="AH17:AH18"/>
    <mergeCell ref="AI17:AI18"/>
    <mergeCell ref="AJ17:AJ18"/>
    <mergeCell ref="AK17:AK18"/>
    <mergeCell ref="AL17:AL18"/>
    <mergeCell ref="AM17:AM18"/>
    <mergeCell ref="AN17:AN18"/>
    <mergeCell ref="AO17:AO18"/>
    <mergeCell ref="AP17:AP18"/>
    <mergeCell ref="AQ17:AQ18"/>
    <mergeCell ref="AR17:AR18"/>
    <mergeCell ref="AS17:AS18"/>
    <mergeCell ref="AY15:AY16"/>
    <mergeCell ref="AZ15:AZ16"/>
    <mergeCell ref="BA15:BA16"/>
    <mergeCell ref="BB15:BB16"/>
    <mergeCell ref="BC15:BC16"/>
    <mergeCell ref="BD15:BD16"/>
    <mergeCell ref="BE15:BE16"/>
    <mergeCell ref="BF15:BF16"/>
    <mergeCell ref="BG15:BG16"/>
    <mergeCell ref="A17:A18"/>
    <mergeCell ref="B17:B18"/>
    <mergeCell ref="C17:C18"/>
    <mergeCell ref="D17:D18"/>
    <mergeCell ref="E17:E18"/>
    <mergeCell ref="F17:F18"/>
    <mergeCell ref="G17:G18"/>
    <mergeCell ref="H17:H18"/>
    <mergeCell ref="I17:I18"/>
    <mergeCell ref="J17:J18"/>
    <mergeCell ref="N17:N18"/>
    <mergeCell ref="Q17:Q18"/>
    <mergeCell ref="R17:R18"/>
    <mergeCell ref="S17:S18"/>
    <mergeCell ref="T17:T18"/>
    <mergeCell ref="U17:U18"/>
    <mergeCell ref="V17:V18"/>
    <mergeCell ref="W17:W18"/>
    <mergeCell ref="X17:X18"/>
    <mergeCell ref="Y17:Y18"/>
    <mergeCell ref="Z17:Z18"/>
    <mergeCell ref="AA17:AA18"/>
    <mergeCell ref="AB17:AB18"/>
    <mergeCell ref="AE15:AE16"/>
    <mergeCell ref="AF15:AF16"/>
    <mergeCell ref="AG15:AG16"/>
    <mergeCell ref="AH15:AH16"/>
    <mergeCell ref="AO15:AO16"/>
    <mergeCell ref="AP15:AP16"/>
    <mergeCell ref="AQ15:AQ16"/>
    <mergeCell ref="AR15:AR16"/>
    <mergeCell ref="AJ15:AJ16"/>
    <mergeCell ref="AK15:AK16"/>
    <mergeCell ref="AL15:AL16"/>
    <mergeCell ref="AM15:AM16"/>
    <mergeCell ref="AN15:AN16"/>
    <mergeCell ref="AU15:AU16"/>
    <mergeCell ref="AV15:AV16"/>
    <mergeCell ref="AW15:AW16"/>
    <mergeCell ref="AX15:AX16"/>
    <mergeCell ref="D15:D16"/>
    <mergeCell ref="E15:E16"/>
    <mergeCell ref="AW13:AW14"/>
    <mergeCell ref="AK13:AK14"/>
    <mergeCell ref="AL13:AL14"/>
    <mergeCell ref="AM13:AM14"/>
    <mergeCell ref="AN13:AN14"/>
    <mergeCell ref="H13:H14"/>
    <mergeCell ref="I13:I14"/>
    <mergeCell ref="J13:J14"/>
    <mergeCell ref="N13:N14"/>
    <mergeCell ref="Q13:Q14"/>
    <mergeCell ref="R13:R14"/>
    <mergeCell ref="S13:S14"/>
    <mergeCell ref="T13:T14"/>
    <mergeCell ref="U13:U14"/>
    <mergeCell ref="V13:V14"/>
    <mergeCell ref="W13:W14"/>
    <mergeCell ref="X13:X14"/>
    <mergeCell ref="AB13:AB14"/>
    <mergeCell ref="AC13:AC14"/>
    <mergeCell ref="AD13:AD14"/>
    <mergeCell ref="T15:T16"/>
    <mergeCell ref="U15:U16"/>
    <mergeCell ref="V15:V16"/>
    <mergeCell ref="F15:F16"/>
    <mergeCell ref="G15:G16"/>
    <mergeCell ref="H15:H16"/>
    <mergeCell ref="I15:I16"/>
    <mergeCell ref="J15:J16"/>
    <mergeCell ref="N15:N16"/>
    <mergeCell ref="W15:W16"/>
    <mergeCell ref="Q15:Q16"/>
    <mergeCell ref="R15:R16"/>
    <mergeCell ref="S15:S16"/>
    <mergeCell ref="AO13:AO14"/>
    <mergeCell ref="AP13:AP14"/>
    <mergeCell ref="AE13:AE14"/>
    <mergeCell ref="AF13:AF14"/>
    <mergeCell ref="AG13:AG14"/>
    <mergeCell ref="AH13:AH14"/>
    <mergeCell ref="AI13:AI14"/>
    <mergeCell ref="AJ13:AJ14"/>
    <mergeCell ref="AZ13:AZ14"/>
    <mergeCell ref="BA13:BA14"/>
    <mergeCell ref="BB13:BB14"/>
    <mergeCell ref="AQ13:AQ14"/>
    <mergeCell ref="AR13:AR14"/>
    <mergeCell ref="AS13:AS14"/>
    <mergeCell ref="AT13:AT14"/>
    <mergeCell ref="AU13:AU14"/>
    <mergeCell ref="AV13:AV14"/>
    <mergeCell ref="AS15:AS16"/>
    <mergeCell ref="AT15:AT16"/>
    <mergeCell ref="AI15:AI16"/>
    <mergeCell ref="AX13:AX14"/>
    <mergeCell ref="AY13:AY14"/>
    <mergeCell ref="X15:X16"/>
    <mergeCell ref="Y15:Y16"/>
    <mergeCell ref="Z15:Z16"/>
    <mergeCell ref="AA15:AA16"/>
    <mergeCell ref="AB15:AB16"/>
    <mergeCell ref="AC15:AC16"/>
    <mergeCell ref="AD15:AD16"/>
    <mergeCell ref="BF11:BF12"/>
    <mergeCell ref="BG11:BG12"/>
    <mergeCell ref="A13:A14"/>
    <mergeCell ref="B13:B14"/>
    <mergeCell ref="C13:C14"/>
    <mergeCell ref="D13:D14"/>
    <mergeCell ref="E13:E14"/>
    <mergeCell ref="F13:F14"/>
    <mergeCell ref="G13:G14"/>
    <mergeCell ref="Y13:Y14"/>
    <mergeCell ref="Z13:Z14"/>
    <mergeCell ref="AA13:AA14"/>
    <mergeCell ref="BC13:BC14"/>
    <mergeCell ref="BD13:BD14"/>
    <mergeCell ref="BE13:BE14"/>
    <mergeCell ref="BF13:BF14"/>
    <mergeCell ref="BG13:BG14"/>
    <mergeCell ref="AJ11:AJ12"/>
    <mergeCell ref="AK11:AK12"/>
    <mergeCell ref="AL11:AL12"/>
    <mergeCell ref="AM11:AM12"/>
    <mergeCell ref="AN11:AN12"/>
    <mergeCell ref="AO11:AO12"/>
    <mergeCell ref="AP11:AP12"/>
    <mergeCell ref="AQ11:AQ12"/>
    <mergeCell ref="AR11:AR12"/>
    <mergeCell ref="AS11:AS12"/>
    <mergeCell ref="AY11:AY12"/>
    <mergeCell ref="AZ11:AZ12"/>
    <mergeCell ref="AE11:AE12"/>
    <mergeCell ref="AF11:AF12"/>
    <mergeCell ref="AG11:AG12"/>
    <mergeCell ref="BF9:BF10"/>
    <mergeCell ref="BG9:BG10"/>
    <mergeCell ref="A11:A12"/>
    <mergeCell ref="B11:B12"/>
    <mergeCell ref="C11:C12"/>
    <mergeCell ref="D11:D12"/>
    <mergeCell ref="E11:E12"/>
    <mergeCell ref="F11:F12"/>
    <mergeCell ref="G11:G12"/>
    <mergeCell ref="H11:H12"/>
    <mergeCell ref="I11:I12"/>
    <mergeCell ref="J11:J12"/>
    <mergeCell ref="N11:N12"/>
    <mergeCell ref="Q11:Q12"/>
    <mergeCell ref="R11:R12"/>
    <mergeCell ref="S11:S12"/>
    <mergeCell ref="T11:T12"/>
    <mergeCell ref="U11:U12"/>
    <mergeCell ref="V11:V12"/>
    <mergeCell ref="W11:W12"/>
    <mergeCell ref="X11:X12"/>
    <mergeCell ref="Y11:Y12"/>
    <mergeCell ref="Z11:Z12"/>
    <mergeCell ref="AA11:AA12"/>
    <mergeCell ref="AB11:AB12"/>
    <mergeCell ref="BA11:BA12"/>
    <mergeCell ref="BB11:BB12"/>
    <mergeCell ref="BC11:BC12"/>
    <mergeCell ref="BD11:BD12"/>
    <mergeCell ref="BE11:BE12"/>
    <mergeCell ref="AC11:AC12"/>
    <mergeCell ref="AD11:AD12"/>
    <mergeCell ref="AH11:AH12"/>
    <mergeCell ref="AI11:AI12"/>
    <mergeCell ref="AO9:AO10"/>
    <mergeCell ref="AP9:AP10"/>
    <mergeCell ref="AQ9:AQ10"/>
    <mergeCell ref="AR9:AR10"/>
    <mergeCell ref="AS9:AS10"/>
    <mergeCell ref="AT9:AT10"/>
    <mergeCell ref="AU9:AU10"/>
    <mergeCell ref="AV9:AV10"/>
    <mergeCell ref="AW9:AW10"/>
    <mergeCell ref="AX9:AX10"/>
    <mergeCell ref="AT11:AT12"/>
    <mergeCell ref="AU11:AU12"/>
    <mergeCell ref="AV11:AV12"/>
    <mergeCell ref="AW11:AW12"/>
    <mergeCell ref="AX11:AX12"/>
    <mergeCell ref="AY9:AY10"/>
    <mergeCell ref="AZ9:AZ10"/>
    <mergeCell ref="BA9:BA10"/>
    <mergeCell ref="BB9:BB10"/>
    <mergeCell ref="BC9:BC10"/>
    <mergeCell ref="BD9:BD10"/>
    <mergeCell ref="BE9:BE10"/>
    <mergeCell ref="Y9:Y10"/>
    <mergeCell ref="Z9:Z10"/>
    <mergeCell ref="AA9:AA10"/>
    <mergeCell ref="AB9:AB10"/>
    <mergeCell ref="AC9:AC10"/>
    <mergeCell ref="AD9:AD10"/>
    <mergeCell ref="AE9:AE10"/>
    <mergeCell ref="AF9:AF10"/>
    <mergeCell ref="AG9:AG10"/>
    <mergeCell ref="AH9:AH10"/>
    <mergeCell ref="AI9:AI10"/>
    <mergeCell ref="AJ9:AJ10"/>
    <mergeCell ref="AK9:AK10"/>
    <mergeCell ref="AL9:AL10"/>
    <mergeCell ref="AM9:AM10"/>
    <mergeCell ref="AN9:AN10"/>
    <mergeCell ref="A9:A10"/>
    <mergeCell ref="B9:B10"/>
    <mergeCell ref="C9:C10"/>
    <mergeCell ref="D9:D10"/>
    <mergeCell ref="E9:E10"/>
    <mergeCell ref="W7:W8"/>
    <mergeCell ref="X7:X8"/>
    <mergeCell ref="F9:F10"/>
    <mergeCell ref="G9:G10"/>
    <mergeCell ref="H9:H10"/>
    <mergeCell ref="I9:I10"/>
    <mergeCell ref="J9:J10"/>
    <mergeCell ref="N9:N10"/>
    <mergeCell ref="H7:H8"/>
    <mergeCell ref="I7:I8"/>
    <mergeCell ref="Q9:Q10"/>
    <mergeCell ref="R9:R10"/>
    <mergeCell ref="S9:S10"/>
    <mergeCell ref="T9:T10"/>
    <mergeCell ref="U9:U10"/>
    <mergeCell ref="V9:V10"/>
    <mergeCell ref="W9:W10"/>
    <mergeCell ref="X9:X10"/>
    <mergeCell ref="E7:E8"/>
    <mergeCell ref="F7:F8"/>
    <mergeCell ref="G7:G8"/>
    <mergeCell ref="D7:D8"/>
    <mergeCell ref="A7:A8"/>
    <mergeCell ref="B7:B8"/>
    <mergeCell ref="C7:C8"/>
    <mergeCell ref="BD7:BD8"/>
    <mergeCell ref="AO7:AO8"/>
    <mergeCell ref="AP7:AP8"/>
    <mergeCell ref="AS5:AS6"/>
    <mergeCell ref="AT5:AT6"/>
    <mergeCell ref="AU5:AU6"/>
    <mergeCell ref="AV5:AV6"/>
    <mergeCell ref="AW5:AW6"/>
    <mergeCell ref="AX5:AX6"/>
    <mergeCell ref="AY5:AY6"/>
    <mergeCell ref="AZ5:AZ6"/>
    <mergeCell ref="BA5:BA6"/>
    <mergeCell ref="BB5:BB6"/>
    <mergeCell ref="BC5:BC6"/>
    <mergeCell ref="BD5:BD6"/>
    <mergeCell ref="AQ5:AQ6"/>
    <mergeCell ref="AR5:AR6"/>
    <mergeCell ref="Y7:Y8"/>
    <mergeCell ref="Z7:Z8"/>
    <mergeCell ref="AA7:AA8"/>
    <mergeCell ref="AB7:AB8"/>
    <mergeCell ref="AQ7:AQ8"/>
    <mergeCell ref="AR7:AR8"/>
    <mergeCell ref="AS7:AS8"/>
    <mergeCell ref="AT7:AT8"/>
    <mergeCell ref="AU7:AU8"/>
    <mergeCell ref="AV7:AV8"/>
    <mergeCell ref="AW7:AW8"/>
    <mergeCell ref="AX7:AX8"/>
    <mergeCell ref="AY7:AY8"/>
    <mergeCell ref="AZ7:AZ8"/>
    <mergeCell ref="BA7:BA8"/>
    <mergeCell ref="BB7:BB8"/>
    <mergeCell ref="BC7:BC8"/>
    <mergeCell ref="AK7:AK8"/>
    <mergeCell ref="AL7:AL8"/>
    <mergeCell ref="BB3:BB4"/>
    <mergeCell ref="BC3:BC4"/>
    <mergeCell ref="BD3:BD4"/>
    <mergeCell ref="BE3:BE4"/>
    <mergeCell ref="BF3:BF4"/>
    <mergeCell ref="BG3:BG4"/>
    <mergeCell ref="AO5:AO6"/>
    <mergeCell ref="AP5:AP6"/>
    <mergeCell ref="AH3:AH4"/>
    <mergeCell ref="AS3:AS4"/>
    <mergeCell ref="AT3:AT4"/>
    <mergeCell ref="AI3:AI4"/>
    <mergeCell ref="AJ3:AJ4"/>
    <mergeCell ref="AK3:AK4"/>
    <mergeCell ref="AL3:AL4"/>
    <mergeCell ref="AM3:AM4"/>
    <mergeCell ref="AN3:AN4"/>
    <mergeCell ref="AO3:AO4"/>
    <mergeCell ref="AP3:AP4"/>
    <mergeCell ref="AQ3:AQ4"/>
    <mergeCell ref="AR3:AR4"/>
    <mergeCell ref="BE5:BE6"/>
    <mergeCell ref="BF5:BF6"/>
    <mergeCell ref="BG5:BG6"/>
    <mergeCell ref="AH5:AH6"/>
    <mergeCell ref="AI5:AI6"/>
    <mergeCell ref="AJ5:AJ6"/>
    <mergeCell ref="AM5:AM6"/>
    <mergeCell ref="AN5:AN6"/>
    <mergeCell ref="T5:T6"/>
    <mergeCell ref="AE5:AE6"/>
    <mergeCell ref="AF5:AF6"/>
    <mergeCell ref="AE7:AE8"/>
    <mergeCell ref="AF7:AF8"/>
    <mergeCell ref="AG7:AG8"/>
    <mergeCell ref="AH7:AH8"/>
    <mergeCell ref="AW3:AW4"/>
    <mergeCell ref="AX3:AX4"/>
    <mergeCell ref="AY3:AY4"/>
    <mergeCell ref="AZ3:AZ4"/>
    <mergeCell ref="BA3:BA4"/>
    <mergeCell ref="U5:U6"/>
    <mergeCell ref="V5:V6"/>
    <mergeCell ref="W5:W6"/>
    <mergeCell ref="X5:X6"/>
    <mergeCell ref="Y5:Y6"/>
    <mergeCell ref="Z5:Z6"/>
    <mergeCell ref="AA5:AA6"/>
    <mergeCell ref="AB5:AB6"/>
    <mergeCell ref="AC5:AC6"/>
    <mergeCell ref="AD5:AD6"/>
    <mergeCell ref="AM7:AM8"/>
    <mergeCell ref="AN7:AN8"/>
    <mergeCell ref="AU3:AU4"/>
    <mergeCell ref="AV3:AV4"/>
    <mergeCell ref="AC7:AC8"/>
    <mergeCell ref="AD7:AD8"/>
    <mergeCell ref="T7:T8"/>
    <mergeCell ref="U7:U8"/>
    <mergeCell ref="V7:V8"/>
    <mergeCell ref="AI7:AI8"/>
    <mergeCell ref="A1:O1"/>
    <mergeCell ref="A2:O2"/>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5:A6"/>
    <mergeCell ref="B5:B6"/>
    <mergeCell ref="C5:C6"/>
    <mergeCell ref="D5:D6"/>
    <mergeCell ref="E5:E6"/>
    <mergeCell ref="F5:F6"/>
    <mergeCell ref="G5:G6"/>
    <mergeCell ref="H5:H6"/>
    <mergeCell ref="I5:I6"/>
    <mergeCell ref="AK5:AK6"/>
    <mergeCell ref="AL5:AL6"/>
    <mergeCell ref="AG5:AG6"/>
    <mergeCell ref="AK25:AK26"/>
    <mergeCell ref="AL25:AL26"/>
    <mergeCell ref="A15:A16"/>
    <mergeCell ref="B15:B16"/>
    <mergeCell ref="C15:C16"/>
    <mergeCell ref="W25:W26"/>
    <mergeCell ref="X25:X26"/>
    <mergeCell ref="R25:R26"/>
    <mergeCell ref="S25:S26"/>
    <mergeCell ref="T25:T26"/>
    <mergeCell ref="U25:U26"/>
    <mergeCell ref="V25:V26"/>
    <mergeCell ref="J5:J6"/>
    <mergeCell ref="N5:N6"/>
    <mergeCell ref="Q5:Q6"/>
    <mergeCell ref="R5:R6"/>
    <mergeCell ref="S5:S6"/>
    <mergeCell ref="G25:G26"/>
    <mergeCell ref="H25:H26"/>
    <mergeCell ref="I25:I26"/>
    <mergeCell ref="BG25:BG26"/>
    <mergeCell ref="AN25:AN26"/>
    <mergeCell ref="AO25:AO26"/>
    <mergeCell ref="AP25:AP26"/>
    <mergeCell ref="AQ25:AQ26"/>
    <mergeCell ref="AE25:AE26"/>
    <mergeCell ref="AF25:AF26"/>
    <mergeCell ref="AG25:AG26"/>
    <mergeCell ref="AH25:AH26"/>
    <mergeCell ref="AI25:AI26"/>
    <mergeCell ref="AJ25:AJ26"/>
    <mergeCell ref="Y25:Y26"/>
    <mergeCell ref="Z25:Z26"/>
    <mergeCell ref="AA25:AA26"/>
    <mergeCell ref="AB25:AB26"/>
    <mergeCell ref="AC25:AC26"/>
    <mergeCell ref="AD25:AD26"/>
    <mergeCell ref="BD25:BD26"/>
    <mergeCell ref="A25:A26"/>
    <mergeCell ref="B25:B26"/>
    <mergeCell ref="C25:C26"/>
    <mergeCell ref="D25:D26"/>
    <mergeCell ref="E25:E26"/>
    <mergeCell ref="F25:F26"/>
    <mergeCell ref="BE7:BE8"/>
    <mergeCell ref="BF7:BF8"/>
    <mergeCell ref="BG7:BG8"/>
    <mergeCell ref="S7:S8"/>
    <mergeCell ref="J7:J8"/>
    <mergeCell ref="N7:N8"/>
    <mergeCell ref="Q7:Q8"/>
    <mergeCell ref="R7:R8"/>
    <mergeCell ref="AJ7:AJ8"/>
    <mergeCell ref="AX25:AX26"/>
    <mergeCell ref="AY25:AY26"/>
    <mergeCell ref="AZ25:AZ26"/>
    <mergeCell ref="BA25:BA26"/>
    <mergeCell ref="BB25:BB26"/>
    <mergeCell ref="BC25:BC26"/>
    <mergeCell ref="AR25:AR26"/>
    <mergeCell ref="AS25:AS26"/>
    <mergeCell ref="AT25:AT26"/>
    <mergeCell ref="AU25:AU26"/>
    <mergeCell ref="AV25:AV26"/>
    <mergeCell ref="AW25:AW26"/>
    <mergeCell ref="J25:J26"/>
    <mergeCell ref="N25:N26"/>
    <mergeCell ref="Q25:Q26"/>
    <mergeCell ref="AM25:AM26"/>
    <mergeCell ref="BE25:BE26"/>
  </mergeCells>
  <phoneticPr fontId="61" type="noConversion"/>
  <pageMargins left="0" right="0" top="0" bottom="0" header="0" footer="0"/>
  <pageSetup paperSize="9" scale="65"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5"/>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45273</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6" si="0">L5-M5</f>
        <v>0</v>
      </c>
      <c r="P5" s="27">
        <v>0</v>
      </c>
      <c r="Q5" s="99">
        <f>+L6-P6</f>
        <v>36</v>
      </c>
      <c r="R5" s="85" t="s">
        <v>64</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f>
        <v>2194</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45273</v>
      </c>
      <c r="B7" s="87" t="s">
        <v>37</v>
      </c>
      <c r="C7" s="89">
        <v>1</v>
      </c>
      <c r="D7" s="91" t="s">
        <v>38</v>
      </c>
      <c r="E7" s="89">
        <v>84217</v>
      </c>
      <c r="F7" s="89" t="s">
        <v>49</v>
      </c>
      <c r="G7" s="93" t="s">
        <v>63</v>
      </c>
      <c r="H7" s="90" t="s">
        <v>39</v>
      </c>
      <c r="I7" s="90">
        <v>4965</v>
      </c>
      <c r="J7" s="90">
        <v>965</v>
      </c>
      <c r="K7" s="20">
        <v>26</v>
      </c>
      <c r="L7" s="20">
        <v>75</v>
      </c>
      <c r="M7" s="20">
        <v>20</v>
      </c>
      <c r="N7" s="97">
        <f>O8/L8</f>
        <v>0.68917470525187563</v>
      </c>
      <c r="O7" s="21">
        <f t="shared" si="0"/>
        <v>55</v>
      </c>
      <c r="P7" s="27">
        <v>40</v>
      </c>
      <c r="Q7" s="99">
        <f>+L8-P8</f>
        <v>224</v>
      </c>
      <c r="R7" s="85"/>
      <c r="S7" s="96"/>
      <c r="T7" s="96">
        <v>4</v>
      </c>
      <c r="U7" s="96">
        <v>5</v>
      </c>
      <c r="V7" s="96"/>
      <c r="W7" s="96"/>
      <c r="X7" s="96"/>
      <c r="Y7" s="96"/>
      <c r="Z7" s="96"/>
      <c r="AA7" s="96"/>
      <c r="AB7" s="96"/>
      <c r="AC7" s="96">
        <v>7</v>
      </c>
      <c r="AD7" s="96">
        <v>5</v>
      </c>
      <c r="AE7" s="96">
        <v>5</v>
      </c>
      <c r="AF7" s="96">
        <v>7</v>
      </c>
      <c r="AG7" s="96"/>
      <c r="AH7" s="96">
        <v>19</v>
      </c>
      <c r="AI7" s="96"/>
      <c r="AJ7" s="96"/>
      <c r="AK7" s="96"/>
      <c r="AL7" s="96">
        <v>3</v>
      </c>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5+13+70+100+67+52+57+45+75+145+72+45+98+99+26</f>
        <v>969</v>
      </c>
      <c r="L8" s="18">
        <f>5+13+60+10+10+10+50+150+40+160+120+20+30+180+75</f>
        <v>933</v>
      </c>
      <c r="M8" s="18">
        <f>10+10+40+30+40+60+10+10+60+20</f>
        <v>290</v>
      </c>
      <c r="N8" s="98"/>
      <c r="O8" s="19">
        <f t="shared" si="0"/>
        <v>643</v>
      </c>
      <c r="P8" s="22">
        <f>10+30+30+10+38+41+53+189+142+63+63+40</f>
        <v>709</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45273</v>
      </c>
      <c r="B9" s="87" t="s">
        <v>37</v>
      </c>
      <c r="C9" s="89">
        <v>1</v>
      </c>
      <c r="D9" s="91" t="s">
        <v>38</v>
      </c>
      <c r="E9" s="89">
        <v>84217</v>
      </c>
      <c r="F9" s="89" t="s">
        <v>49</v>
      </c>
      <c r="G9" s="93" t="s">
        <v>63</v>
      </c>
      <c r="H9" s="90" t="s">
        <v>41</v>
      </c>
      <c r="I9" s="90">
        <v>1219</v>
      </c>
      <c r="J9" s="90">
        <v>1219</v>
      </c>
      <c r="K9" s="20">
        <v>71</v>
      </c>
      <c r="L9" s="20">
        <v>82</v>
      </c>
      <c r="M9" s="20">
        <v>21</v>
      </c>
      <c r="N9" s="97">
        <f>O10/L10</f>
        <v>0.62029746281714782</v>
      </c>
      <c r="O9" s="21">
        <f t="shared" si="0"/>
        <v>61</v>
      </c>
      <c r="P9" s="27">
        <v>160</v>
      </c>
      <c r="Q9" s="99">
        <f>+L10-P10</f>
        <v>150</v>
      </c>
      <c r="R9" s="85"/>
      <c r="S9" s="96">
        <v>2</v>
      </c>
      <c r="T9" s="96">
        <v>9</v>
      </c>
      <c r="U9" s="96">
        <v>5</v>
      </c>
      <c r="V9" s="96"/>
      <c r="W9" s="96"/>
      <c r="X9" s="96"/>
      <c r="Y9" s="96"/>
      <c r="Z9" s="96"/>
      <c r="AA9" s="96"/>
      <c r="AB9" s="96"/>
      <c r="AC9" s="96">
        <v>25</v>
      </c>
      <c r="AD9" s="96"/>
      <c r="AE9" s="96"/>
      <c r="AF9" s="96">
        <v>10</v>
      </c>
      <c r="AG9" s="96"/>
      <c r="AH9" s="96">
        <v>5</v>
      </c>
      <c r="AI9" s="96"/>
      <c r="AJ9" s="96"/>
      <c r="AK9" s="96"/>
      <c r="AL9" s="96">
        <v>5</v>
      </c>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103+85+198+61+57+39+86+192+134+36+37+120+71</f>
        <v>1219</v>
      </c>
      <c r="L10" s="18">
        <f>9+46+10+10+10+10+164+10+70+330+96+30+266+82</f>
        <v>1143</v>
      </c>
      <c r="M10" s="18">
        <f>9+17+10+106+21+120+38+9+83+21</f>
        <v>434</v>
      </c>
      <c r="N10" s="98"/>
      <c r="O10" s="19">
        <f t="shared" si="0"/>
        <v>709</v>
      </c>
      <c r="P10" s="22">
        <f>9+17+10+10+10+96+10+37+164+132+89+249+160</f>
        <v>993</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45273</v>
      </c>
      <c r="B11" s="87" t="s">
        <v>37</v>
      </c>
      <c r="C11" s="89">
        <v>1</v>
      </c>
      <c r="D11" s="91" t="s">
        <v>38</v>
      </c>
      <c r="E11" s="89">
        <v>84217</v>
      </c>
      <c r="F11" s="89" t="s">
        <v>49</v>
      </c>
      <c r="G11" s="93" t="s">
        <v>63</v>
      </c>
      <c r="H11" s="90" t="s">
        <v>73</v>
      </c>
      <c r="I11" s="90">
        <v>760</v>
      </c>
      <c r="J11" s="90">
        <v>760</v>
      </c>
      <c r="K11" s="20">
        <v>0</v>
      </c>
      <c r="L11" s="20">
        <v>0</v>
      </c>
      <c r="M11" s="20">
        <v>0</v>
      </c>
      <c r="N11" s="97">
        <f>O12/L12</f>
        <v>0.54736842105263162</v>
      </c>
      <c r="O11" s="21">
        <f t="shared" si="0"/>
        <v>0</v>
      </c>
      <c r="P11" s="27">
        <v>50</v>
      </c>
      <c r="Q11" s="99">
        <f>+L12-P12</f>
        <v>0</v>
      </c>
      <c r="R11" s="85"/>
      <c r="S11" s="96"/>
      <c r="T11" s="96"/>
      <c r="U11" s="96"/>
      <c r="V11" s="96"/>
      <c r="W11" s="96"/>
      <c r="X11" s="96"/>
      <c r="Y11" s="96"/>
      <c r="Z11" s="96"/>
      <c r="AA11" s="96"/>
      <c r="AB11" s="96"/>
      <c r="AC11" s="96"/>
      <c r="AD11" s="96"/>
      <c r="AE11" s="96"/>
      <c r="AF11" s="96"/>
      <c r="AG11" s="96"/>
      <c r="AH11" s="96"/>
      <c r="AI11" s="96"/>
      <c r="AJ11" s="96"/>
      <c r="AK11" s="96"/>
      <c r="AL11" s="96"/>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535+95+113+17</f>
        <v>760</v>
      </c>
      <c r="L12" s="18">
        <f>90+275+378+17</f>
        <v>760</v>
      </c>
      <c r="M12" s="18">
        <f>45+105+177+17</f>
        <v>344</v>
      </c>
      <c r="N12" s="98"/>
      <c r="O12" s="19">
        <f t="shared" si="0"/>
        <v>416</v>
      </c>
      <c r="P12" s="22">
        <f>45+105+326+55+99+80+50</f>
        <v>760</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45273</v>
      </c>
      <c r="B13" s="87" t="s">
        <v>37</v>
      </c>
      <c r="C13" s="89">
        <v>1</v>
      </c>
      <c r="D13" s="91" t="s">
        <v>38</v>
      </c>
      <c r="E13" s="89">
        <v>84217</v>
      </c>
      <c r="F13" s="89" t="s">
        <v>49</v>
      </c>
      <c r="G13" s="93" t="s">
        <v>63</v>
      </c>
      <c r="H13" s="90" t="s">
        <v>59</v>
      </c>
      <c r="I13" s="90">
        <v>568</v>
      </c>
      <c r="J13" s="90">
        <v>568</v>
      </c>
      <c r="K13" s="20">
        <v>0</v>
      </c>
      <c r="L13" s="20">
        <v>0</v>
      </c>
      <c r="M13" s="20">
        <v>0</v>
      </c>
      <c r="N13" s="97">
        <f>O14/L14</f>
        <v>0.50973451327433628</v>
      </c>
      <c r="O13" s="21">
        <f t="shared" si="0"/>
        <v>0</v>
      </c>
      <c r="P13" s="27">
        <v>119</v>
      </c>
      <c r="Q13" s="99">
        <f>+L14-P14</f>
        <v>36</v>
      </c>
      <c r="R13" s="85"/>
      <c r="S13" s="96"/>
      <c r="T13" s="96"/>
      <c r="U13" s="96"/>
      <c r="V13" s="96"/>
      <c r="W13" s="96"/>
      <c r="X13" s="96"/>
      <c r="Y13" s="96"/>
      <c r="Z13" s="96"/>
      <c r="AA13" s="96"/>
      <c r="AB13" s="96"/>
      <c r="AC13" s="96"/>
      <c r="AD13" s="96"/>
      <c r="AE13" s="96"/>
      <c r="AF13" s="96"/>
      <c r="AG13" s="96"/>
      <c r="AH13" s="96"/>
      <c r="AI13" s="96"/>
      <c r="AJ13" s="96"/>
      <c r="AK13" s="96"/>
      <c r="AL13" s="96"/>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201+261+103</f>
        <v>565</v>
      </c>
      <c r="L14" s="18">
        <f>65+200+170+130</f>
        <v>565</v>
      </c>
      <c r="M14" s="18">
        <f>15+101+92+69</f>
        <v>277</v>
      </c>
      <c r="N14" s="98"/>
      <c r="O14" s="19">
        <f t="shared" si="0"/>
        <v>288</v>
      </c>
      <c r="P14" s="22">
        <f>15+173+96+126+119</f>
        <v>529</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45273</v>
      </c>
      <c r="B15" s="87" t="s">
        <v>37</v>
      </c>
      <c r="C15" s="89">
        <v>1</v>
      </c>
      <c r="D15" s="91" t="s">
        <v>38</v>
      </c>
      <c r="E15" s="89">
        <v>84217</v>
      </c>
      <c r="F15" s="89" t="s">
        <v>49</v>
      </c>
      <c r="G15" s="93" t="s">
        <v>71</v>
      </c>
      <c r="H15" s="90" t="s">
        <v>47</v>
      </c>
      <c r="I15" s="90">
        <v>2804</v>
      </c>
      <c r="J15" s="90">
        <v>2804</v>
      </c>
      <c r="K15" s="20">
        <v>280</v>
      </c>
      <c r="L15" s="20">
        <v>420</v>
      </c>
      <c r="M15" s="20">
        <v>240</v>
      </c>
      <c r="N15" s="97">
        <f>O16/L16</f>
        <v>0.54347826086956519</v>
      </c>
      <c r="O15" s="21">
        <f t="shared" si="0"/>
        <v>180</v>
      </c>
      <c r="P15" s="27">
        <v>240</v>
      </c>
      <c r="Q15" s="99">
        <f>+L16-P16</f>
        <v>375</v>
      </c>
      <c r="R15" s="85"/>
      <c r="S15" s="96">
        <v>111</v>
      </c>
      <c r="T15" s="96">
        <v>2</v>
      </c>
      <c r="U15" s="96"/>
      <c r="V15" s="96"/>
      <c r="W15" s="96"/>
      <c r="X15" s="96"/>
      <c r="Y15" s="96"/>
      <c r="Z15" s="96"/>
      <c r="AA15" s="96"/>
      <c r="AB15" s="96"/>
      <c r="AC15" s="96">
        <v>15</v>
      </c>
      <c r="AD15" s="96"/>
      <c r="AE15" s="96">
        <v>5</v>
      </c>
      <c r="AF15" s="96">
        <v>12</v>
      </c>
      <c r="AG15" s="96">
        <v>14</v>
      </c>
      <c r="AH15" s="96">
        <v>9</v>
      </c>
      <c r="AI15" s="96"/>
      <c r="AJ15" s="96"/>
      <c r="AK15" s="96"/>
      <c r="AL15" s="96">
        <v>12</v>
      </c>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380+305+280</f>
        <v>965</v>
      </c>
      <c r="L16" s="18">
        <f>270+420</f>
        <v>690</v>
      </c>
      <c r="M16" s="18">
        <f>75+240</f>
        <v>315</v>
      </c>
      <c r="N16" s="98"/>
      <c r="O16" s="19">
        <f t="shared" si="0"/>
        <v>375</v>
      </c>
      <c r="P16" s="22">
        <f>75+240</f>
        <v>315</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6.5" customHeight="1">
      <c r="A17" s="108">
        <v>45273</v>
      </c>
      <c r="B17" s="87" t="s">
        <v>37</v>
      </c>
      <c r="C17" s="89">
        <v>1</v>
      </c>
      <c r="D17" s="91" t="s">
        <v>38</v>
      </c>
      <c r="E17" s="89">
        <v>84217</v>
      </c>
      <c r="F17" s="89" t="s">
        <v>76</v>
      </c>
      <c r="G17" s="93" t="s">
        <v>71</v>
      </c>
      <c r="H17" s="90" t="s">
        <v>80</v>
      </c>
      <c r="I17" s="90">
        <v>1452</v>
      </c>
      <c r="J17" s="90">
        <v>1452</v>
      </c>
      <c r="K17" s="20">
        <v>53</v>
      </c>
      <c r="L17" s="20">
        <v>10</v>
      </c>
      <c r="M17" s="20">
        <v>0</v>
      </c>
      <c r="N17" s="97">
        <f>O18/L18</f>
        <v>1</v>
      </c>
      <c r="O17" s="21">
        <f t="shared" si="0"/>
        <v>10</v>
      </c>
      <c r="P17" s="27">
        <v>0</v>
      </c>
      <c r="Q17" s="99">
        <f>+L18-P18</f>
        <v>10</v>
      </c>
      <c r="R17" s="85"/>
      <c r="S17" s="96"/>
      <c r="T17" s="96">
        <v>2</v>
      </c>
      <c r="U17" s="96"/>
      <c r="V17" s="96"/>
      <c r="W17" s="96"/>
      <c r="X17" s="96"/>
      <c r="Y17" s="96"/>
      <c r="Z17" s="96"/>
      <c r="AA17" s="96"/>
      <c r="AB17" s="96"/>
      <c r="AC17" s="96"/>
      <c r="AD17" s="96">
        <v>2</v>
      </c>
      <c r="AE17" s="96"/>
      <c r="AF17" s="96">
        <v>3</v>
      </c>
      <c r="AG17" s="96"/>
      <c r="AH17" s="96"/>
      <c r="AI17" s="96"/>
      <c r="AJ17" s="96"/>
      <c r="AK17" s="96"/>
      <c r="AL17" s="96">
        <v>3</v>
      </c>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53</f>
        <v>53</v>
      </c>
      <c r="L18" s="18">
        <f>10</f>
        <v>10</v>
      </c>
      <c r="M18" s="18">
        <v>0</v>
      </c>
      <c r="N18" s="98"/>
      <c r="O18" s="19">
        <f t="shared" si="0"/>
        <v>10</v>
      </c>
      <c r="P18" s="22">
        <v>0</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45273</v>
      </c>
      <c r="B19" s="87" t="s">
        <v>37</v>
      </c>
      <c r="C19" s="89">
        <v>1</v>
      </c>
      <c r="D19" s="91" t="s">
        <v>38</v>
      </c>
      <c r="E19" s="89">
        <v>84212</v>
      </c>
      <c r="F19" s="89" t="s">
        <v>49</v>
      </c>
      <c r="G19" s="93" t="s">
        <v>55</v>
      </c>
      <c r="H19" s="90" t="s">
        <v>59</v>
      </c>
      <c r="I19" s="90">
        <v>708</v>
      </c>
      <c r="J19" s="90">
        <v>708</v>
      </c>
      <c r="K19" s="20">
        <v>0</v>
      </c>
      <c r="L19" s="20">
        <v>0</v>
      </c>
      <c r="M19" s="20">
        <v>0</v>
      </c>
      <c r="N19" s="97">
        <f>O20/L20</f>
        <v>0.72922636103151861</v>
      </c>
      <c r="O19" s="21">
        <f t="shared" si="0"/>
        <v>0</v>
      </c>
      <c r="P19" s="27">
        <v>0</v>
      </c>
      <c r="Q19" s="99">
        <f>+L20-P20</f>
        <v>39</v>
      </c>
      <c r="R19" s="85"/>
      <c r="S19" s="96"/>
      <c r="T19" s="96"/>
      <c r="U19" s="96"/>
      <c r="V19" s="96"/>
      <c r="W19" s="96"/>
      <c r="X19" s="96"/>
      <c r="Y19" s="96"/>
      <c r="Z19" s="96"/>
      <c r="AA19" s="96"/>
      <c r="AB19" s="96"/>
      <c r="AC19" s="96"/>
      <c r="AD19" s="96"/>
      <c r="AE19" s="96"/>
      <c r="AF19" s="96"/>
      <c r="AG19" s="96"/>
      <c r="AH19" s="96"/>
      <c r="AI19" s="96"/>
      <c r="AJ19" s="96"/>
      <c r="AK19" s="96"/>
      <c r="AL19" s="96"/>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105+109+70+77+65+110+122+34+3+3</f>
        <v>698</v>
      </c>
      <c r="L20" s="18">
        <f>25+50+65+80+80+30+80+50+160+78</f>
        <v>698</v>
      </c>
      <c r="M20" s="18">
        <f>15+20+20+15+5+11+20+50+33</f>
        <v>189</v>
      </c>
      <c r="N20" s="98"/>
      <c r="O20" s="19">
        <f t="shared" si="0"/>
        <v>509</v>
      </c>
      <c r="P20" s="22">
        <f>15+20+35+15+5+11+53+50+335+120</f>
        <v>659</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45273</v>
      </c>
      <c r="B21" s="87" t="s">
        <v>37</v>
      </c>
      <c r="C21" s="89">
        <v>1</v>
      </c>
      <c r="D21" s="91" t="s">
        <v>38</v>
      </c>
      <c r="E21" s="89">
        <v>84212</v>
      </c>
      <c r="F21" s="89" t="s">
        <v>49</v>
      </c>
      <c r="G21" s="93" t="s">
        <v>55</v>
      </c>
      <c r="H21" s="90" t="s">
        <v>67</v>
      </c>
      <c r="I21" s="90">
        <v>1813</v>
      </c>
      <c r="J21" s="90">
        <v>1813</v>
      </c>
      <c r="K21" s="20">
        <v>65</v>
      </c>
      <c r="L21" s="20">
        <v>348</v>
      </c>
      <c r="M21" s="20">
        <v>118</v>
      </c>
      <c r="N21" s="97">
        <f>O22/L22</f>
        <v>0.75386518243661105</v>
      </c>
      <c r="O21" s="21">
        <f t="shared" si="0"/>
        <v>230</v>
      </c>
      <c r="P21" s="27">
        <v>170</v>
      </c>
      <c r="Q21" s="99">
        <f>+L22-P22</f>
        <v>678</v>
      </c>
      <c r="R21" s="85"/>
      <c r="S21" s="96"/>
      <c r="T21" s="96">
        <v>48</v>
      </c>
      <c r="U21" s="96"/>
      <c r="V21" s="96"/>
      <c r="W21" s="96"/>
      <c r="X21" s="96">
        <v>14</v>
      </c>
      <c r="Y21" s="96"/>
      <c r="Z21" s="96"/>
      <c r="AA21" s="96"/>
      <c r="AB21" s="96"/>
      <c r="AC21" s="96">
        <v>31</v>
      </c>
      <c r="AD21" s="96"/>
      <c r="AE21" s="96">
        <v>15</v>
      </c>
      <c r="AF21" s="96">
        <v>18</v>
      </c>
      <c r="AG21" s="96">
        <v>22</v>
      </c>
      <c r="AH21" s="96">
        <v>47</v>
      </c>
      <c r="AI21" s="96"/>
      <c r="AJ21" s="96"/>
      <c r="AK21" s="96"/>
      <c r="AL21" s="96">
        <v>35</v>
      </c>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272+145+148+175+345+259+198+95+65</f>
        <v>1702</v>
      </c>
      <c r="L22" s="18">
        <f>30+110+235+150+484+100+160+348</f>
        <v>1617</v>
      </c>
      <c r="M22" s="18">
        <f>5+10+50+40+110+10+55+118</f>
        <v>398</v>
      </c>
      <c r="N22" s="98"/>
      <c r="O22" s="19">
        <f t="shared" si="0"/>
        <v>1219</v>
      </c>
      <c r="P22" s="22">
        <f>5+10+65+80+262+130+217+170</f>
        <v>939</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45273</v>
      </c>
      <c r="B23" s="87" t="s">
        <v>37</v>
      </c>
      <c r="C23" s="89">
        <v>1</v>
      </c>
      <c r="D23" s="91" t="s">
        <v>38</v>
      </c>
      <c r="E23" s="89">
        <v>84212</v>
      </c>
      <c r="F23" s="89" t="s">
        <v>49</v>
      </c>
      <c r="G23" s="93" t="s">
        <v>55</v>
      </c>
      <c r="H23" s="90" t="s">
        <v>62</v>
      </c>
      <c r="I23" s="90">
        <v>2218</v>
      </c>
      <c r="J23" s="90">
        <v>1640</v>
      </c>
      <c r="K23" s="20">
        <v>70</v>
      </c>
      <c r="L23" s="20">
        <v>115</v>
      </c>
      <c r="M23" s="20">
        <v>50</v>
      </c>
      <c r="N23" s="97">
        <f>O24/L24</f>
        <v>0.64824120603015079</v>
      </c>
      <c r="O23" s="21">
        <f t="shared" si="0"/>
        <v>65</v>
      </c>
      <c r="P23" s="27">
        <v>71</v>
      </c>
      <c r="Q23" s="99">
        <f>+L24-P24</f>
        <v>96</v>
      </c>
      <c r="R23" s="85"/>
      <c r="S23" s="96"/>
      <c r="T23" s="96">
        <v>13</v>
      </c>
      <c r="U23" s="96"/>
      <c r="V23" s="96"/>
      <c r="W23" s="96"/>
      <c r="X23" s="96">
        <v>4</v>
      </c>
      <c r="Y23" s="96"/>
      <c r="Z23" s="96"/>
      <c r="AA23" s="96"/>
      <c r="AB23" s="96"/>
      <c r="AC23" s="96">
        <v>12</v>
      </c>
      <c r="AD23" s="96"/>
      <c r="AE23" s="96">
        <v>4</v>
      </c>
      <c r="AF23" s="96"/>
      <c r="AG23" s="96">
        <v>6</v>
      </c>
      <c r="AH23" s="96">
        <v>19</v>
      </c>
      <c r="AI23" s="96"/>
      <c r="AJ23" s="96"/>
      <c r="AK23" s="96"/>
      <c r="AL23" s="96">
        <v>7</v>
      </c>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166+95+22+85+70</f>
        <v>438</v>
      </c>
      <c r="L24" s="18">
        <f>40+40+160+43+115</f>
        <v>398</v>
      </c>
      <c r="M24" s="18">
        <f>6+14+50+20+50</f>
        <v>140</v>
      </c>
      <c r="N24" s="98"/>
      <c r="O24" s="19">
        <f t="shared" si="0"/>
        <v>258</v>
      </c>
      <c r="P24" s="22">
        <f>6+14+50+28+64+69+71</f>
        <v>302</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45273</v>
      </c>
      <c r="B25" s="87" t="s">
        <v>37</v>
      </c>
      <c r="C25" s="89">
        <v>1</v>
      </c>
      <c r="D25" s="91" t="s">
        <v>38</v>
      </c>
      <c r="E25" s="89">
        <v>84212</v>
      </c>
      <c r="F25" s="89" t="s">
        <v>49</v>
      </c>
      <c r="G25" s="93" t="s">
        <v>55</v>
      </c>
      <c r="H25" s="90" t="s">
        <v>78</v>
      </c>
      <c r="I25" s="90">
        <v>747</v>
      </c>
      <c r="J25" s="90">
        <v>747</v>
      </c>
      <c r="K25" s="20">
        <v>85</v>
      </c>
      <c r="L25" s="20">
        <v>176</v>
      </c>
      <c r="M25" s="20">
        <v>36</v>
      </c>
      <c r="N25" s="97">
        <f>O26/L26</f>
        <v>0.81683168316831678</v>
      </c>
      <c r="O25" s="21">
        <f t="shared" si="0"/>
        <v>140</v>
      </c>
      <c r="P25" s="27">
        <v>133</v>
      </c>
      <c r="Q25" s="99">
        <f>+L26-P26</f>
        <v>177</v>
      </c>
      <c r="R25" s="85"/>
      <c r="S25" s="96">
        <v>1</v>
      </c>
      <c r="T25" s="96">
        <v>56</v>
      </c>
      <c r="U25" s="96">
        <v>6</v>
      </c>
      <c r="V25" s="96"/>
      <c r="W25" s="96"/>
      <c r="X25" s="96"/>
      <c r="Y25" s="96">
        <v>2</v>
      </c>
      <c r="Z25" s="96"/>
      <c r="AA25" s="96"/>
      <c r="AB25" s="96"/>
      <c r="AC25" s="96">
        <v>8</v>
      </c>
      <c r="AD25" s="96"/>
      <c r="AE25" s="96">
        <v>3</v>
      </c>
      <c r="AF25" s="96">
        <v>4</v>
      </c>
      <c r="AG25" s="96">
        <v>48</v>
      </c>
      <c r="AH25" s="96">
        <v>5</v>
      </c>
      <c r="AI25" s="96"/>
      <c r="AJ25" s="96"/>
      <c r="AK25" s="96"/>
      <c r="AL25" s="96">
        <v>7</v>
      </c>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5"/>
      <c r="B26" s="88"/>
      <c r="C26" s="90"/>
      <c r="D26" s="92"/>
      <c r="E26" s="90"/>
      <c r="F26" s="90"/>
      <c r="G26" s="94"/>
      <c r="H26" s="95"/>
      <c r="I26" s="95"/>
      <c r="J26" s="95"/>
      <c r="K26" s="22">
        <f>117+41+130+144+90+84+85</f>
        <v>691</v>
      </c>
      <c r="L26" s="18">
        <f>80+50+150+150+176</f>
        <v>606</v>
      </c>
      <c r="M26" s="18">
        <f>10+5+30+30+36</f>
        <v>111</v>
      </c>
      <c r="N26" s="98"/>
      <c r="O26" s="19">
        <f t="shared" si="0"/>
        <v>495</v>
      </c>
      <c r="P26" s="22">
        <f>10+5+30+171+80+133</f>
        <v>429</v>
      </c>
      <c r="Q26" s="100"/>
      <c r="R26" s="86"/>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108">
        <v>45273</v>
      </c>
      <c r="B27" s="87" t="s">
        <v>37</v>
      </c>
      <c r="C27" s="89">
        <v>1</v>
      </c>
      <c r="D27" s="91" t="s">
        <v>38</v>
      </c>
      <c r="E27" s="89">
        <v>84212</v>
      </c>
      <c r="F27" s="89" t="s">
        <v>49</v>
      </c>
      <c r="G27" s="93" t="s">
        <v>61</v>
      </c>
      <c r="H27" s="89" t="s">
        <v>65</v>
      </c>
      <c r="I27" s="89">
        <v>533</v>
      </c>
      <c r="J27" s="89">
        <v>533</v>
      </c>
      <c r="K27" s="20">
        <v>0</v>
      </c>
      <c r="L27" s="20">
        <v>24</v>
      </c>
      <c r="M27" s="20">
        <v>7</v>
      </c>
      <c r="N27" s="146">
        <f>O28/L28</f>
        <v>0.69230769230769229</v>
      </c>
      <c r="O27" s="21">
        <f t="shared" si="0"/>
        <v>17</v>
      </c>
      <c r="P27" s="27">
        <v>63</v>
      </c>
      <c r="Q27" s="99">
        <f>+L28-P28</f>
        <v>50</v>
      </c>
      <c r="R27" s="108"/>
      <c r="S27" s="149">
        <v>3</v>
      </c>
      <c r="T27" s="149">
        <v>2</v>
      </c>
      <c r="U27" s="149">
        <v>2</v>
      </c>
      <c r="V27" s="149"/>
      <c r="W27" s="149"/>
      <c r="X27" s="149"/>
      <c r="Y27" s="149"/>
      <c r="Z27" s="149"/>
      <c r="AA27" s="149"/>
      <c r="AB27" s="149"/>
      <c r="AC27" s="149">
        <v>1</v>
      </c>
      <c r="AD27" s="149"/>
      <c r="AE27" s="149"/>
      <c r="AF27" s="149">
        <v>4</v>
      </c>
      <c r="AG27" s="149"/>
      <c r="AH27" s="149"/>
      <c r="AI27" s="149"/>
      <c r="AJ27" s="149"/>
      <c r="AK27" s="149"/>
      <c r="AL27" s="149">
        <v>5</v>
      </c>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81+92+53+50+111+122+24</f>
        <v>533</v>
      </c>
      <c r="L28" s="18">
        <f>10+10+110+10+80+65+60+50+114+24</f>
        <v>533</v>
      </c>
      <c r="M28" s="18">
        <f>30+19+22+22+19+45+7</f>
        <v>164</v>
      </c>
      <c r="N28" s="147"/>
      <c r="O28" s="19">
        <f t="shared" si="0"/>
        <v>369</v>
      </c>
      <c r="P28" s="22">
        <f>50+40+39+28+88+67+108+63</f>
        <v>483</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45273</v>
      </c>
      <c r="B29" s="87" t="s">
        <v>37</v>
      </c>
      <c r="C29" s="89">
        <v>1</v>
      </c>
      <c r="D29" s="91" t="s">
        <v>38</v>
      </c>
      <c r="E29" s="89">
        <v>84212</v>
      </c>
      <c r="F29" s="89" t="s">
        <v>49</v>
      </c>
      <c r="G29" s="93" t="s">
        <v>61</v>
      </c>
      <c r="H29" s="89" t="s">
        <v>59</v>
      </c>
      <c r="I29" s="89">
        <v>515</v>
      </c>
      <c r="J29" s="89">
        <v>515</v>
      </c>
      <c r="K29" s="20">
        <v>124</v>
      </c>
      <c r="L29" s="20">
        <v>149</v>
      </c>
      <c r="M29" s="20">
        <v>60</v>
      </c>
      <c r="N29" s="146">
        <f>O30/L30</f>
        <v>0.59731543624161076</v>
      </c>
      <c r="O29" s="21">
        <f t="shared" si="0"/>
        <v>89</v>
      </c>
      <c r="P29" s="27">
        <v>60</v>
      </c>
      <c r="Q29" s="99">
        <f>+L30-P30</f>
        <v>89</v>
      </c>
      <c r="R29" s="108"/>
      <c r="S29" s="149">
        <v>4</v>
      </c>
      <c r="T29" s="149">
        <v>13</v>
      </c>
      <c r="U29" s="149">
        <v>2</v>
      </c>
      <c r="V29" s="149"/>
      <c r="W29" s="149"/>
      <c r="X29" s="149"/>
      <c r="Y29" s="149">
        <v>1</v>
      </c>
      <c r="Z29" s="149"/>
      <c r="AA29" s="149"/>
      <c r="AB29" s="149"/>
      <c r="AC29" s="149">
        <v>11</v>
      </c>
      <c r="AD29" s="149"/>
      <c r="AE29" s="149">
        <v>5</v>
      </c>
      <c r="AF29" s="149">
        <v>5</v>
      </c>
      <c r="AG29" s="149">
        <v>15</v>
      </c>
      <c r="AH29" s="149">
        <v>10</v>
      </c>
      <c r="AI29" s="149"/>
      <c r="AJ29" s="149"/>
      <c r="AK29" s="149"/>
      <c r="AL29" s="149">
        <v>23</v>
      </c>
      <c r="AM29" s="163"/>
      <c r="AN29" s="163"/>
      <c r="AO29" s="163"/>
      <c r="AP29" s="163"/>
      <c r="AQ29" s="163"/>
      <c r="AR29" s="163"/>
      <c r="AS29" s="163"/>
      <c r="AT29" s="163"/>
      <c r="AU29" s="163"/>
      <c r="AV29" s="163"/>
      <c r="AW29" s="163"/>
      <c r="AX29" s="163"/>
      <c r="AY29" s="167"/>
      <c r="AZ29" s="167"/>
      <c r="BA29" s="167"/>
      <c r="BB29" s="167"/>
      <c r="BC29" s="167"/>
      <c r="BD29" s="167"/>
      <c r="BE29" s="163"/>
      <c r="BF29" s="165"/>
      <c r="BG29" s="165"/>
    </row>
    <row r="30" spans="1:59" s="17" customFormat="1" ht="15.75" customHeight="1">
      <c r="A30" s="85"/>
      <c r="B30" s="88"/>
      <c r="C30" s="90"/>
      <c r="D30" s="92"/>
      <c r="E30" s="90"/>
      <c r="F30" s="90"/>
      <c r="G30" s="94"/>
      <c r="H30" s="90"/>
      <c r="I30" s="90"/>
      <c r="J30" s="90"/>
      <c r="K30" s="22">
        <f>149+124</f>
        <v>273</v>
      </c>
      <c r="L30" s="18">
        <f>149</f>
        <v>149</v>
      </c>
      <c r="M30" s="18">
        <f>60</f>
        <v>60</v>
      </c>
      <c r="N30" s="147"/>
      <c r="O30" s="19">
        <f t="shared" si="0"/>
        <v>89</v>
      </c>
      <c r="P30" s="22">
        <f>60</f>
        <v>60</v>
      </c>
      <c r="Q30" s="100"/>
      <c r="R30" s="85"/>
      <c r="S30" s="150"/>
      <c r="T30" s="150"/>
      <c r="U30" s="150"/>
      <c r="V30" s="150"/>
      <c r="W30" s="150"/>
      <c r="X30" s="150"/>
      <c r="Y30" s="150"/>
      <c r="Z30" s="150"/>
      <c r="AA30" s="150"/>
      <c r="AB30" s="150"/>
      <c r="AC30" s="150"/>
      <c r="AD30" s="150"/>
      <c r="AE30" s="150"/>
      <c r="AF30" s="150"/>
      <c r="AG30" s="150"/>
      <c r="AH30" s="150"/>
      <c r="AI30" s="150"/>
      <c r="AJ30" s="150"/>
      <c r="AK30" s="150"/>
      <c r="AL30" s="150"/>
      <c r="AM30" s="164"/>
      <c r="AN30" s="164"/>
      <c r="AO30" s="164"/>
      <c r="AP30" s="164"/>
      <c r="AQ30" s="164"/>
      <c r="AR30" s="164"/>
      <c r="AS30" s="164"/>
      <c r="AT30" s="164"/>
      <c r="AU30" s="164"/>
      <c r="AV30" s="164"/>
      <c r="AW30" s="164"/>
      <c r="AX30" s="164"/>
      <c r="AY30" s="168"/>
      <c r="AZ30" s="168"/>
      <c r="BA30" s="168"/>
      <c r="BB30" s="168"/>
      <c r="BC30" s="168"/>
      <c r="BD30" s="168"/>
      <c r="BE30" s="164"/>
      <c r="BF30" s="166"/>
      <c r="BG30" s="166"/>
    </row>
    <row r="31" spans="1:59" s="17" customFormat="1" ht="15.75" customHeight="1">
      <c r="A31" s="108">
        <v>45273</v>
      </c>
      <c r="B31" s="87" t="s">
        <v>37</v>
      </c>
      <c r="C31" s="89">
        <v>1</v>
      </c>
      <c r="D31" s="91" t="s">
        <v>38</v>
      </c>
      <c r="E31" s="89">
        <v>84426</v>
      </c>
      <c r="F31" s="89" t="s">
        <v>49</v>
      </c>
      <c r="G31" s="93" t="s">
        <v>55</v>
      </c>
      <c r="H31" s="90" t="s">
        <v>58</v>
      </c>
      <c r="I31" s="90">
        <v>549</v>
      </c>
      <c r="J31" s="90">
        <v>549</v>
      </c>
      <c r="K31" s="20">
        <v>0</v>
      </c>
      <c r="L31" s="20">
        <v>0</v>
      </c>
      <c r="M31" s="20">
        <v>0</v>
      </c>
      <c r="N31" s="97">
        <f>O32/L32</f>
        <v>0.81238615664845171</v>
      </c>
      <c r="O31" s="21">
        <f t="shared" si="0"/>
        <v>0</v>
      </c>
      <c r="P31" s="27">
        <v>0</v>
      </c>
      <c r="Q31" s="99">
        <f>+L32-P32</f>
        <v>3</v>
      </c>
      <c r="R31" s="108"/>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49">
        <f>483+66</f>
        <v>549</v>
      </c>
      <c r="L32" s="18">
        <f>483+66</f>
        <v>549</v>
      </c>
      <c r="M32" s="18">
        <f>86+17</f>
        <v>103</v>
      </c>
      <c r="N32" s="98"/>
      <c r="O32" s="19">
        <f t="shared" si="0"/>
        <v>446</v>
      </c>
      <c r="P32" s="22">
        <f>453+80+11+2</f>
        <v>546</v>
      </c>
      <c r="Q32" s="100"/>
      <c r="R32" s="85"/>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45273</v>
      </c>
      <c r="B33" s="87" t="s">
        <v>37</v>
      </c>
      <c r="C33" s="89">
        <v>1</v>
      </c>
      <c r="D33" s="91" t="s">
        <v>38</v>
      </c>
      <c r="E33" s="89">
        <v>84352</v>
      </c>
      <c r="F33" s="89" t="s">
        <v>49</v>
      </c>
      <c r="G33" s="93" t="s">
        <v>55</v>
      </c>
      <c r="H33" s="109" t="s">
        <v>39</v>
      </c>
      <c r="I33" s="90">
        <v>1050</v>
      </c>
      <c r="J33" s="170">
        <v>1053</v>
      </c>
      <c r="K33" s="43">
        <v>0</v>
      </c>
      <c r="L33" s="48">
        <v>0</v>
      </c>
      <c r="M33" s="20">
        <v>0</v>
      </c>
      <c r="N33" s="97">
        <f>O34/L34</f>
        <v>0.64411764705882357</v>
      </c>
      <c r="O33" s="21">
        <f t="shared" si="0"/>
        <v>0</v>
      </c>
      <c r="P33" s="27">
        <v>50</v>
      </c>
      <c r="Q33" s="99">
        <f>+L34-P34</f>
        <v>66</v>
      </c>
      <c r="R33" s="85"/>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171"/>
      <c r="K34" s="47">
        <f>320+108+237+109+43+100+35+68</f>
        <v>1020</v>
      </c>
      <c r="L34" s="46">
        <f>10+10+10+235+60+10+150+85+185+102+40+95+28</f>
        <v>1020</v>
      </c>
      <c r="M34" s="18">
        <f>75+30+45+42+80+30+8+40+13</f>
        <v>363</v>
      </c>
      <c r="N34" s="98"/>
      <c r="O34" s="19">
        <f t="shared" si="0"/>
        <v>657</v>
      </c>
      <c r="P34" s="22">
        <f>105+70+80+92+96+70+74+165+91+21+40+50</f>
        <v>954</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45273</v>
      </c>
      <c r="B35" s="87" t="s">
        <v>37</v>
      </c>
      <c r="C35" s="89">
        <v>1</v>
      </c>
      <c r="D35" s="91" t="s">
        <v>38</v>
      </c>
      <c r="E35" s="89">
        <v>84352</v>
      </c>
      <c r="F35" s="89" t="s">
        <v>49</v>
      </c>
      <c r="G35" s="93" t="s">
        <v>55</v>
      </c>
      <c r="H35" s="109" t="s">
        <v>57</v>
      </c>
      <c r="I35" s="90">
        <v>525</v>
      </c>
      <c r="J35" s="90">
        <v>525</v>
      </c>
      <c r="K35" s="20">
        <v>35</v>
      </c>
      <c r="L35" s="20">
        <v>37</v>
      </c>
      <c r="M35" s="20">
        <v>7</v>
      </c>
      <c r="N35" s="97">
        <f>O36/L36</f>
        <v>0.75627240143369179</v>
      </c>
      <c r="O35" s="21">
        <f t="shared" si="0"/>
        <v>30</v>
      </c>
      <c r="P35" s="27">
        <v>8</v>
      </c>
      <c r="Q35" s="99">
        <f>+L36-P36</f>
        <v>200</v>
      </c>
      <c r="R35" s="85"/>
      <c r="S35" s="96"/>
      <c r="T35" s="96">
        <v>13</v>
      </c>
      <c r="U35" s="96"/>
      <c r="V35" s="96"/>
      <c r="W35" s="96"/>
      <c r="X35" s="96"/>
      <c r="Y35" s="96"/>
      <c r="Z35" s="96"/>
      <c r="AA35" s="96"/>
      <c r="AB35" s="96"/>
      <c r="AC35" s="96"/>
      <c r="AD35" s="96"/>
      <c r="AE35" s="96">
        <v>3</v>
      </c>
      <c r="AF35" s="96"/>
      <c r="AG35" s="96"/>
      <c r="AH35" s="96"/>
      <c r="AI35" s="96"/>
      <c r="AJ35" s="96"/>
      <c r="AK35" s="96"/>
      <c r="AL35" s="96">
        <v>14</v>
      </c>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41">
        <f>70+50+122+102+35</f>
        <v>379</v>
      </c>
      <c r="L36" s="18">
        <f>20+60+162+37</f>
        <v>279</v>
      </c>
      <c r="M36" s="18">
        <f>9+30+22+7</f>
        <v>68</v>
      </c>
      <c r="N36" s="98"/>
      <c r="O36" s="19">
        <f t="shared" si="0"/>
        <v>211</v>
      </c>
      <c r="P36" s="22">
        <f>9+30+32+8</f>
        <v>79</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45273</v>
      </c>
      <c r="B37" s="87" t="s">
        <v>37</v>
      </c>
      <c r="C37" s="89">
        <v>1</v>
      </c>
      <c r="D37" s="91" t="s">
        <v>38</v>
      </c>
      <c r="E37" s="89">
        <v>84031</v>
      </c>
      <c r="F37" s="89" t="s">
        <v>49</v>
      </c>
      <c r="G37" s="93" t="s">
        <v>53</v>
      </c>
      <c r="H37" s="90" t="s">
        <v>57</v>
      </c>
      <c r="I37" s="90">
        <v>563</v>
      </c>
      <c r="J37" s="90">
        <v>563</v>
      </c>
      <c r="K37" s="43">
        <v>0</v>
      </c>
      <c r="L37" s="20">
        <v>0</v>
      </c>
      <c r="M37" s="20">
        <v>0</v>
      </c>
      <c r="N37" s="97">
        <f>O38/L38</f>
        <v>0.85343228200371057</v>
      </c>
      <c r="O37" s="21">
        <f t="shared" si="0"/>
        <v>0</v>
      </c>
      <c r="P37" s="27">
        <v>0</v>
      </c>
      <c r="Q37" s="99">
        <f>+L38-P38</f>
        <v>0</v>
      </c>
      <c r="R37" s="85" t="s">
        <v>68</v>
      </c>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516+20+3</f>
        <v>539</v>
      </c>
      <c r="L38" s="18">
        <f>516+20+3</f>
        <v>539</v>
      </c>
      <c r="M38" s="18">
        <f>74+2+3</f>
        <v>79</v>
      </c>
      <c r="N38" s="98"/>
      <c r="O38" s="19">
        <f t="shared" si="0"/>
        <v>460</v>
      </c>
      <c r="P38" s="22">
        <f>516+20+3</f>
        <v>539</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45273</v>
      </c>
      <c r="B39" s="87" t="s">
        <v>37</v>
      </c>
      <c r="C39" s="89">
        <v>1</v>
      </c>
      <c r="D39" s="91" t="s">
        <v>38</v>
      </c>
      <c r="E39" s="89">
        <v>84031</v>
      </c>
      <c r="F39" s="89" t="s">
        <v>49</v>
      </c>
      <c r="G39" s="93" t="s">
        <v>53</v>
      </c>
      <c r="H39" s="90" t="s">
        <v>39</v>
      </c>
      <c r="I39" s="90">
        <v>623</v>
      </c>
      <c r="J39" s="90">
        <v>623</v>
      </c>
      <c r="K39" s="20">
        <v>0</v>
      </c>
      <c r="L39" s="20">
        <v>0</v>
      </c>
      <c r="M39" s="20">
        <v>0</v>
      </c>
      <c r="N39" s="97">
        <f>O40/L40</f>
        <v>0.79710144927536231</v>
      </c>
      <c r="O39" s="21">
        <f t="shared" si="0"/>
        <v>0</v>
      </c>
      <c r="P39" s="27">
        <v>0</v>
      </c>
      <c r="Q39" s="99">
        <f>+L40-P40</f>
        <v>0</v>
      </c>
      <c r="R39" s="85" t="s">
        <v>68</v>
      </c>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574+9+30+5+3</f>
        <v>621</v>
      </c>
      <c r="L40" s="18">
        <f>574+9+30+5+3</f>
        <v>621</v>
      </c>
      <c r="M40" s="18">
        <f>109+9+5+3</f>
        <v>126</v>
      </c>
      <c r="N40" s="98"/>
      <c r="O40" s="19">
        <f t="shared" si="0"/>
        <v>495</v>
      </c>
      <c r="P40" s="22">
        <f>574+9+30+5+3</f>
        <v>621</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45273</v>
      </c>
      <c r="B41" s="87" t="s">
        <v>37</v>
      </c>
      <c r="C41" s="89">
        <v>1</v>
      </c>
      <c r="D41" s="91" t="s">
        <v>77</v>
      </c>
      <c r="E41" s="89">
        <v>20785</v>
      </c>
      <c r="F41" s="89" t="s">
        <v>76</v>
      </c>
      <c r="G41" s="93" t="s">
        <v>71</v>
      </c>
      <c r="H41" s="90" t="s">
        <v>70</v>
      </c>
      <c r="I41" s="90">
        <v>1475</v>
      </c>
      <c r="J41" s="90">
        <v>1475</v>
      </c>
      <c r="K41" s="20">
        <v>0</v>
      </c>
      <c r="L41" s="20">
        <v>0</v>
      </c>
      <c r="M41" s="20">
        <v>0</v>
      </c>
      <c r="N41" s="97">
        <f>O42/L42</f>
        <v>1</v>
      </c>
      <c r="O41" s="21">
        <f t="shared" si="0"/>
        <v>0</v>
      </c>
      <c r="P41" s="27">
        <v>14</v>
      </c>
      <c r="Q41" s="99">
        <f>+L42-P42</f>
        <v>16</v>
      </c>
      <c r="R41" s="85"/>
      <c r="S41" s="96"/>
      <c r="T41" s="96"/>
      <c r="U41" s="96"/>
      <c r="V41" s="96"/>
      <c r="W41" s="96"/>
      <c r="X41" s="96"/>
      <c r="Y41" s="96"/>
      <c r="Z41" s="96"/>
      <c r="AA41" s="96"/>
      <c r="AB41" s="96"/>
      <c r="AC41" s="96"/>
      <c r="AD41" s="96"/>
      <c r="AE41" s="96"/>
      <c r="AF41" s="96"/>
      <c r="AG41" s="96"/>
      <c r="AH41" s="96"/>
      <c r="AI41" s="96"/>
      <c r="AJ41" s="96"/>
      <c r="AK41" s="96"/>
      <c r="AL41" s="96"/>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26+20+20+15+15</f>
        <v>96</v>
      </c>
      <c r="L42" s="18">
        <f>26+10+30+15+15</f>
        <v>96</v>
      </c>
      <c r="M42" s="18">
        <v>0</v>
      </c>
      <c r="N42" s="98"/>
      <c r="O42" s="19">
        <f t="shared" si="0"/>
        <v>96</v>
      </c>
      <c r="P42" s="22">
        <f>10+10+6+5+20+15+14</f>
        <v>80</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s="17" customFormat="1" ht="15.75" customHeight="1">
      <c r="A43" s="108">
        <v>45273</v>
      </c>
      <c r="B43" s="87" t="s">
        <v>37</v>
      </c>
      <c r="C43" s="89">
        <v>1</v>
      </c>
      <c r="D43" s="91" t="s">
        <v>77</v>
      </c>
      <c r="E43" s="89">
        <v>20785</v>
      </c>
      <c r="F43" s="89" t="s">
        <v>76</v>
      </c>
      <c r="G43" s="93" t="s">
        <v>71</v>
      </c>
      <c r="H43" s="90" t="s">
        <v>75</v>
      </c>
      <c r="I43" s="90">
        <v>501</v>
      </c>
      <c r="J43" s="90">
        <v>501</v>
      </c>
      <c r="K43" s="20">
        <v>0</v>
      </c>
      <c r="L43" s="20">
        <v>0</v>
      </c>
      <c r="M43" s="20">
        <v>0</v>
      </c>
      <c r="N43" s="97">
        <f>O44/L44</f>
        <v>0.9358974358974359</v>
      </c>
      <c r="O43" s="21">
        <f t="shared" si="0"/>
        <v>0</v>
      </c>
      <c r="P43" s="27">
        <v>0</v>
      </c>
      <c r="Q43" s="99">
        <f>+L44-P44</f>
        <v>0</v>
      </c>
      <c r="R43" s="85"/>
      <c r="S43" s="96"/>
      <c r="T43" s="96"/>
      <c r="U43" s="96"/>
      <c r="V43" s="96"/>
      <c r="W43" s="96"/>
      <c r="X43" s="96"/>
      <c r="Y43" s="96"/>
      <c r="Z43" s="96"/>
      <c r="AA43" s="96"/>
      <c r="AB43" s="96"/>
      <c r="AC43" s="96"/>
      <c r="AD43" s="96"/>
      <c r="AE43" s="96"/>
      <c r="AF43" s="96"/>
      <c r="AG43" s="96"/>
      <c r="AH43" s="96"/>
      <c r="AI43" s="96"/>
      <c r="AJ43" s="96"/>
      <c r="AK43" s="96"/>
      <c r="AL43" s="96"/>
      <c r="AM43" s="103"/>
      <c r="AN43" s="103"/>
      <c r="AO43" s="103"/>
      <c r="AP43" s="103"/>
      <c r="AQ43" s="103"/>
      <c r="AR43" s="103"/>
      <c r="AS43" s="103"/>
      <c r="AT43" s="103"/>
      <c r="AU43" s="103"/>
      <c r="AV43" s="103"/>
      <c r="AW43" s="103"/>
      <c r="AX43" s="103"/>
      <c r="AY43" s="106"/>
      <c r="AZ43" s="106"/>
      <c r="BA43" s="106"/>
      <c r="BB43" s="106"/>
      <c r="BC43" s="106"/>
      <c r="BD43" s="106"/>
      <c r="BE43" s="103"/>
      <c r="BF43" s="104"/>
      <c r="BG43" s="104"/>
    </row>
    <row r="44" spans="1:59" s="17" customFormat="1" ht="15.75" customHeight="1">
      <c r="A44" s="85"/>
      <c r="B44" s="88"/>
      <c r="C44" s="90"/>
      <c r="D44" s="92"/>
      <c r="E44" s="90"/>
      <c r="F44" s="90"/>
      <c r="G44" s="94"/>
      <c r="H44" s="95"/>
      <c r="I44" s="95"/>
      <c r="J44" s="95"/>
      <c r="K44" s="22">
        <f>24+31+23</f>
        <v>78</v>
      </c>
      <c r="L44" s="18">
        <f>10+45+5+18</f>
        <v>78</v>
      </c>
      <c r="M44" s="18">
        <f>5</f>
        <v>5</v>
      </c>
      <c r="N44" s="98"/>
      <c r="O44" s="19">
        <f t="shared" si="0"/>
        <v>73</v>
      </c>
      <c r="P44" s="22">
        <f>5+15+58</f>
        <v>78</v>
      </c>
      <c r="Q44" s="100"/>
      <c r="R44" s="86"/>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7"/>
      <c r="AZ44" s="107"/>
      <c r="BA44" s="107"/>
      <c r="BB44" s="107"/>
      <c r="BC44" s="107"/>
      <c r="BD44" s="107"/>
      <c r="BE44" s="103"/>
      <c r="BF44" s="105"/>
      <c r="BG44" s="105"/>
    </row>
    <row r="45" spans="1:59" s="17" customFormat="1" ht="15.75" customHeight="1">
      <c r="A45" s="108">
        <v>45273</v>
      </c>
      <c r="B45" s="87" t="s">
        <v>37</v>
      </c>
      <c r="C45" s="89">
        <v>1</v>
      </c>
      <c r="D45" s="91" t="s">
        <v>77</v>
      </c>
      <c r="E45" s="89">
        <v>20785</v>
      </c>
      <c r="F45" s="89" t="s">
        <v>76</v>
      </c>
      <c r="G45" s="93" t="s">
        <v>71</v>
      </c>
      <c r="H45" s="90" t="s">
        <v>79</v>
      </c>
      <c r="I45" s="90">
        <v>826</v>
      </c>
      <c r="J45" s="90">
        <v>826</v>
      </c>
      <c r="K45" s="20">
        <v>34</v>
      </c>
      <c r="L45" s="20">
        <v>50</v>
      </c>
      <c r="M45" s="20">
        <v>0</v>
      </c>
      <c r="N45" s="97">
        <f>O46/L46</f>
        <v>0.90151515151515149</v>
      </c>
      <c r="O45" s="21">
        <f t="shared" si="0"/>
        <v>50</v>
      </c>
      <c r="P45" s="27">
        <v>30</v>
      </c>
      <c r="Q45" s="99">
        <f>+L46-P46</f>
        <v>77</v>
      </c>
      <c r="R45" s="85"/>
      <c r="S45" s="96"/>
      <c r="T45" s="96">
        <v>5</v>
      </c>
      <c r="U45" s="96"/>
      <c r="V45" s="96"/>
      <c r="W45" s="96"/>
      <c r="X45" s="96"/>
      <c r="Y45" s="96"/>
      <c r="Z45" s="96"/>
      <c r="AA45" s="96"/>
      <c r="AB45" s="96"/>
      <c r="AC45" s="96">
        <v>7</v>
      </c>
      <c r="AD45" s="96"/>
      <c r="AE45" s="96">
        <v>2</v>
      </c>
      <c r="AF45" s="96"/>
      <c r="AG45" s="96">
        <v>29</v>
      </c>
      <c r="AH45" s="96">
        <v>5</v>
      </c>
      <c r="AI45" s="96"/>
      <c r="AJ45" s="96"/>
      <c r="AK45" s="96"/>
      <c r="AL45" s="96">
        <v>2</v>
      </c>
      <c r="AM45" s="103"/>
      <c r="AN45" s="103"/>
      <c r="AO45" s="103"/>
      <c r="AP45" s="103"/>
      <c r="AQ45" s="103"/>
      <c r="AR45" s="103"/>
      <c r="AS45" s="103"/>
      <c r="AT45" s="103"/>
      <c r="AU45" s="103"/>
      <c r="AV45" s="103"/>
      <c r="AW45" s="103"/>
      <c r="AX45" s="103"/>
      <c r="AY45" s="106"/>
      <c r="AZ45" s="106"/>
      <c r="BA45" s="106"/>
      <c r="BB45" s="106"/>
      <c r="BC45" s="106"/>
      <c r="BD45" s="106"/>
      <c r="BE45" s="103"/>
      <c r="BF45" s="104"/>
      <c r="BG45" s="104"/>
    </row>
    <row r="46" spans="1:59" s="17" customFormat="1" ht="15.75" customHeight="1">
      <c r="A46" s="85"/>
      <c r="B46" s="88"/>
      <c r="C46" s="90"/>
      <c r="D46" s="92"/>
      <c r="E46" s="90"/>
      <c r="F46" s="90"/>
      <c r="G46" s="94"/>
      <c r="H46" s="95"/>
      <c r="I46" s="95"/>
      <c r="J46" s="95"/>
      <c r="K46" s="22">
        <f>8+32+48+44+34</f>
        <v>166</v>
      </c>
      <c r="L46" s="18">
        <f>7+30+45+50</f>
        <v>132</v>
      </c>
      <c r="M46" s="18">
        <f>3+10</f>
        <v>13</v>
      </c>
      <c r="N46" s="98"/>
      <c r="O46" s="19">
        <f t="shared" si="0"/>
        <v>119</v>
      </c>
      <c r="P46" s="22">
        <f>3+10+12+30</f>
        <v>55</v>
      </c>
      <c r="Q46" s="100"/>
      <c r="R46" s="86"/>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7"/>
      <c r="AZ46" s="107"/>
      <c r="BA46" s="107"/>
      <c r="BB46" s="107"/>
      <c r="BC46" s="107"/>
      <c r="BD46" s="107"/>
      <c r="BE46" s="103"/>
      <c r="BF46" s="105"/>
      <c r="BG46" s="105"/>
    </row>
    <row r="47" spans="1:59" ht="24.75" customHeight="1">
      <c r="A47" s="111" t="s">
        <v>15</v>
      </c>
      <c r="B47" s="112"/>
      <c r="C47" s="112"/>
      <c r="D47" s="112"/>
      <c r="E47" s="112"/>
      <c r="F47" s="112"/>
      <c r="G47" s="112"/>
      <c r="H47" s="112"/>
      <c r="I47" s="113"/>
      <c r="J47" s="5">
        <f>SUM(J5:J46)</f>
        <v>22097</v>
      </c>
      <c r="K47" s="5">
        <f>+SUMPRODUCT(((MOD(ROW(K5:K46),2)=1)*(K5:K46)))</f>
        <v>843</v>
      </c>
      <c r="L47" s="5">
        <f t="shared" ref="L47:M47" si="1">+SUMPRODUCT(((MOD(ROW(L5:L46),2)=1)*(L5:L46)))</f>
        <v>1486</v>
      </c>
      <c r="M47" s="5">
        <f t="shared" si="1"/>
        <v>559</v>
      </c>
      <c r="N47" s="23">
        <f>O47/L47</f>
        <v>0.62382234185733509</v>
      </c>
      <c r="O47" s="5">
        <f t="shared" ref="O47" si="2">+SUMPRODUCT(((MOD(ROW(O5:O46),2)=1)*(O5:O46)))</f>
        <v>927</v>
      </c>
      <c r="P47" s="5">
        <f t="shared" ref="P47" si="3">+SUMPRODUCT(((MOD(ROW(P5:P46),2)=1)*(P5:P46)))</f>
        <v>1208</v>
      </c>
      <c r="Q47" s="5">
        <f>+SUMPRODUCT(((MOD(ROW(Q5:Q46),2)=1)*(Q5:Q46)))</f>
        <v>2322</v>
      </c>
      <c r="R47" s="29"/>
      <c r="S47" s="5">
        <f t="shared" ref="S47:BG47" si="4">SUM(S5:S46)</f>
        <v>121</v>
      </c>
      <c r="T47" s="5">
        <f t="shared" si="4"/>
        <v>167</v>
      </c>
      <c r="U47" s="5">
        <f t="shared" si="4"/>
        <v>20</v>
      </c>
      <c r="V47" s="5">
        <f t="shared" si="4"/>
        <v>0</v>
      </c>
      <c r="W47" s="5">
        <f t="shared" si="4"/>
        <v>0</v>
      </c>
      <c r="X47" s="5">
        <f t="shared" si="4"/>
        <v>18</v>
      </c>
      <c r="Y47" s="5">
        <f t="shared" si="4"/>
        <v>3</v>
      </c>
      <c r="Z47" s="5">
        <f t="shared" si="4"/>
        <v>0</v>
      </c>
      <c r="AA47" s="5">
        <f t="shared" si="4"/>
        <v>0</v>
      </c>
      <c r="AB47" s="5">
        <f t="shared" si="4"/>
        <v>0</v>
      </c>
      <c r="AC47" s="5">
        <f t="shared" si="4"/>
        <v>117</v>
      </c>
      <c r="AD47" s="5">
        <f t="shared" si="4"/>
        <v>7</v>
      </c>
      <c r="AE47" s="5">
        <f t="shared" si="4"/>
        <v>42</v>
      </c>
      <c r="AF47" s="5">
        <f t="shared" si="4"/>
        <v>63</v>
      </c>
      <c r="AG47" s="5">
        <f t="shared" si="4"/>
        <v>134</v>
      </c>
      <c r="AH47" s="5">
        <f t="shared" si="4"/>
        <v>119</v>
      </c>
      <c r="AI47" s="5">
        <f t="shared" si="4"/>
        <v>0</v>
      </c>
      <c r="AJ47" s="5">
        <f t="shared" si="4"/>
        <v>0</v>
      </c>
      <c r="AK47" s="5">
        <f t="shared" si="4"/>
        <v>0</v>
      </c>
      <c r="AL47" s="5">
        <f t="shared" si="4"/>
        <v>116</v>
      </c>
      <c r="AM47" s="5">
        <f t="shared" si="4"/>
        <v>0</v>
      </c>
      <c r="AN47" s="5">
        <f t="shared" si="4"/>
        <v>0</v>
      </c>
      <c r="AO47" s="5">
        <f t="shared" si="4"/>
        <v>0</v>
      </c>
      <c r="AP47" s="5">
        <f t="shared" si="4"/>
        <v>0</v>
      </c>
      <c r="AQ47" s="5">
        <f t="shared" si="4"/>
        <v>0</v>
      </c>
      <c r="AR47" s="5">
        <f t="shared" si="4"/>
        <v>0</v>
      </c>
      <c r="AS47" s="5">
        <f t="shared" si="4"/>
        <v>0</v>
      </c>
      <c r="AT47" s="5">
        <f t="shared" si="4"/>
        <v>0</v>
      </c>
      <c r="AU47" s="5">
        <f t="shared" si="4"/>
        <v>0</v>
      </c>
      <c r="AV47" s="5">
        <f t="shared" si="4"/>
        <v>0</v>
      </c>
      <c r="AW47" s="5">
        <f t="shared" si="4"/>
        <v>0</v>
      </c>
      <c r="AX47" s="5">
        <f t="shared" si="4"/>
        <v>0</v>
      </c>
      <c r="AY47" s="5">
        <f t="shared" si="4"/>
        <v>0</v>
      </c>
      <c r="AZ47" s="5">
        <f t="shared" si="4"/>
        <v>0</v>
      </c>
      <c r="BA47" s="5">
        <f t="shared" si="4"/>
        <v>0</v>
      </c>
      <c r="BB47" s="5">
        <f t="shared" si="4"/>
        <v>0</v>
      </c>
      <c r="BC47" s="5">
        <f t="shared" si="4"/>
        <v>0</v>
      </c>
      <c r="BD47" s="5">
        <f t="shared" si="4"/>
        <v>0</v>
      </c>
      <c r="BE47" s="5">
        <f t="shared" si="4"/>
        <v>0</v>
      </c>
      <c r="BF47" s="5">
        <f t="shared" si="4"/>
        <v>0</v>
      </c>
      <c r="BG47" s="5">
        <f t="shared" si="4"/>
        <v>0</v>
      </c>
    </row>
    <row r="48" spans="1:59" s="17" customFormat="1" ht="15.75" hidden="1" customHeight="1">
      <c r="A48" s="85"/>
      <c r="B48" s="87"/>
      <c r="C48" s="89"/>
      <c r="D48" s="91"/>
      <c r="E48" s="89"/>
      <c r="F48" s="89"/>
      <c r="G48" s="93"/>
      <c r="H48" s="90"/>
      <c r="I48" s="90"/>
      <c r="J48" s="90"/>
      <c r="K48" s="20"/>
      <c r="L48" s="20"/>
      <c r="M48" s="20"/>
      <c r="N48" s="97" t="e">
        <f>O49/L49</f>
        <v>#DIV/0!</v>
      </c>
      <c r="O48" s="21">
        <f>+L48-M48</f>
        <v>0</v>
      </c>
      <c r="P48" s="27">
        <v>0</v>
      </c>
      <c r="Q48" s="99">
        <f>+L49-P49</f>
        <v>0</v>
      </c>
      <c r="R48" s="169"/>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6"/>
      <c r="AZ48" s="106"/>
      <c r="BA48" s="106"/>
      <c r="BB48" s="106"/>
      <c r="BC48" s="106"/>
      <c r="BD48" s="106"/>
      <c r="BE48" s="103"/>
      <c r="BF48" s="104"/>
      <c r="BG48" s="104"/>
    </row>
    <row r="49" spans="1:59" s="17" customFormat="1" ht="15.75" hidden="1" customHeight="1">
      <c r="A49" s="86"/>
      <c r="B49" s="88"/>
      <c r="C49" s="90"/>
      <c r="D49" s="92"/>
      <c r="E49" s="90"/>
      <c r="F49" s="90"/>
      <c r="G49" s="94"/>
      <c r="H49" s="95"/>
      <c r="I49" s="95"/>
      <c r="J49" s="95"/>
      <c r="K49" s="22"/>
      <c r="L49" s="18"/>
      <c r="M49" s="18"/>
      <c r="N49" s="98"/>
      <c r="O49" s="19">
        <f>+L49-M49</f>
        <v>0</v>
      </c>
      <c r="P49" s="22">
        <v>0</v>
      </c>
      <c r="Q49" s="100"/>
      <c r="R49" s="86"/>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7"/>
      <c r="AZ49" s="107"/>
      <c r="BA49" s="107"/>
      <c r="BB49" s="107"/>
      <c r="BC49" s="107"/>
      <c r="BD49" s="107"/>
      <c r="BE49" s="103"/>
      <c r="BF49" s="105"/>
      <c r="BG49" s="105"/>
    </row>
    <row r="50" spans="1:59" s="17" customFormat="1" ht="15.75" hidden="1" customHeight="1">
      <c r="A50" s="101"/>
      <c r="B50" s="114"/>
      <c r="C50" s="116"/>
      <c r="D50" s="118"/>
      <c r="E50" s="116"/>
      <c r="F50" s="116"/>
      <c r="G50" s="120"/>
      <c r="H50" s="90"/>
      <c r="I50" s="90"/>
      <c r="J50" s="90"/>
      <c r="K50" s="20"/>
      <c r="L50" s="20"/>
      <c r="M50" s="20"/>
      <c r="N50" s="97"/>
      <c r="O50" s="21"/>
      <c r="P50" s="27"/>
      <c r="Q50" s="99"/>
      <c r="R50" s="110"/>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6"/>
      <c r="AZ50" s="106"/>
      <c r="BA50" s="106"/>
      <c r="BB50" s="106"/>
      <c r="BC50" s="106"/>
      <c r="BD50" s="106"/>
      <c r="BE50" s="103"/>
      <c r="BF50" s="104"/>
      <c r="BG50" s="104"/>
    </row>
    <row r="51" spans="1:59" s="17" customFormat="1" ht="15.75" hidden="1" customHeight="1">
      <c r="A51" s="102"/>
      <c r="B51" s="115"/>
      <c r="C51" s="117"/>
      <c r="D51" s="119"/>
      <c r="E51" s="117"/>
      <c r="F51" s="117"/>
      <c r="G51" s="121"/>
      <c r="H51" s="95"/>
      <c r="I51" s="95"/>
      <c r="J51" s="95"/>
      <c r="K51" s="22"/>
      <c r="L51" s="18"/>
      <c r="M51" s="18"/>
      <c r="N51" s="98"/>
      <c r="O51" s="19"/>
      <c r="P51" s="22"/>
      <c r="Q51" s="100"/>
      <c r="R51" s="102"/>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7"/>
      <c r="AZ51" s="107"/>
      <c r="BA51" s="107"/>
      <c r="BB51" s="107"/>
      <c r="BC51" s="107"/>
      <c r="BD51" s="107"/>
      <c r="BE51" s="103"/>
      <c r="BF51" s="105"/>
      <c r="BG51" s="105"/>
    </row>
    <row r="52" spans="1:59" s="17" customFormat="1" ht="15.75" hidden="1" customHeight="1">
      <c r="A52" s="101"/>
      <c r="B52" s="114"/>
      <c r="C52" s="116"/>
      <c r="D52" s="118"/>
      <c r="E52" s="116"/>
      <c r="F52" s="116"/>
      <c r="G52" s="120"/>
      <c r="H52" s="90"/>
      <c r="I52" s="90"/>
      <c r="J52" s="90"/>
      <c r="K52" s="20"/>
      <c r="L52" s="20"/>
      <c r="M52" s="20"/>
      <c r="N52" s="97"/>
      <c r="O52" s="21"/>
      <c r="P52" s="27"/>
      <c r="Q52" s="99"/>
      <c r="R52" s="110"/>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6"/>
      <c r="AZ52" s="106"/>
      <c r="BA52" s="106"/>
      <c r="BB52" s="106"/>
      <c r="BC52" s="106"/>
      <c r="BD52" s="106"/>
      <c r="BE52" s="103"/>
      <c r="BF52" s="104"/>
      <c r="BG52" s="104"/>
    </row>
    <row r="53" spans="1:59" s="17" customFormat="1" ht="15.75" hidden="1" customHeight="1">
      <c r="A53" s="102"/>
      <c r="B53" s="115"/>
      <c r="C53" s="117"/>
      <c r="D53" s="119"/>
      <c r="E53" s="117"/>
      <c r="F53" s="117"/>
      <c r="G53" s="121"/>
      <c r="H53" s="95"/>
      <c r="I53" s="95"/>
      <c r="J53" s="95"/>
      <c r="K53" s="22"/>
      <c r="L53" s="18"/>
      <c r="M53" s="18"/>
      <c r="N53" s="98"/>
      <c r="O53" s="19"/>
      <c r="P53" s="22"/>
      <c r="Q53" s="100"/>
      <c r="R53" s="102"/>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7"/>
      <c r="AZ53" s="107"/>
      <c r="BA53" s="107"/>
      <c r="BB53" s="107"/>
      <c r="BC53" s="107"/>
      <c r="BD53" s="107"/>
      <c r="BE53" s="103"/>
      <c r="BF53" s="105"/>
      <c r="BG53" s="105"/>
    </row>
    <row r="54" spans="1:59" ht="24.75" hidden="1" customHeight="1">
      <c r="A54" s="111" t="s">
        <v>48</v>
      </c>
      <c r="B54" s="112"/>
      <c r="C54" s="112"/>
      <c r="D54" s="112"/>
      <c r="E54" s="112"/>
      <c r="F54" s="112"/>
      <c r="G54" s="112"/>
      <c r="H54" s="112"/>
      <c r="I54" s="113"/>
      <c r="J54" s="5">
        <f>SUM(J48:J53)</f>
        <v>0</v>
      </c>
      <c r="K54" s="5">
        <f>+SUMPRODUCT(((MOD(ROW(K48:K53),2)=0)*(K48:K53)))</f>
        <v>0</v>
      </c>
      <c r="L54" s="5">
        <f>+SUMPRODUCT(((MOD(ROW(L48:L53),2)=0)*(L48:L53)))</f>
        <v>0</v>
      </c>
      <c r="M54" s="5">
        <f>+SUMPRODUCT(((MOD(ROW(M48:M53),2)=0)*(M48:M53)))</f>
        <v>0</v>
      </c>
      <c r="N54" s="23" t="e">
        <f>O54/L54</f>
        <v>#DIV/0!</v>
      </c>
      <c r="O54" s="5">
        <f>+SUMPRODUCT(((MOD(ROW(O48:O53),2)=0)*(O48:O53)))</f>
        <v>0</v>
      </c>
      <c r="P54" s="5">
        <f>+SUMPRODUCT(((MOD(ROW(P48:P53),2)=0)*(P48:P53)))</f>
        <v>0</v>
      </c>
      <c r="Q54" s="29">
        <f>SUM(Q48:Q53)</f>
        <v>0</v>
      </c>
      <c r="R54" s="29"/>
      <c r="S54" s="5">
        <f t="shared" ref="S54:BG54" si="5">SUM(S48:S53)</f>
        <v>0</v>
      </c>
      <c r="T54" s="5">
        <f t="shared" si="5"/>
        <v>0</v>
      </c>
      <c r="U54" s="5">
        <f t="shared" si="5"/>
        <v>0</v>
      </c>
      <c r="V54" s="5">
        <f t="shared" si="5"/>
        <v>0</v>
      </c>
      <c r="W54" s="5">
        <f t="shared" si="5"/>
        <v>0</v>
      </c>
      <c r="X54" s="5">
        <f t="shared" si="5"/>
        <v>0</v>
      </c>
      <c r="Y54" s="5">
        <f t="shared" si="5"/>
        <v>0</v>
      </c>
      <c r="Z54" s="5">
        <f t="shared" si="5"/>
        <v>0</v>
      </c>
      <c r="AA54" s="5">
        <f t="shared" si="5"/>
        <v>0</v>
      </c>
      <c r="AB54" s="5">
        <f t="shared" si="5"/>
        <v>0</v>
      </c>
      <c r="AC54" s="5">
        <f t="shared" si="5"/>
        <v>0</v>
      </c>
      <c r="AD54" s="5">
        <f t="shared" si="5"/>
        <v>0</v>
      </c>
      <c r="AE54" s="5">
        <f t="shared" si="5"/>
        <v>0</v>
      </c>
      <c r="AF54" s="5">
        <f t="shared" si="5"/>
        <v>0</v>
      </c>
      <c r="AG54" s="5">
        <f t="shared" si="5"/>
        <v>0</v>
      </c>
      <c r="AH54" s="5">
        <f t="shared" si="5"/>
        <v>0</v>
      </c>
      <c r="AI54" s="5">
        <f t="shared" si="5"/>
        <v>0</v>
      </c>
      <c r="AJ54" s="5">
        <f t="shared" si="5"/>
        <v>0</v>
      </c>
      <c r="AK54" s="5">
        <f t="shared" si="5"/>
        <v>0</v>
      </c>
      <c r="AL54" s="5">
        <f t="shared" si="5"/>
        <v>0</v>
      </c>
      <c r="AM54" s="5">
        <f t="shared" si="5"/>
        <v>0</v>
      </c>
      <c r="AN54" s="5">
        <f t="shared" si="5"/>
        <v>0</v>
      </c>
      <c r="AO54" s="5">
        <f t="shared" si="5"/>
        <v>0</v>
      </c>
      <c r="AP54" s="5">
        <f t="shared" si="5"/>
        <v>0</v>
      </c>
      <c r="AQ54" s="5">
        <f t="shared" si="5"/>
        <v>0</v>
      </c>
      <c r="AR54" s="5">
        <f t="shared" si="5"/>
        <v>0</v>
      </c>
      <c r="AS54" s="5">
        <f t="shared" si="5"/>
        <v>0</v>
      </c>
      <c r="AT54" s="5">
        <f t="shared" si="5"/>
        <v>0</v>
      </c>
      <c r="AU54" s="5">
        <f t="shared" si="5"/>
        <v>0</v>
      </c>
      <c r="AV54" s="5">
        <f t="shared" si="5"/>
        <v>0</v>
      </c>
      <c r="AW54" s="5">
        <f t="shared" si="5"/>
        <v>0</v>
      </c>
      <c r="AX54" s="5">
        <f t="shared" si="5"/>
        <v>0</v>
      </c>
      <c r="AY54" s="5">
        <f t="shared" si="5"/>
        <v>0</v>
      </c>
      <c r="AZ54" s="5">
        <f t="shared" si="5"/>
        <v>0</v>
      </c>
      <c r="BA54" s="5">
        <f t="shared" si="5"/>
        <v>0</v>
      </c>
      <c r="BB54" s="5">
        <f t="shared" si="5"/>
        <v>0</v>
      </c>
      <c r="BC54" s="5">
        <f t="shared" si="5"/>
        <v>0</v>
      </c>
      <c r="BD54" s="5">
        <f t="shared" si="5"/>
        <v>0</v>
      </c>
      <c r="BE54" s="5">
        <f t="shared" si="5"/>
        <v>0</v>
      </c>
      <c r="BF54" s="5">
        <f t="shared" si="5"/>
        <v>0</v>
      </c>
      <c r="BG54" s="5">
        <f t="shared" si="5"/>
        <v>0</v>
      </c>
    </row>
    <row r="55" spans="1:59" s="17" customFormat="1" ht="15.75" hidden="1" customHeight="1">
      <c r="A55" s="85"/>
      <c r="B55" s="87"/>
      <c r="C55" s="89"/>
      <c r="D55" s="91"/>
      <c r="E55" s="89"/>
      <c r="F55" s="89"/>
      <c r="G55" s="93"/>
      <c r="H55" s="90"/>
      <c r="I55" s="90"/>
      <c r="J55" s="90"/>
      <c r="K55" s="20"/>
      <c r="L55" s="20"/>
      <c r="M55" s="20"/>
      <c r="N55" s="97"/>
      <c r="O55" s="21"/>
      <c r="P55" s="27"/>
      <c r="Q55" s="99"/>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86"/>
      <c r="B56" s="88"/>
      <c r="C56" s="90"/>
      <c r="D56" s="92"/>
      <c r="E56" s="90"/>
      <c r="F56" s="90"/>
      <c r="G56" s="94"/>
      <c r="H56" s="95"/>
      <c r="I56" s="95"/>
      <c r="J56" s="95"/>
      <c r="K56" s="22"/>
      <c r="L56" s="18"/>
      <c r="M56" s="18"/>
      <c r="N56" s="98"/>
      <c r="O56" s="19"/>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ref="O57:O64" si="6">L57-M57</f>
        <v>0</v>
      </c>
      <c r="P57" s="27"/>
      <c r="Q57" s="99">
        <f>+L58-P58</f>
        <v>0</v>
      </c>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6"/>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90"/>
      <c r="I59" s="90"/>
      <c r="J59" s="90"/>
      <c r="K59" s="20"/>
      <c r="L59" s="20"/>
      <c r="M59" s="20"/>
      <c r="N59" s="97" t="e">
        <f>O60/L60</f>
        <v>#DIV/0!</v>
      </c>
      <c r="O59" s="21">
        <f t="shared" si="6"/>
        <v>0</v>
      </c>
      <c r="P59" s="27"/>
      <c r="Q59" s="99">
        <f>+L60-P60</f>
        <v>0</v>
      </c>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6"/>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8"/>
      <c r="F61" s="116"/>
      <c r="G61" s="120"/>
      <c r="H61" s="90"/>
      <c r="I61" s="90"/>
      <c r="J61" s="90"/>
      <c r="K61" s="20"/>
      <c r="L61" s="20"/>
      <c r="M61" s="20"/>
      <c r="N61" s="97" t="e">
        <f>O62/L62</f>
        <v>#DIV/0!</v>
      </c>
      <c r="O61" s="21">
        <f t="shared" si="6"/>
        <v>0</v>
      </c>
      <c r="P61" s="27"/>
      <c r="Q61" s="99">
        <f>+L62-P62</f>
        <v>0</v>
      </c>
      <c r="R61" s="110"/>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9"/>
      <c r="F62" s="117"/>
      <c r="G62" s="121"/>
      <c r="H62" s="95"/>
      <c r="I62" s="95"/>
      <c r="J62" s="95"/>
      <c r="K62" s="22"/>
      <c r="L62" s="18"/>
      <c r="M62" s="18"/>
      <c r="N62" s="98"/>
      <c r="O62" s="19">
        <f t="shared" si="6"/>
        <v>0</v>
      </c>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s="17" customFormat="1" ht="15.75" hidden="1" customHeight="1">
      <c r="A63" s="101"/>
      <c r="B63" s="114"/>
      <c r="C63" s="116"/>
      <c r="D63" s="118"/>
      <c r="E63" s="118"/>
      <c r="F63" s="116"/>
      <c r="G63" s="120"/>
      <c r="H63" s="109"/>
      <c r="I63" s="90"/>
      <c r="J63" s="90"/>
      <c r="K63" s="20"/>
      <c r="L63" s="20"/>
      <c r="M63" s="20"/>
      <c r="N63" s="97" t="e">
        <f>O64/L64</f>
        <v>#DIV/0!</v>
      </c>
      <c r="O63" s="21">
        <f t="shared" si="6"/>
        <v>0</v>
      </c>
      <c r="P63" s="27"/>
      <c r="Q63" s="99">
        <f>+L64-P64</f>
        <v>0</v>
      </c>
      <c r="R63" s="110"/>
      <c r="S63" s="96"/>
      <c r="T63" s="96"/>
      <c r="U63" s="96"/>
      <c r="V63" s="96"/>
      <c r="W63" s="96"/>
      <c r="X63" s="96"/>
      <c r="Y63" s="96"/>
      <c r="Z63" s="96"/>
      <c r="AA63" s="96"/>
      <c r="AB63" s="96"/>
      <c r="AC63" s="96"/>
      <c r="AD63" s="96"/>
      <c r="AE63" s="96"/>
      <c r="AF63" s="96"/>
      <c r="AG63" s="96"/>
      <c r="AH63" s="96"/>
      <c r="AI63" s="96"/>
      <c r="AJ63" s="96"/>
      <c r="AK63" s="96"/>
      <c r="AL63" s="96"/>
      <c r="AM63" s="103"/>
      <c r="AN63" s="103"/>
      <c r="AO63" s="103"/>
      <c r="AP63" s="103"/>
      <c r="AQ63" s="103"/>
      <c r="AR63" s="103"/>
      <c r="AS63" s="103"/>
      <c r="AT63" s="103"/>
      <c r="AU63" s="103"/>
      <c r="AV63" s="103"/>
      <c r="AW63" s="103"/>
      <c r="AX63" s="103"/>
      <c r="AY63" s="106"/>
      <c r="AZ63" s="106"/>
      <c r="BA63" s="106"/>
      <c r="BB63" s="106"/>
      <c r="BC63" s="106"/>
      <c r="BD63" s="106"/>
      <c r="BE63" s="103"/>
      <c r="BF63" s="104"/>
      <c r="BG63" s="104"/>
    </row>
    <row r="64" spans="1:59" s="17" customFormat="1" ht="15.75" hidden="1" customHeight="1">
      <c r="A64" s="102"/>
      <c r="B64" s="115"/>
      <c r="C64" s="117"/>
      <c r="D64" s="119"/>
      <c r="E64" s="119"/>
      <c r="F64" s="117"/>
      <c r="G64" s="121"/>
      <c r="H64" s="95"/>
      <c r="I64" s="95"/>
      <c r="J64" s="95"/>
      <c r="K64" s="22"/>
      <c r="L64" s="18"/>
      <c r="M64" s="18"/>
      <c r="N64" s="98"/>
      <c r="O64" s="19">
        <f t="shared" si="6"/>
        <v>0</v>
      </c>
      <c r="P64" s="22"/>
      <c r="Q64" s="100"/>
      <c r="R64" s="102"/>
      <c r="S64" s="96"/>
      <c r="T64" s="96"/>
      <c r="U64" s="96"/>
      <c r="V64" s="96"/>
      <c r="W64" s="96"/>
      <c r="X64" s="96"/>
      <c r="Y64" s="96"/>
      <c r="Z64" s="96"/>
      <c r="AA64" s="96"/>
      <c r="AB64" s="96"/>
      <c r="AC64" s="96"/>
      <c r="AD64" s="96"/>
      <c r="AE64" s="96"/>
      <c r="AF64" s="96"/>
      <c r="AG64" s="96"/>
      <c r="AH64" s="96"/>
      <c r="AI64" s="96"/>
      <c r="AJ64" s="96"/>
      <c r="AK64" s="96"/>
      <c r="AL64" s="96"/>
      <c r="AM64" s="103"/>
      <c r="AN64" s="103"/>
      <c r="AO64" s="103"/>
      <c r="AP64" s="103"/>
      <c r="AQ64" s="103"/>
      <c r="AR64" s="103"/>
      <c r="AS64" s="103"/>
      <c r="AT64" s="103"/>
      <c r="AU64" s="103"/>
      <c r="AV64" s="103"/>
      <c r="AW64" s="103"/>
      <c r="AX64" s="103"/>
      <c r="AY64" s="107"/>
      <c r="AZ64" s="107"/>
      <c r="BA64" s="107"/>
      <c r="BB64" s="107"/>
      <c r="BC64" s="107"/>
      <c r="BD64" s="107"/>
      <c r="BE64" s="103"/>
      <c r="BF64" s="105"/>
      <c r="BG64" s="105"/>
    </row>
    <row r="65" spans="1:59" s="17" customFormat="1" ht="15.75" hidden="1" customHeight="1">
      <c r="A65" s="101"/>
      <c r="B65" s="114"/>
      <c r="C65" s="116"/>
      <c r="D65" s="118"/>
      <c r="E65" s="116"/>
      <c r="F65" s="116"/>
      <c r="G65" s="120"/>
      <c r="H65" s="90"/>
      <c r="I65" s="90"/>
      <c r="J65" s="90"/>
      <c r="K65" s="20"/>
      <c r="L65" s="20"/>
      <c r="M65" s="20"/>
      <c r="N65" s="97" t="e">
        <f>O66/L66</f>
        <v>#DIV/0!</v>
      </c>
      <c r="O65" s="21"/>
      <c r="P65" s="27"/>
      <c r="Q65" s="99"/>
      <c r="R65" s="110"/>
      <c r="S65" s="96"/>
      <c r="T65" s="96"/>
      <c r="U65" s="96"/>
      <c r="V65" s="96"/>
      <c r="W65" s="96"/>
      <c r="X65" s="96"/>
      <c r="Y65" s="96"/>
      <c r="Z65" s="96"/>
      <c r="AA65" s="96"/>
      <c r="AB65" s="96"/>
      <c r="AC65" s="96"/>
      <c r="AD65" s="96"/>
      <c r="AE65" s="96"/>
      <c r="AF65" s="96"/>
      <c r="AG65" s="96"/>
      <c r="AH65" s="96"/>
      <c r="AI65" s="96"/>
      <c r="AJ65" s="96"/>
      <c r="AK65" s="96"/>
      <c r="AL65" s="96"/>
      <c r="AM65" s="103"/>
      <c r="AN65" s="103"/>
      <c r="AO65" s="103"/>
      <c r="AP65" s="103"/>
      <c r="AQ65" s="103"/>
      <c r="AR65" s="103"/>
      <c r="AS65" s="103"/>
      <c r="AT65" s="103"/>
      <c r="AU65" s="103"/>
      <c r="AV65" s="103"/>
      <c r="AW65" s="103"/>
      <c r="AX65" s="103"/>
      <c r="AY65" s="106"/>
      <c r="AZ65" s="106"/>
      <c r="BA65" s="106"/>
      <c r="BB65" s="106"/>
      <c r="BC65" s="106"/>
      <c r="BD65" s="106"/>
      <c r="BE65" s="103"/>
      <c r="BF65" s="104"/>
      <c r="BG65" s="104"/>
    </row>
    <row r="66" spans="1:59" s="17" customFormat="1" ht="15.75" hidden="1" customHeight="1">
      <c r="A66" s="102"/>
      <c r="B66" s="115"/>
      <c r="C66" s="117"/>
      <c r="D66" s="119"/>
      <c r="E66" s="117"/>
      <c r="F66" s="117"/>
      <c r="G66" s="121"/>
      <c r="H66" s="95"/>
      <c r="I66" s="95"/>
      <c r="J66" s="95"/>
      <c r="K66" s="22"/>
      <c r="L66" s="18"/>
      <c r="M66" s="18"/>
      <c r="N66" s="98"/>
      <c r="O66" s="19"/>
      <c r="P66" s="22"/>
      <c r="Q66" s="100"/>
      <c r="R66" s="102"/>
      <c r="S66" s="96"/>
      <c r="T66" s="96"/>
      <c r="U66" s="96"/>
      <c r="V66" s="96"/>
      <c r="W66" s="96"/>
      <c r="X66" s="96"/>
      <c r="Y66" s="96"/>
      <c r="Z66" s="96"/>
      <c r="AA66" s="96"/>
      <c r="AB66" s="96"/>
      <c r="AC66" s="96"/>
      <c r="AD66" s="96"/>
      <c r="AE66" s="96"/>
      <c r="AF66" s="96"/>
      <c r="AG66" s="96"/>
      <c r="AH66" s="96"/>
      <c r="AI66" s="96"/>
      <c r="AJ66" s="96"/>
      <c r="AK66" s="96"/>
      <c r="AL66" s="96"/>
      <c r="AM66" s="103"/>
      <c r="AN66" s="103"/>
      <c r="AO66" s="103"/>
      <c r="AP66" s="103"/>
      <c r="AQ66" s="103"/>
      <c r="AR66" s="103"/>
      <c r="AS66" s="103"/>
      <c r="AT66" s="103"/>
      <c r="AU66" s="103"/>
      <c r="AV66" s="103"/>
      <c r="AW66" s="103"/>
      <c r="AX66" s="103"/>
      <c r="AY66" s="107"/>
      <c r="AZ66" s="107"/>
      <c r="BA66" s="107"/>
      <c r="BB66" s="107"/>
      <c r="BC66" s="107"/>
      <c r="BD66" s="107"/>
      <c r="BE66" s="103"/>
      <c r="BF66" s="105"/>
      <c r="BG66" s="105"/>
    </row>
    <row r="67" spans="1:59" ht="24.75" hidden="1" customHeight="1">
      <c r="A67" s="111" t="s">
        <v>74</v>
      </c>
      <c r="B67" s="112"/>
      <c r="C67" s="112"/>
      <c r="D67" s="112"/>
      <c r="E67" s="112"/>
      <c r="F67" s="112"/>
      <c r="G67" s="112"/>
      <c r="H67" s="112"/>
      <c r="I67" s="113"/>
      <c r="J67" s="5">
        <f>+SUMPRODUCT(((MOD(ROW(J55:J66),2)=1)*(J55:J66)))</f>
        <v>0</v>
      </c>
      <c r="K67" s="5">
        <f>+SUMPRODUCT(((MOD(ROW(K55:K66),2)=1)*(K55:K66)))</f>
        <v>0</v>
      </c>
      <c r="L67" s="5">
        <f>+SUMPRODUCT(((MOD(ROW(L55:L66),2)=1)*(L55:L66)))</f>
        <v>0</v>
      </c>
      <c r="M67" s="5">
        <f>+SUMPRODUCT(((MOD(ROW(M55:M66),2)=1)*(M55:M66)))</f>
        <v>0</v>
      </c>
      <c r="N67" s="23" t="e">
        <f>O67/L67</f>
        <v>#DIV/0!</v>
      </c>
      <c r="O67" s="5">
        <f>+SUMPRODUCT(((MOD(ROW(O55:O66),2)=1)*(O55:O66)))</f>
        <v>0</v>
      </c>
      <c r="P67" s="5">
        <f>+SUMPRODUCT(((MOD(ROW(P55:P66),2)=1)*(P55:P66)))</f>
        <v>0</v>
      </c>
      <c r="Q67" s="29">
        <f>SUM(Q55:Q66)</f>
        <v>0</v>
      </c>
      <c r="R67" s="29"/>
      <c r="S67" s="5">
        <f t="shared" ref="S67:BG67" si="7">SUM(S55:S66)</f>
        <v>0</v>
      </c>
      <c r="T67" s="5">
        <f t="shared" si="7"/>
        <v>0</v>
      </c>
      <c r="U67" s="5">
        <f t="shared" si="7"/>
        <v>0</v>
      </c>
      <c r="V67" s="5">
        <f t="shared" si="7"/>
        <v>0</v>
      </c>
      <c r="W67" s="5">
        <f t="shared" si="7"/>
        <v>0</v>
      </c>
      <c r="X67" s="5">
        <f t="shared" si="7"/>
        <v>0</v>
      </c>
      <c r="Y67" s="5">
        <f t="shared" si="7"/>
        <v>0</v>
      </c>
      <c r="Z67" s="5">
        <f t="shared" si="7"/>
        <v>0</v>
      </c>
      <c r="AA67" s="5">
        <f t="shared" si="7"/>
        <v>0</v>
      </c>
      <c r="AB67" s="5">
        <f t="shared" si="7"/>
        <v>0</v>
      </c>
      <c r="AC67" s="5">
        <f t="shared" si="7"/>
        <v>0</v>
      </c>
      <c r="AD67" s="5">
        <f t="shared" si="7"/>
        <v>0</v>
      </c>
      <c r="AE67" s="5">
        <f t="shared" si="7"/>
        <v>0</v>
      </c>
      <c r="AF67" s="5">
        <f t="shared" si="7"/>
        <v>0</v>
      </c>
      <c r="AG67" s="5">
        <f t="shared" si="7"/>
        <v>0</v>
      </c>
      <c r="AH67" s="5">
        <f t="shared" si="7"/>
        <v>0</v>
      </c>
      <c r="AI67" s="5">
        <f t="shared" si="7"/>
        <v>0</v>
      </c>
      <c r="AJ67" s="5">
        <f t="shared" si="7"/>
        <v>0</v>
      </c>
      <c r="AK67" s="5">
        <f t="shared" si="7"/>
        <v>0</v>
      </c>
      <c r="AL67" s="5">
        <f t="shared" si="7"/>
        <v>0</v>
      </c>
      <c r="AM67" s="5">
        <f t="shared" si="7"/>
        <v>0</v>
      </c>
      <c r="AN67" s="5">
        <f t="shared" si="7"/>
        <v>0</v>
      </c>
      <c r="AO67" s="5">
        <f t="shared" si="7"/>
        <v>0</v>
      </c>
      <c r="AP67" s="5">
        <f t="shared" si="7"/>
        <v>0</v>
      </c>
      <c r="AQ67" s="5">
        <f t="shared" si="7"/>
        <v>0</v>
      </c>
      <c r="AR67" s="5">
        <f t="shared" si="7"/>
        <v>0</v>
      </c>
      <c r="AS67" s="5">
        <f t="shared" si="7"/>
        <v>0</v>
      </c>
      <c r="AT67" s="5">
        <f t="shared" si="7"/>
        <v>0</v>
      </c>
      <c r="AU67" s="5">
        <f t="shared" si="7"/>
        <v>0</v>
      </c>
      <c r="AV67" s="5">
        <f t="shared" si="7"/>
        <v>0</v>
      </c>
      <c r="AW67" s="5">
        <f t="shared" si="7"/>
        <v>0</v>
      </c>
      <c r="AX67" s="5">
        <f t="shared" si="7"/>
        <v>0</v>
      </c>
      <c r="AY67" s="5">
        <f t="shared" si="7"/>
        <v>0</v>
      </c>
      <c r="AZ67" s="5">
        <f t="shared" si="7"/>
        <v>0</v>
      </c>
      <c r="BA67" s="5">
        <f t="shared" si="7"/>
        <v>0</v>
      </c>
      <c r="BB67" s="5">
        <f t="shared" si="7"/>
        <v>0</v>
      </c>
      <c r="BC67" s="5">
        <f t="shared" si="7"/>
        <v>0</v>
      </c>
      <c r="BD67" s="5">
        <f t="shared" si="7"/>
        <v>0</v>
      </c>
      <c r="BE67" s="5">
        <f t="shared" si="7"/>
        <v>0</v>
      </c>
      <c r="BF67" s="5">
        <f t="shared" si="7"/>
        <v>0</v>
      </c>
      <c r="BG67" s="5">
        <f t="shared" si="7"/>
        <v>0</v>
      </c>
    </row>
    <row r="68" spans="1:59" ht="24.75" customHeight="1">
      <c r="A68" s="122" t="s">
        <v>5</v>
      </c>
      <c r="B68" s="122"/>
      <c r="C68" s="122"/>
      <c r="D68" s="122"/>
      <c r="E68" s="122"/>
      <c r="F68" s="122"/>
      <c r="G68" s="122"/>
      <c r="H68" s="122"/>
      <c r="I68" s="122"/>
      <c r="J68" s="30">
        <f>J47+J67+J54</f>
        <v>22097</v>
      </c>
      <c r="K68" s="52">
        <f>K47+K54+K67</f>
        <v>843</v>
      </c>
      <c r="L68" s="52">
        <f>L47+L54+L67</f>
        <v>1486</v>
      </c>
      <c r="M68" s="52">
        <f>M47+M54+M67</f>
        <v>559</v>
      </c>
      <c r="N68" s="32">
        <f>O68/L68</f>
        <v>0.62382234185733509</v>
      </c>
      <c r="O68" s="52">
        <f>O47+O54+O67</f>
        <v>927</v>
      </c>
      <c r="P68" s="52">
        <f>P47+P54+P67</f>
        <v>1208</v>
      </c>
      <c r="Q68" s="52">
        <f>Q47+Q54+Q67</f>
        <v>2322</v>
      </c>
      <c r="R68" s="52"/>
      <c r="S68" s="52">
        <f t="shared" ref="S68:BG68" si="8">S47+S54+S67</f>
        <v>121</v>
      </c>
      <c r="T68" s="52">
        <f t="shared" si="8"/>
        <v>167</v>
      </c>
      <c r="U68" s="52">
        <f t="shared" si="8"/>
        <v>20</v>
      </c>
      <c r="V68" s="52">
        <f t="shared" si="8"/>
        <v>0</v>
      </c>
      <c r="W68" s="52">
        <f t="shared" si="8"/>
        <v>0</v>
      </c>
      <c r="X68" s="52">
        <f t="shared" si="8"/>
        <v>18</v>
      </c>
      <c r="Y68" s="52">
        <f t="shared" si="8"/>
        <v>3</v>
      </c>
      <c r="Z68" s="52">
        <f t="shared" si="8"/>
        <v>0</v>
      </c>
      <c r="AA68" s="52">
        <f t="shared" si="8"/>
        <v>0</v>
      </c>
      <c r="AB68" s="52">
        <f t="shared" si="8"/>
        <v>0</v>
      </c>
      <c r="AC68" s="52">
        <f t="shared" si="8"/>
        <v>117</v>
      </c>
      <c r="AD68" s="52">
        <f t="shared" si="8"/>
        <v>7</v>
      </c>
      <c r="AE68" s="52">
        <f t="shared" si="8"/>
        <v>42</v>
      </c>
      <c r="AF68" s="52">
        <f t="shared" si="8"/>
        <v>63</v>
      </c>
      <c r="AG68" s="52">
        <f t="shared" si="8"/>
        <v>134</v>
      </c>
      <c r="AH68" s="52">
        <f t="shared" si="8"/>
        <v>119</v>
      </c>
      <c r="AI68" s="52">
        <f t="shared" si="8"/>
        <v>0</v>
      </c>
      <c r="AJ68" s="52">
        <f t="shared" si="8"/>
        <v>0</v>
      </c>
      <c r="AK68" s="52">
        <f t="shared" si="8"/>
        <v>0</v>
      </c>
      <c r="AL68" s="52">
        <f t="shared" si="8"/>
        <v>116</v>
      </c>
      <c r="AM68" s="52">
        <f t="shared" si="8"/>
        <v>0</v>
      </c>
      <c r="AN68" s="52">
        <f t="shared" si="8"/>
        <v>0</v>
      </c>
      <c r="AO68" s="52">
        <f t="shared" si="8"/>
        <v>0</v>
      </c>
      <c r="AP68" s="52">
        <f t="shared" si="8"/>
        <v>0</v>
      </c>
      <c r="AQ68" s="52">
        <f t="shared" si="8"/>
        <v>0</v>
      </c>
      <c r="AR68" s="52">
        <f t="shared" si="8"/>
        <v>0</v>
      </c>
      <c r="AS68" s="52">
        <f t="shared" si="8"/>
        <v>0</v>
      </c>
      <c r="AT68" s="52">
        <f t="shared" si="8"/>
        <v>0</v>
      </c>
      <c r="AU68" s="52">
        <f t="shared" si="8"/>
        <v>0</v>
      </c>
      <c r="AV68" s="52">
        <f t="shared" si="8"/>
        <v>0</v>
      </c>
      <c r="AW68" s="52">
        <f t="shared" si="8"/>
        <v>0</v>
      </c>
      <c r="AX68" s="52">
        <f t="shared" si="8"/>
        <v>0</v>
      </c>
      <c r="AY68" s="52">
        <f t="shared" si="8"/>
        <v>0</v>
      </c>
      <c r="AZ68" s="52">
        <f t="shared" si="8"/>
        <v>0</v>
      </c>
      <c r="BA68" s="52">
        <f t="shared" si="8"/>
        <v>0</v>
      </c>
      <c r="BB68" s="52">
        <f t="shared" si="8"/>
        <v>0</v>
      </c>
      <c r="BC68" s="52">
        <f t="shared" si="8"/>
        <v>0</v>
      </c>
      <c r="BD68" s="52">
        <f t="shared" si="8"/>
        <v>0</v>
      </c>
      <c r="BE68" s="52">
        <f t="shared" si="8"/>
        <v>0</v>
      </c>
      <c r="BF68" s="52">
        <f t="shared" si="8"/>
        <v>0</v>
      </c>
      <c r="BG68" s="52">
        <f t="shared" si="8"/>
        <v>0</v>
      </c>
    </row>
    <row r="69" spans="1:59" ht="31.8">
      <c r="A69" s="81" t="s">
        <v>36</v>
      </c>
      <c r="B69" s="81"/>
      <c r="C69" s="81"/>
      <c r="D69" s="81"/>
      <c r="E69" s="81"/>
      <c r="F69" s="81"/>
      <c r="G69" s="81"/>
      <c r="H69" s="81"/>
      <c r="I69" s="81"/>
      <c r="J69" s="81"/>
      <c r="K69" s="81"/>
      <c r="L69" s="81"/>
      <c r="M69" s="81"/>
      <c r="N69" s="81"/>
      <c r="O69" s="81"/>
      <c r="P69" s="24"/>
      <c r="Q69" s="24"/>
      <c r="R69" s="24"/>
      <c r="AM69" s="34"/>
      <c r="AN69" s="34"/>
      <c r="AO69" s="34"/>
      <c r="AP69" s="34"/>
      <c r="AQ69" s="34"/>
      <c r="AR69" s="34"/>
      <c r="AS69" s="34"/>
      <c r="AT69" s="34"/>
      <c r="AU69" s="34"/>
      <c r="AV69" s="34"/>
      <c r="AW69" s="34"/>
      <c r="AX69" s="34"/>
      <c r="AY69" s="34"/>
      <c r="AZ69" s="34"/>
      <c r="BA69" s="34"/>
      <c r="BB69" s="34"/>
      <c r="BC69" s="34"/>
      <c r="BD69" s="34"/>
      <c r="BE69" s="34"/>
      <c r="BF69" s="34"/>
      <c r="BG69" s="34"/>
    </row>
    <row r="70" spans="1:59" ht="33.75" customHeight="1">
      <c r="A70" s="82" t="s">
        <v>13</v>
      </c>
      <c r="B70" s="82"/>
      <c r="C70" s="82"/>
      <c r="D70" s="82"/>
      <c r="E70" s="82"/>
      <c r="F70" s="82"/>
      <c r="G70" s="82"/>
      <c r="H70" s="82"/>
      <c r="I70" s="82"/>
      <c r="J70" s="82"/>
      <c r="K70" s="82"/>
      <c r="L70" s="82"/>
      <c r="M70" s="82"/>
      <c r="N70" s="82"/>
      <c r="O70" s="82"/>
      <c r="AM70" s="34"/>
      <c r="AN70" s="34"/>
      <c r="AO70" s="34"/>
      <c r="AP70" s="34"/>
      <c r="AQ70" s="34"/>
      <c r="AR70" s="34"/>
      <c r="AS70" s="34"/>
      <c r="AT70" s="34"/>
      <c r="AU70" s="34"/>
      <c r="AV70" s="34"/>
      <c r="AW70" s="34"/>
      <c r="AX70" s="34"/>
      <c r="AY70" s="34"/>
      <c r="AZ70" s="34"/>
      <c r="BA70" s="34"/>
      <c r="BB70" s="34"/>
      <c r="BC70" s="34"/>
      <c r="BD70" s="34"/>
      <c r="BE70" s="34"/>
      <c r="BF70" s="34"/>
      <c r="BG70" s="34"/>
    </row>
    <row r="71" spans="1:59" ht="62.4">
      <c r="A71" s="9" t="s">
        <v>0</v>
      </c>
      <c r="B71" s="10" t="s">
        <v>34</v>
      </c>
      <c r="C71" s="11" t="s">
        <v>7</v>
      </c>
      <c r="D71" s="12" t="s">
        <v>1</v>
      </c>
      <c r="E71" s="13" t="s">
        <v>4</v>
      </c>
      <c r="F71" s="13" t="s">
        <v>2</v>
      </c>
      <c r="G71" s="13" t="s">
        <v>3</v>
      </c>
      <c r="H71" s="11" t="s">
        <v>6</v>
      </c>
      <c r="I71" s="14" t="s">
        <v>8</v>
      </c>
      <c r="J71" s="14" t="s">
        <v>17</v>
      </c>
      <c r="K71" s="12" t="s">
        <v>9</v>
      </c>
      <c r="L71" s="15" t="s">
        <v>10</v>
      </c>
      <c r="M71" s="15" t="s">
        <v>11</v>
      </c>
      <c r="N71" s="15" t="s">
        <v>12</v>
      </c>
      <c r="O71" s="15" t="s">
        <v>14</v>
      </c>
      <c r="P71" s="26" t="s">
        <v>16</v>
      </c>
      <c r="Q71" s="15" t="s">
        <v>42</v>
      </c>
      <c r="R71" s="15" t="s">
        <v>44</v>
      </c>
      <c r="S71" s="83">
        <v>101</v>
      </c>
      <c r="T71" s="83">
        <v>102</v>
      </c>
      <c r="U71" s="80">
        <v>106</v>
      </c>
      <c r="V71" s="80">
        <v>108</v>
      </c>
      <c r="W71" s="80">
        <v>109</v>
      </c>
      <c r="X71" s="80">
        <v>113</v>
      </c>
      <c r="Y71" s="80">
        <v>114</v>
      </c>
      <c r="Z71" s="80">
        <v>115</v>
      </c>
      <c r="AA71" s="80">
        <v>116</v>
      </c>
      <c r="AB71" s="80">
        <v>199</v>
      </c>
      <c r="AC71" s="80">
        <v>201</v>
      </c>
      <c r="AD71" s="80">
        <v>202</v>
      </c>
      <c r="AE71" s="80">
        <v>203</v>
      </c>
      <c r="AF71" s="80">
        <v>205</v>
      </c>
      <c r="AG71" s="80">
        <v>206</v>
      </c>
      <c r="AH71" s="79">
        <v>209</v>
      </c>
      <c r="AI71" s="79">
        <v>212</v>
      </c>
      <c r="AJ71" s="79">
        <v>216</v>
      </c>
      <c r="AK71" s="79">
        <v>217</v>
      </c>
      <c r="AL71" s="79">
        <v>299</v>
      </c>
      <c r="AM71" s="79">
        <v>301</v>
      </c>
      <c r="AN71" s="79">
        <v>302</v>
      </c>
      <c r="AO71" s="79">
        <v>399</v>
      </c>
      <c r="AP71" s="79">
        <v>401</v>
      </c>
      <c r="AQ71" s="79">
        <v>402</v>
      </c>
      <c r="AR71" s="79">
        <v>411</v>
      </c>
      <c r="AS71" s="79">
        <v>412</v>
      </c>
      <c r="AT71" s="79">
        <v>413</v>
      </c>
      <c r="AU71" s="79">
        <v>499</v>
      </c>
      <c r="AV71" s="79">
        <v>501</v>
      </c>
      <c r="AW71" s="79">
        <v>502</v>
      </c>
      <c r="AX71" s="79">
        <v>599</v>
      </c>
      <c r="AY71" s="79">
        <v>604</v>
      </c>
      <c r="AZ71" s="79">
        <v>605</v>
      </c>
      <c r="BA71" s="79">
        <v>699</v>
      </c>
      <c r="BB71" s="79">
        <v>701</v>
      </c>
      <c r="BC71" s="79">
        <v>702</v>
      </c>
      <c r="BD71" s="79">
        <v>703</v>
      </c>
      <c r="BE71" s="79">
        <v>704</v>
      </c>
      <c r="BF71" s="79">
        <v>799</v>
      </c>
      <c r="BG71" s="84">
        <v>999</v>
      </c>
    </row>
    <row r="72" spans="1:59" ht="62.25" customHeight="1">
      <c r="A72" s="10" t="s">
        <v>18</v>
      </c>
      <c r="B72" s="10" t="s">
        <v>19</v>
      </c>
      <c r="C72" s="13" t="s">
        <v>20</v>
      </c>
      <c r="D72" s="12" t="s">
        <v>21</v>
      </c>
      <c r="E72" s="13" t="s">
        <v>22</v>
      </c>
      <c r="F72" s="13" t="s">
        <v>23</v>
      </c>
      <c r="G72" s="13" t="s">
        <v>25</v>
      </c>
      <c r="H72" s="13" t="s">
        <v>24</v>
      </c>
      <c r="I72" s="14" t="s">
        <v>26</v>
      </c>
      <c r="J72" s="14" t="s">
        <v>27</v>
      </c>
      <c r="K72" s="15" t="s">
        <v>28</v>
      </c>
      <c r="L72" s="15" t="s">
        <v>29</v>
      </c>
      <c r="M72" s="15" t="s">
        <v>30</v>
      </c>
      <c r="N72" s="15" t="s">
        <v>32</v>
      </c>
      <c r="O72" s="15" t="s">
        <v>31</v>
      </c>
      <c r="P72" s="26" t="s">
        <v>33</v>
      </c>
      <c r="Q72" s="15" t="s">
        <v>43</v>
      </c>
      <c r="R72" s="15" t="s">
        <v>45</v>
      </c>
      <c r="S72" s="83"/>
      <c r="T72" s="83"/>
      <c r="U72" s="80"/>
      <c r="V72" s="80"/>
      <c r="W72" s="80"/>
      <c r="X72" s="80"/>
      <c r="Y72" s="80"/>
      <c r="Z72" s="80"/>
      <c r="AA72" s="80"/>
      <c r="AB72" s="80"/>
      <c r="AC72" s="80"/>
      <c r="AD72" s="80"/>
      <c r="AE72" s="80"/>
      <c r="AF72" s="80"/>
      <c r="AG72" s="80"/>
      <c r="AH72" s="79"/>
      <c r="AI72" s="79"/>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84"/>
    </row>
    <row r="73" spans="1:59" s="17" customFormat="1" ht="15.75" hidden="1" customHeight="1">
      <c r="A73" s="108"/>
      <c r="B73" s="87"/>
      <c r="C73" s="89"/>
      <c r="D73" s="91"/>
      <c r="E73" s="89"/>
      <c r="F73" s="89"/>
      <c r="G73" s="93"/>
      <c r="H73" s="89"/>
      <c r="I73" s="89"/>
      <c r="J73" s="89"/>
      <c r="K73" s="20"/>
      <c r="L73" s="20"/>
      <c r="M73" s="20"/>
      <c r="N73" s="146" t="e">
        <f>O74/L74</f>
        <v>#DIV/0!</v>
      </c>
      <c r="O73" s="21">
        <f t="shared" ref="O73:O78" si="9">L73-M73</f>
        <v>0</v>
      </c>
      <c r="P73" s="27"/>
      <c r="Q73" s="99">
        <f>+L74-P74</f>
        <v>0</v>
      </c>
      <c r="R73" s="108"/>
      <c r="S73" s="149"/>
      <c r="T73" s="149"/>
      <c r="U73" s="149"/>
      <c r="V73" s="149"/>
      <c r="W73" s="149"/>
      <c r="X73" s="149"/>
      <c r="Y73" s="149"/>
      <c r="Z73" s="149"/>
      <c r="AA73" s="149"/>
      <c r="AB73" s="149"/>
      <c r="AC73" s="149"/>
      <c r="AD73" s="149"/>
      <c r="AE73" s="149"/>
      <c r="AF73" s="149"/>
      <c r="AG73" s="149"/>
      <c r="AH73" s="149"/>
      <c r="AI73" s="149"/>
      <c r="AJ73" s="149"/>
      <c r="AK73" s="149"/>
      <c r="AL73" s="149"/>
      <c r="AM73" s="163"/>
      <c r="AN73" s="163"/>
      <c r="AO73" s="163"/>
      <c r="AP73" s="163"/>
      <c r="AQ73" s="163"/>
      <c r="AR73" s="163"/>
      <c r="AS73" s="163"/>
      <c r="AT73" s="163"/>
      <c r="AU73" s="163"/>
      <c r="AV73" s="163"/>
      <c r="AW73" s="163"/>
      <c r="AX73" s="163"/>
      <c r="AY73" s="167"/>
      <c r="AZ73" s="167"/>
      <c r="BA73" s="167"/>
      <c r="BB73" s="167"/>
      <c r="BC73" s="167"/>
      <c r="BD73" s="161"/>
      <c r="BE73" s="163"/>
      <c r="BF73" s="165"/>
      <c r="BG73" s="165"/>
    </row>
    <row r="74" spans="1:59" s="17" customFormat="1" ht="15.75" hidden="1" customHeight="1">
      <c r="A74" s="85"/>
      <c r="B74" s="88"/>
      <c r="C74" s="90"/>
      <c r="D74" s="92"/>
      <c r="E74" s="90"/>
      <c r="F74" s="90"/>
      <c r="G74" s="94"/>
      <c r="H74" s="90"/>
      <c r="I74" s="90"/>
      <c r="J74" s="90"/>
      <c r="K74" s="22"/>
      <c r="L74" s="18"/>
      <c r="M74" s="18"/>
      <c r="N74" s="147"/>
      <c r="O74" s="19">
        <f t="shared" si="9"/>
        <v>0</v>
      </c>
      <c r="P74" s="22"/>
      <c r="Q74" s="100"/>
      <c r="R74" s="85"/>
      <c r="S74" s="150"/>
      <c r="T74" s="150"/>
      <c r="U74" s="150"/>
      <c r="V74" s="150"/>
      <c r="W74" s="150"/>
      <c r="X74" s="150"/>
      <c r="Y74" s="150"/>
      <c r="Z74" s="150"/>
      <c r="AA74" s="150"/>
      <c r="AB74" s="150"/>
      <c r="AC74" s="150"/>
      <c r="AD74" s="150"/>
      <c r="AE74" s="150"/>
      <c r="AF74" s="150"/>
      <c r="AG74" s="150"/>
      <c r="AH74" s="150"/>
      <c r="AI74" s="150"/>
      <c r="AJ74" s="150"/>
      <c r="AK74" s="150"/>
      <c r="AL74" s="150"/>
      <c r="AM74" s="164"/>
      <c r="AN74" s="164"/>
      <c r="AO74" s="164"/>
      <c r="AP74" s="164"/>
      <c r="AQ74" s="164"/>
      <c r="AR74" s="164"/>
      <c r="AS74" s="164"/>
      <c r="AT74" s="164"/>
      <c r="AU74" s="164"/>
      <c r="AV74" s="164"/>
      <c r="AW74" s="164"/>
      <c r="AX74" s="164"/>
      <c r="AY74" s="168"/>
      <c r="AZ74" s="168"/>
      <c r="BA74" s="168"/>
      <c r="BB74" s="168"/>
      <c r="BC74" s="168"/>
      <c r="BD74" s="162"/>
      <c r="BE74" s="164"/>
      <c r="BF74" s="166"/>
      <c r="BG74" s="166"/>
    </row>
    <row r="75" spans="1:59" s="17" customFormat="1" ht="18" customHeight="1">
      <c r="A75" s="108">
        <v>45273</v>
      </c>
      <c r="B75" s="138" t="s">
        <v>37</v>
      </c>
      <c r="C75" s="90" t="s">
        <v>56</v>
      </c>
      <c r="D75" s="91" t="s">
        <v>38</v>
      </c>
      <c r="E75" s="89">
        <v>84217</v>
      </c>
      <c r="F75" s="89" t="s">
        <v>49</v>
      </c>
      <c r="G75" s="137" t="s">
        <v>61</v>
      </c>
      <c r="H75" s="95" t="s">
        <v>39</v>
      </c>
      <c r="I75" s="90">
        <v>4497</v>
      </c>
      <c r="J75" s="90">
        <v>4097</v>
      </c>
      <c r="K75" s="20">
        <f>350+85</f>
        <v>435</v>
      </c>
      <c r="L75" s="20">
        <f>175+200</f>
        <v>375</v>
      </c>
      <c r="M75" s="20">
        <f>57+89</f>
        <v>146</v>
      </c>
      <c r="N75" s="97">
        <f>O76/L76</f>
        <v>0.60860534124629084</v>
      </c>
      <c r="O75" s="21">
        <f t="shared" si="9"/>
        <v>229</v>
      </c>
      <c r="P75" s="27">
        <f>175+249</f>
        <v>424</v>
      </c>
      <c r="Q75" s="99">
        <f>+L76-P76</f>
        <v>444</v>
      </c>
      <c r="R75" s="85"/>
      <c r="S75" s="96">
        <v>2</v>
      </c>
      <c r="T75" s="96"/>
      <c r="U75" s="96">
        <f>50+19</f>
        <v>69</v>
      </c>
      <c r="V75" s="96"/>
      <c r="W75" s="96"/>
      <c r="X75" s="96">
        <v>3</v>
      </c>
      <c r="Y75" s="96"/>
      <c r="Z75" s="96"/>
      <c r="AA75" s="96">
        <v>3</v>
      </c>
      <c r="AB75" s="96"/>
      <c r="AC75" s="96">
        <v>40</v>
      </c>
      <c r="AD75" s="96">
        <v>15</v>
      </c>
      <c r="AE75" s="96">
        <v>2</v>
      </c>
      <c r="AF75" s="96">
        <v>32</v>
      </c>
      <c r="AG75" s="96"/>
      <c r="AH75" s="96">
        <f>21+18</f>
        <v>39</v>
      </c>
      <c r="AI75" s="96"/>
      <c r="AJ75" s="96"/>
      <c r="AK75" s="96"/>
      <c r="AL75" s="96">
        <v>24</v>
      </c>
      <c r="AM75" s="103"/>
      <c r="AN75" s="103"/>
      <c r="AO75" s="103"/>
      <c r="AP75" s="103"/>
      <c r="AQ75" s="103"/>
      <c r="AR75" s="103"/>
      <c r="AS75" s="103"/>
      <c r="AT75" s="103"/>
      <c r="AU75" s="103"/>
      <c r="AV75" s="103"/>
      <c r="AW75" s="103"/>
      <c r="AX75" s="103"/>
      <c r="AY75" s="106"/>
      <c r="AZ75" s="106"/>
      <c r="BA75" s="106"/>
      <c r="BB75" s="106"/>
      <c r="BC75" s="106"/>
      <c r="BD75" s="106"/>
      <c r="BE75" s="103"/>
      <c r="BF75" s="104"/>
      <c r="BG75" s="104"/>
    </row>
    <row r="76" spans="1:59" s="17" customFormat="1" ht="17.25" customHeight="1">
      <c r="A76" s="85"/>
      <c r="B76" s="139"/>
      <c r="C76" s="95"/>
      <c r="D76" s="92"/>
      <c r="E76" s="90"/>
      <c r="F76" s="90"/>
      <c r="G76" s="95"/>
      <c r="H76" s="95"/>
      <c r="I76" s="95"/>
      <c r="J76" s="95"/>
      <c r="K76" s="18">
        <f>260+160+50+100+100+240+349+166+150+60+120+30+30+230+80+125+115+200+209+115+50+371+435</f>
        <v>3745</v>
      </c>
      <c r="L76" s="18">
        <f>260+160+50+100+140+100+240+150+60+370+60+150+75+245+185+200+450+375</f>
        <v>3370</v>
      </c>
      <c r="M76" s="18">
        <f>120+55+27+40+30+60+87+45+34+74+40+100+40+75+74+73+199+146</f>
        <v>1319</v>
      </c>
      <c r="N76" s="98"/>
      <c r="O76" s="19">
        <f t="shared" si="9"/>
        <v>2051</v>
      </c>
      <c r="P76" s="22">
        <f>170+70+15+112+30+30+83+50+100+127+218+53+42+60+34+200+66+100+130+190+144+20+151+307+424</f>
        <v>2926</v>
      </c>
      <c r="Q76" s="100"/>
      <c r="R76" s="86"/>
      <c r="S76" s="96"/>
      <c r="T76" s="96"/>
      <c r="U76" s="96"/>
      <c r="V76" s="96"/>
      <c r="W76" s="96"/>
      <c r="X76" s="96"/>
      <c r="Y76" s="96"/>
      <c r="Z76" s="96"/>
      <c r="AA76" s="96"/>
      <c r="AB76" s="96"/>
      <c r="AC76" s="96"/>
      <c r="AD76" s="96"/>
      <c r="AE76" s="96"/>
      <c r="AF76" s="96"/>
      <c r="AG76" s="96"/>
      <c r="AH76" s="96"/>
      <c r="AI76" s="96"/>
      <c r="AJ76" s="96"/>
      <c r="AK76" s="96"/>
      <c r="AL76" s="96"/>
      <c r="AM76" s="103"/>
      <c r="AN76" s="103"/>
      <c r="AO76" s="103"/>
      <c r="AP76" s="103"/>
      <c r="AQ76" s="103"/>
      <c r="AR76" s="103"/>
      <c r="AS76" s="103"/>
      <c r="AT76" s="103"/>
      <c r="AU76" s="103"/>
      <c r="AV76" s="103"/>
      <c r="AW76" s="103"/>
      <c r="AX76" s="103"/>
      <c r="AY76" s="107"/>
      <c r="AZ76" s="107"/>
      <c r="BA76" s="107"/>
      <c r="BB76" s="107"/>
      <c r="BC76" s="107"/>
      <c r="BD76" s="107"/>
      <c r="BE76" s="103"/>
      <c r="BF76" s="105"/>
      <c r="BG76" s="105"/>
    </row>
    <row r="77" spans="1:59" s="17" customFormat="1" ht="18" hidden="1" customHeight="1">
      <c r="A77" s="101">
        <v>45217</v>
      </c>
      <c r="B77" s="132" t="s">
        <v>37</v>
      </c>
      <c r="C77" s="117"/>
      <c r="D77" s="118" t="s">
        <v>38</v>
      </c>
      <c r="E77" s="116">
        <v>84217</v>
      </c>
      <c r="F77" s="116" t="s">
        <v>49</v>
      </c>
      <c r="G77" s="141"/>
      <c r="H77" s="95"/>
      <c r="I77" s="90"/>
      <c r="J77" s="90"/>
      <c r="K77" s="20"/>
      <c r="L77" s="20"/>
      <c r="M77" s="20"/>
      <c r="N77" s="143" t="e">
        <f>O78/L78</f>
        <v>#DIV/0!</v>
      </c>
      <c r="O77" s="21">
        <f t="shared" si="9"/>
        <v>0</v>
      </c>
      <c r="P77" s="27"/>
      <c r="Q77" s="99">
        <f>+L78-P78</f>
        <v>0</v>
      </c>
      <c r="R77" s="101">
        <v>45023</v>
      </c>
      <c r="S77" s="96"/>
      <c r="T77" s="96"/>
      <c r="U77" s="96"/>
      <c r="V77" s="96"/>
      <c r="W77" s="96"/>
      <c r="X77" s="96"/>
      <c r="Y77" s="96"/>
      <c r="Z77" s="96"/>
      <c r="AA77" s="96"/>
      <c r="AB77" s="96"/>
      <c r="AC77" s="140"/>
      <c r="AD77" s="96"/>
      <c r="AE77" s="96"/>
      <c r="AF77" s="96"/>
      <c r="AG77" s="96"/>
      <c r="AH77" s="96"/>
      <c r="AI77" s="96"/>
      <c r="AJ77" s="96"/>
      <c r="AK77" s="96"/>
      <c r="AL77" s="96"/>
      <c r="AM77" s="96"/>
      <c r="AN77" s="96"/>
      <c r="AO77" s="96"/>
      <c r="AP77" s="96"/>
      <c r="AQ77" s="96"/>
      <c r="AR77" s="96"/>
      <c r="AS77" s="96"/>
      <c r="AT77" s="96"/>
      <c r="AU77" s="96"/>
      <c r="AV77" s="96"/>
      <c r="AW77" s="96"/>
      <c r="AX77" s="96"/>
      <c r="AY77" s="124"/>
      <c r="AZ77" s="123"/>
      <c r="BA77" s="123"/>
      <c r="BB77" s="123"/>
      <c r="BC77" s="123"/>
      <c r="BD77" s="123"/>
      <c r="BE77" s="123"/>
      <c r="BF77" s="123"/>
      <c r="BG77" s="123"/>
    </row>
    <row r="78" spans="1:59" s="17" customFormat="1" ht="17.25" hidden="1" customHeight="1">
      <c r="A78" s="102"/>
      <c r="B78" s="145"/>
      <c r="C78" s="142"/>
      <c r="D78" s="119"/>
      <c r="E78" s="117"/>
      <c r="F78" s="117"/>
      <c r="G78" s="142"/>
      <c r="H78" s="95"/>
      <c r="I78" s="95"/>
      <c r="J78" s="95"/>
      <c r="K78" s="3"/>
      <c r="L78" s="3"/>
      <c r="M78" s="3"/>
      <c r="N78" s="144"/>
      <c r="O78" s="7">
        <f t="shared" si="9"/>
        <v>0</v>
      </c>
      <c r="P78" s="28"/>
      <c r="Q78" s="100"/>
      <c r="R78" s="102"/>
      <c r="S78" s="96"/>
      <c r="T78" s="96"/>
      <c r="U78" s="96"/>
      <c r="V78" s="96"/>
      <c r="W78" s="96"/>
      <c r="X78" s="96"/>
      <c r="Y78" s="96"/>
      <c r="Z78" s="96"/>
      <c r="AA78" s="96"/>
      <c r="AB78" s="96"/>
      <c r="AC78" s="140"/>
      <c r="AD78" s="96"/>
      <c r="AE78" s="96"/>
      <c r="AF78" s="96"/>
      <c r="AG78" s="96"/>
      <c r="AH78" s="96"/>
      <c r="AI78" s="96"/>
      <c r="AJ78" s="96"/>
      <c r="AK78" s="96"/>
      <c r="AL78" s="96"/>
      <c r="AM78" s="96"/>
      <c r="AN78" s="96"/>
      <c r="AO78" s="96"/>
      <c r="AP78" s="96"/>
      <c r="AQ78" s="96"/>
      <c r="AR78" s="96"/>
      <c r="AS78" s="96"/>
      <c r="AT78" s="96"/>
      <c r="AU78" s="96"/>
      <c r="AV78" s="96"/>
      <c r="AW78" s="96"/>
      <c r="AX78" s="96"/>
      <c r="AY78" s="124"/>
      <c r="AZ78" s="124"/>
      <c r="BA78" s="124"/>
      <c r="BB78" s="124"/>
      <c r="BC78" s="124"/>
      <c r="BD78" s="124"/>
      <c r="BE78" s="124"/>
      <c r="BF78" s="124"/>
      <c r="BG78" s="124"/>
    </row>
    <row r="79" spans="1:59" ht="24.75" customHeight="1">
      <c r="A79" s="111" t="s">
        <v>15</v>
      </c>
      <c r="B79" s="112"/>
      <c r="C79" s="112"/>
      <c r="D79" s="112"/>
      <c r="E79" s="112"/>
      <c r="F79" s="112"/>
      <c r="G79" s="112"/>
      <c r="H79" s="112"/>
      <c r="I79" s="113"/>
      <c r="J79" s="5">
        <f>SUM(J73:J78)</f>
        <v>4097</v>
      </c>
      <c r="K79" s="5">
        <f>+K73++K75</f>
        <v>435</v>
      </c>
      <c r="L79" s="5">
        <f>+SUMPRODUCT(((MOD(ROW(L73:L78),2)=1)*(L73:L78)))</f>
        <v>375</v>
      </c>
      <c r="M79" s="5">
        <f>+SUMPRODUCT(((MOD(ROW(M73:M78),2)=1)*(M73:M78)))</f>
        <v>146</v>
      </c>
      <c r="N79" s="23">
        <f>O79/L79</f>
        <v>0.61066666666666669</v>
      </c>
      <c r="O79" s="5">
        <f>+SUMPRODUCT(((MOD(ROW(O73:O78),2)=1)*(O73:O78)))</f>
        <v>229</v>
      </c>
      <c r="P79" s="5">
        <f>+SUMPRODUCT(((MOD(ROW(P73:P78),2)=1)*(P73:P78)))</f>
        <v>424</v>
      </c>
      <c r="Q79" s="5">
        <f>+SUMPRODUCT(((MOD(ROW(Q73:Q78),2)=1)*(Q73:Q78)))</f>
        <v>444</v>
      </c>
      <c r="R79" s="5"/>
      <c r="S79" s="5">
        <f t="shared" ref="S79:BG79" si="10">SUM(S73:S78)</f>
        <v>2</v>
      </c>
      <c r="T79" s="5">
        <f t="shared" si="10"/>
        <v>0</v>
      </c>
      <c r="U79" s="5">
        <f t="shared" si="10"/>
        <v>69</v>
      </c>
      <c r="V79" s="5">
        <f t="shared" si="10"/>
        <v>0</v>
      </c>
      <c r="W79" s="5">
        <f t="shared" si="10"/>
        <v>0</v>
      </c>
      <c r="X79" s="5">
        <f t="shared" si="10"/>
        <v>3</v>
      </c>
      <c r="Y79" s="5">
        <f t="shared" si="10"/>
        <v>0</v>
      </c>
      <c r="Z79" s="5">
        <f t="shared" si="10"/>
        <v>0</v>
      </c>
      <c r="AA79" s="5">
        <f t="shared" si="10"/>
        <v>3</v>
      </c>
      <c r="AB79" s="5">
        <f t="shared" si="10"/>
        <v>0</v>
      </c>
      <c r="AC79" s="5">
        <f t="shared" si="10"/>
        <v>40</v>
      </c>
      <c r="AD79" s="5">
        <f t="shared" si="10"/>
        <v>15</v>
      </c>
      <c r="AE79" s="5">
        <f t="shared" si="10"/>
        <v>2</v>
      </c>
      <c r="AF79" s="5">
        <f t="shared" si="10"/>
        <v>32</v>
      </c>
      <c r="AG79" s="5">
        <f t="shared" si="10"/>
        <v>0</v>
      </c>
      <c r="AH79" s="5">
        <f t="shared" si="10"/>
        <v>39</v>
      </c>
      <c r="AI79" s="5">
        <f t="shared" si="10"/>
        <v>0</v>
      </c>
      <c r="AJ79" s="5">
        <f t="shared" si="10"/>
        <v>0</v>
      </c>
      <c r="AK79" s="5">
        <f t="shared" si="10"/>
        <v>0</v>
      </c>
      <c r="AL79" s="5">
        <f t="shared" si="10"/>
        <v>24</v>
      </c>
      <c r="AM79" s="5">
        <f t="shared" si="10"/>
        <v>0</v>
      </c>
      <c r="AN79" s="5">
        <f t="shared" si="10"/>
        <v>0</v>
      </c>
      <c r="AO79" s="5">
        <f t="shared" si="10"/>
        <v>0</v>
      </c>
      <c r="AP79" s="5">
        <f t="shared" si="10"/>
        <v>0</v>
      </c>
      <c r="AQ79" s="5">
        <f t="shared" si="10"/>
        <v>0</v>
      </c>
      <c r="AR79" s="5">
        <f t="shared" si="10"/>
        <v>0</v>
      </c>
      <c r="AS79" s="5">
        <f t="shared" si="10"/>
        <v>0</v>
      </c>
      <c r="AT79" s="5">
        <f t="shared" si="10"/>
        <v>0</v>
      </c>
      <c r="AU79" s="5">
        <f t="shared" si="10"/>
        <v>0</v>
      </c>
      <c r="AV79" s="5">
        <f t="shared" si="10"/>
        <v>0</v>
      </c>
      <c r="AW79" s="5">
        <f t="shared" si="10"/>
        <v>0</v>
      </c>
      <c r="AX79" s="5">
        <f t="shared" si="10"/>
        <v>0</v>
      </c>
      <c r="AY79" s="5">
        <f t="shared" si="10"/>
        <v>0</v>
      </c>
      <c r="AZ79" s="5">
        <f t="shared" si="10"/>
        <v>0</v>
      </c>
      <c r="BA79" s="5">
        <f t="shared" si="10"/>
        <v>0</v>
      </c>
      <c r="BB79" s="5">
        <f t="shared" si="10"/>
        <v>0</v>
      </c>
      <c r="BC79" s="5">
        <f t="shared" si="10"/>
        <v>0</v>
      </c>
      <c r="BD79" s="5">
        <f t="shared" si="10"/>
        <v>0</v>
      </c>
      <c r="BE79" s="5">
        <f t="shared" si="10"/>
        <v>0</v>
      </c>
      <c r="BF79" s="5">
        <f t="shared" si="10"/>
        <v>0</v>
      </c>
      <c r="BG79" s="5">
        <f t="shared" si="10"/>
        <v>0</v>
      </c>
    </row>
    <row r="80" spans="1:59" s="17" customFormat="1" ht="15.75" hidden="1" customHeight="1">
      <c r="A80" s="101"/>
      <c r="B80" s="114"/>
      <c r="C80" s="116"/>
      <c r="D80" s="118"/>
      <c r="E80" s="116"/>
      <c r="F80" s="116"/>
      <c r="G80" s="120"/>
      <c r="H80" s="151"/>
      <c r="I80" s="89"/>
      <c r="J80" s="89"/>
      <c r="K80" s="20"/>
      <c r="L80" s="20"/>
      <c r="M80" s="20"/>
      <c r="N80" s="146"/>
      <c r="O80" s="21"/>
      <c r="P80" s="27"/>
      <c r="Q80" s="99"/>
      <c r="R80" s="148"/>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52"/>
      <c r="AZ80" s="152"/>
      <c r="BA80" s="152"/>
      <c r="BB80" s="152"/>
      <c r="BC80" s="152"/>
      <c r="BD80" s="152"/>
      <c r="BE80" s="149"/>
      <c r="BF80" s="152"/>
      <c r="BG80" s="152"/>
    </row>
    <row r="81" spans="1:61" s="17" customFormat="1" ht="15.75" hidden="1" customHeight="1">
      <c r="A81" s="102"/>
      <c r="B81" s="115"/>
      <c r="C81" s="117"/>
      <c r="D81" s="119"/>
      <c r="E81" s="117"/>
      <c r="F81" s="117"/>
      <c r="G81" s="121"/>
      <c r="H81" s="90"/>
      <c r="I81" s="90"/>
      <c r="J81" s="90"/>
      <c r="K81" s="22"/>
      <c r="L81" s="18"/>
      <c r="M81" s="18"/>
      <c r="N81" s="147"/>
      <c r="O81" s="19"/>
      <c r="P81" s="22"/>
      <c r="Q81" s="100"/>
      <c r="R81" s="101"/>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3"/>
      <c r="AZ81" s="153"/>
      <c r="BA81" s="153"/>
      <c r="BB81" s="153"/>
      <c r="BC81" s="153"/>
      <c r="BD81" s="153"/>
      <c r="BE81" s="150"/>
      <c r="BF81" s="153"/>
      <c r="BG81" s="153"/>
    </row>
    <row r="82" spans="1:61" s="17" customFormat="1" ht="15.75" hidden="1" customHeight="1">
      <c r="A82" s="101"/>
      <c r="B82" s="114"/>
      <c r="C82" s="116"/>
      <c r="D82" s="118"/>
      <c r="E82" s="116"/>
      <c r="F82" s="116"/>
      <c r="G82" s="120"/>
      <c r="H82" s="151"/>
      <c r="I82" s="89"/>
      <c r="J82" s="89"/>
      <c r="K82" s="20"/>
      <c r="L82" s="20"/>
      <c r="M82" s="20"/>
      <c r="N82" s="146"/>
      <c r="O82" s="21"/>
      <c r="P82" s="27"/>
      <c r="Q82" s="99"/>
      <c r="R82" s="148"/>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52"/>
      <c r="AZ82" s="152"/>
      <c r="BA82" s="152"/>
      <c r="BB82" s="152"/>
      <c r="BC82" s="152"/>
      <c r="BD82" s="152"/>
      <c r="BE82" s="149"/>
      <c r="BF82" s="152"/>
      <c r="BG82" s="152"/>
    </row>
    <row r="83" spans="1:61" s="17" customFormat="1" ht="15.75" hidden="1" customHeight="1">
      <c r="A83" s="102"/>
      <c r="B83" s="115"/>
      <c r="C83" s="117"/>
      <c r="D83" s="119"/>
      <c r="E83" s="117"/>
      <c r="F83" s="117"/>
      <c r="G83" s="121"/>
      <c r="H83" s="90"/>
      <c r="I83" s="90"/>
      <c r="J83" s="90"/>
      <c r="K83" s="22"/>
      <c r="L83" s="18"/>
      <c r="M83" s="18"/>
      <c r="N83" s="147"/>
      <c r="O83" s="19"/>
      <c r="P83" s="22"/>
      <c r="Q83" s="100"/>
      <c r="R83" s="101"/>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3"/>
      <c r="AZ83" s="153"/>
      <c r="BA83" s="153"/>
      <c r="BB83" s="153"/>
      <c r="BC83" s="153"/>
      <c r="BD83" s="153"/>
      <c r="BE83" s="150"/>
      <c r="BF83" s="153"/>
      <c r="BG83" s="153"/>
    </row>
    <row r="84" spans="1:61" s="17" customFormat="1" ht="15.75" hidden="1" customHeight="1">
      <c r="A84" s="101"/>
      <c r="B84" s="114"/>
      <c r="C84" s="116"/>
      <c r="D84" s="118"/>
      <c r="E84" s="116"/>
      <c r="F84" s="116"/>
      <c r="G84" s="120"/>
      <c r="H84" s="109"/>
      <c r="I84" s="90"/>
      <c r="J84" s="90"/>
      <c r="K84" s="20"/>
      <c r="L84" s="20"/>
      <c r="M84" s="20"/>
      <c r="N84" s="97"/>
      <c r="O84" s="21"/>
      <c r="P84" s="27"/>
      <c r="Q84" s="99"/>
      <c r="R84" s="154"/>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1"/>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s="17" customFormat="1" ht="15.75" hidden="1" customHeight="1">
      <c r="A86" s="101"/>
      <c r="B86" s="114"/>
      <c r="C86" s="116"/>
      <c r="D86" s="118"/>
      <c r="E86" s="116"/>
      <c r="F86" s="116"/>
      <c r="G86" s="120"/>
      <c r="H86" s="109"/>
      <c r="I86" s="90"/>
      <c r="J86" s="90"/>
      <c r="K86" s="20"/>
      <c r="L86" s="20"/>
      <c r="M86" s="20"/>
      <c r="N86" s="97"/>
      <c r="O86" s="21"/>
      <c r="P86" s="27"/>
      <c r="Q86" s="99"/>
      <c r="R86" s="148"/>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1"/>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s="17" customFormat="1" ht="15.75" hidden="1" customHeight="1">
      <c r="A88" s="101">
        <v>45084</v>
      </c>
      <c r="B88" s="114" t="s">
        <v>37</v>
      </c>
      <c r="C88" s="116"/>
      <c r="D88" s="118"/>
      <c r="E88" s="116"/>
      <c r="F88" s="116"/>
      <c r="G88" s="120"/>
      <c r="H88" s="109"/>
      <c r="I88" s="90"/>
      <c r="J88" s="90"/>
      <c r="K88" s="20"/>
      <c r="L88" s="20"/>
      <c r="M88" s="20"/>
      <c r="N88" s="97" t="e">
        <f>O89/L89</f>
        <v>#DIV/0!</v>
      </c>
      <c r="O88" s="21"/>
      <c r="P88" s="27"/>
      <c r="Q88" s="99">
        <f>+L89-P89</f>
        <v>0</v>
      </c>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5"/>
      <c r="AZ88" s="155"/>
      <c r="BA88" s="155"/>
      <c r="BB88" s="155"/>
      <c r="BC88" s="155"/>
      <c r="BD88" s="155"/>
      <c r="BE88" s="96"/>
      <c r="BF88" s="155"/>
      <c r="BG88" s="155"/>
    </row>
    <row r="89" spans="1:61" s="17" customFormat="1" ht="15.75" hidden="1" customHeight="1">
      <c r="A89" s="102"/>
      <c r="B89" s="115"/>
      <c r="C89" s="117"/>
      <c r="D89" s="119"/>
      <c r="E89" s="117"/>
      <c r="F89" s="117"/>
      <c r="G89" s="121"/>
      <c r="H89" s="95"/>
      <c r="I89" s="95"/>
      <c r="J89" s="95"/>
      <c r="K89" s="22"/>
      <c r="L89" s="18"/>
      <c r="M89" s="18"/>
      <c r="N89" s="98"/>
      <c r="O89" s="19"/>
      <c r="P89" s="22"/>
      <c r="Q89" s="100"/>
      <c r="R89" s="102"/>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6"/>
      <c r="AZ89" s="156"/>
      <c r="BA89" s="156"/>
      <c r="BB89" s="156"/>
      <c r="BC89" s="156"/>
      <c r="BD89" s="156"/>
      <c r="BE89" s="96"/>
      <c r="BF89" s="156"/>
      <c r="BG89" s="156"/>
    </row>
    <row r="90" spans="1:61" ht="24.75" hidden="1" customHeight="1">
      <c r="A90" s="111" t="s">
        <v>40</v>
      </c>
      <c r="B90" s="112"/>
      <c r="C90" s="112"/>
      <c r="D90" s="112"/>
      <c r="E90" s="112"/>
      <c r="F90" s="112"/>
      <c r="G90" s="112"/>
      <c r="H90" s="112"/>
      <c r="I90" s="113"/>
      <c r="J90" s="5">
        <f>SUM(J80:J89)</f>
        <v>0</v>
      </c>
      <c r="K90" s="5">
        <f>+SUMPRODUCT(((MOD(ROW(K80:K87),2)=0)*(K80:K87)))</f>
        <v>0</v>
      </c>
      <c r="L90" s="5">
        <f>+SUMPRODUCT(((MOD(ROW(L80:L87),2)=0)*(L80:L87)))</f>
        <v>0</v>
      </c>
      <c r="M90" s="5">
        <f>+SUMPRODUCT(((MOD(ROW(M80:M87),2)=0)*(M80:M87)))</f>
        <v>0</v>
      </c>
      <c r="N90" s="6" t="e">
        <f>O90/L90</f>
        <v>#DIV/0!</v>
      </c>
      <c r="O90" s="5">
        <f>+SUMPRODUCT(((MOD(ROW(O80:O87),2)=0)*(O80:O87)))</f>
        <v>0</v>
      </c>
      <c r="P90" s="5">
        <f>+SUMPRODUCT(((MOD(ROW(P80:P87),2)=0)*(P80:P87)))</f>
        <v>0</v>
      </c>
      <c r="Q90" s="29">
        <f>SUM(Q80:Q89)</f>
        <v>0</v>
      </c>
      <c r="R90" s="29"/>
      <c r="S90" s="29">
        <f t="shared" ref="S90:BG90" si="11">SUM(S80:S89)</f>
        <v>0</v>
      </c>
      <c r="T90" s="29">
        <f t="shared" si="11"/>
        <v>0</v>
      </c>
      <c r="U90" s="29">
        <f t="shared" si="11"/>
        <v>0</v>
      </c>
      <c r="V90" s="29">
        <f t="shared" si="11"/>
        <v>0</v>
      </c>
      <c r="W90" s="29">
        <f t="shared" si="11"/>
        <v>0</v>
      </c>
      <c r="X90" s="29">
        <f t="shared" si="11"/>
        <v>0</v>
      </c>
      <c r="Y90" s="29">
        <f t="shared" si="11"/>
        <v>0</v>
      </c>
      <c r="Z90" s="29">
        <f t="shared" si="11"/>
        <v>0</v>
      </c>
      <c r="AA90" s="29">
        <f t="shared" si="11"/>
        <v>0</v>
      </c>
      <c r="AB90" s="29">
        <f t="shared" si="11"/>
        <v>0</v>
      </c>
      <c r="AC90" s="29">
        <f t="shared" si="11"/>
        <v>0</v>
      </c>
      <c r="AD90" s="29">
        <f t="shared" si="11"/>
        <v>0</v>
      </c>
      <c r="AE90" s="29">
        <f t="shared" si="11"/>
        <v>0</v>
      </c>
      <c r="AF90" s="29">
        <f t="shared" si="11"/>
        <v>0</v>
      </c>
      <c r="AG90" s="29">
        <f t="shared" si="11"/>
        <v>0</v>
      </c>
      <c r="AH90" s="29">
        <f t="shared" si="11"/>
        <v>0</v>
      </c>
      <c r="AI90" s="29">
        <f t="shared" si="11"/>
        <v>0</v>
      </c>
      <c r="AJ90" s="29">
        <f t="shared" si="11"/>
        <v>0</v>
      </c>
      <c r="AK90" s="29">
        <f t="shared" si="11"/>
        <v>0</v>
      </c>
      <c r="AL90" s="29">
        <f t="shared" si="11"/>
        <v>0</v>
      </c>
      <c r="AM90" s="29">
        <f t="shared" si="11"/>
        <v>0</v>
      </c>
      <c r="AN90" s="29">
        <f t="shared" si="11"/>
        <v>0</v>
      </c>
      <c r="AO90" s="29">
        <f t="shared" si="11"/>
        <v>0</v>
      </c>
      <c r="AP90" s="29">
        <f t="shared" si="11"/>
        <v>0</v>
      </c>
      <c r="AQ90" s="29">
        <f t="shared" si="11"/>
        <v>0</v>
      </c>
      <c r="AR90" s="29">
        <f t="shared" si="11"/>
        <v>0</v>
      </c>
      <c r="AS90" s="29">
        <f t="shared" si="11"/>
        <v>0</v>
      </c>
      <c r="AT90" s="29">
        <f t="shared" si="11"/>
        <v>0</v>
      </c>
      <c r="AU90" s="29">
        <f t="shared" si="11"/>
        <v>0</v>
      </c>
      <c r="AV90" s="29">
        <f t="shared" si="11"/>
        <v>0</v>
      </c>
      <c r="AW90" s="29">
        <f t="shared" si="11"/>
        <v>0</v>
      </c>
      <c r="AX90" s="29">
        <f t="shared" si="11"/>
        <v>0</v>
      </c>
      <c r="AY90" s="29">
        <f t="shared" si="11"/>
        <v>0</v>
      </c>
      <c r="AZ90" s="29">
        <f t="shared" si="11"/>
        <v>0</v>
      </c>
      <c r="BA90" s="29">
        <f t="shared" si="11"/>
        <v>0</v>
      </c>
      <c r="BB90" s="29">
        <f t="shared" si="11"/>
        <v>0</v>
      </c>
      <c r="BC90" s="29">
        <f t="shared" si="11"/>
        <v>0</v>
      </c>
      <c r="BD90" s="29">
        <f t="shared" si="11"/>
        <v>0</v>
      </c>
      <c r="BE90" s="29">
        <f t="shared" si="11"/>
        <v>0</v>
      </c>
      <c r="BF90" s="29">
        <f t="shared" si="11"/>
        <v>0</v>
      </c>
      <c r="BG90" s="29">
        <f t="shared" si="11"/>
        <v>0</v>
      </c>
      <c r="BH90" s="17"/>
      <c r="BI90" s="17"/>
    </row>
    <row r="91" spans="1:61" s="17" customFormat="1" ht="15.75" hidden="1" customHeight="1">
      <c r="A91" s="101"/>
      <c r="B91" s="114"/>
      <c r="C91" s="116"/>
      <c r="D91" s="118"/>
      <c r="E91" s="116"/>
      <c r="F91" s="116"/>
      <c r="G91" s="120"/>
      <c r="H91" s="109"/>
      <c r="I91" s="90"/>
      <c r="J91" s="90"/>
      <c r="K91" s="20"/>
      <c r="L91" s="20"/>
      <c r="M91" s="20"/>
      <c r="N91" s="97"/>
      <c r="O91" s="21"/>
      <c r="P91" s="27"/>
      <c r="Q91" s="99"/>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c r="B93" s="114"/>
      <c r="C93" s="116"/>
      <c r="D93" s="118"/>
      <c r="E93" s="116"/>
      <c r="F93" s="116"/>
      <c r="G93" s="120"/>
      <c r="H93" s="90"/>
      <c r="I93" s="90"/>
      <c r="J93" s="90"/>
      <c r="K93" s="20"/>
      <c r="L93" s="20"/>
      <c r="M93" s="20"/>
      <c r="N93" s="97"/>
      <c r="O93" s="21"/>
      <c r="P93" s="27"/>
      <c r="Q93" s="99"/>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v>45163</v>
      </c>
      <c r="B95" s="114" t="s">
        <v>37</v>
      </c>
      <c r="C95" s="116"/>
      <c r="D95" s="118"/>
      <c r="E95" s="116"/>
      <c r="F95" s="116"/>
      <c r="G95" s="120"/>
      <c r="H95" s="90"/>
      <c r="I95" s="90"/>
      <c r="J95" s="90"/>
      <c r="K95" s="20"/>
      <c r="L95" s="20"/>
      <c r="M95" s="20"/>
      <c r="N95" s="97" t="e">
        <f>O96/L96</f>
        <v>#DIV/0!</v>
      </c>
      <c r="O95" s="21">
        <f>L95-M95</f>
        <v>0</v>
      </c>
      <c r="P95" s="27"/>
      <c r="Q95" s="99">
        <f>+L96-P96</f>
        <v>0</v>
      </c>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f>L96-M96</f>
        <v>0</v>
      </c>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row>
    <row r="97" spans="1:61" s="17" customFormat="1" ht="15.75" hidden="1" customHeight="1">
      <c r="A97" s="101">
        <v>45163</v>
      </c>
      <c r="B97" s="114" t="s">
        <v>37</v>
      </c>
      <c r="C97" s="116"/>
      <c r="D97" s="118"/>
      <c r="E97" s="116"/>
      <c r="F97" s="116"/>
      <c r="G97" s="120"/>
      <c r="H97" s="90"/>
      <c r="I97" s="90"/>
      <c r="J97" s="90"/>
      <c r="K97" s="20"/>
      <c r="L97" s="20"/>
      <c r="M97" s="20"/>
      <c r="N97" s="97" t="e">
        <f>O98/L98</f>
        <v>#DIV/0!</v>
      </c>
      <c r="O97" s="21">
        <f>L97-M97</f>
        <v>0</v>
      </c>
      <c r="P97" s="27"/>
      <c r="Q97" s="99">
        <f>+L98-P98</f>
        <v>0</v>
      </c>
      <c r="R97" s="154"/>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5"/>
      <c r="AZ97" s="155"/>
      <c r="BA97" s="155"/>
      <c r="BB97" s="155"/>
      <c r="BC97" s="155"/>
      <c r="BD97" s="155"/>
      <c r="BE97" s="96"/>
      <c r="BF97" s="155"/>
      <c r="BG97" s="155"/>
    </row>
    <row r="98" spans="1:61" s="17" customFormat="1" ht="15.75" hidden="1" customHeight="1">
      <c r="A98" s="102"/>
      <c r="B98" s="115"/>
      <c r="C98" s="117"/>
      <c r="D98" s="119"/>
      <c r="E98" s="117"/>
      <c r="F98" s="117"/>
      <c r="G98" s="121"/>
      <c r="H98" s="95"/>
      <c r="I98" s="95"/>
      <c r="J98" s="95"/>
      <c r="K98" s="22"/>
      <c r="L98" s="18"/>
      <c r="M98" s="18"/>
      <c r="N98" s="98"/>
      <c r="O98" s="19">
        <f>L98-M98</f>
        <v>0</v>
      </c>
      <c r="P98" s="22"/>
      <c r="Q98" s="100"/>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6"/>
      <c r="AZ98" s="156"/>
      <c r="BA98" s="156"/>
      <c r="BB98" s="156"/>
      <c r="BC98" s="156"/>
      <c r="BD98" s="156"/>
      <c r="BE98" s="96"/>
      <c r="BF98" s="156"/>
      <c r="BG98" s="156"/>
      <c r="BH98" s="1"/>
      <c r="BI98" s="1"/>
    </row>
    <row r="99" spans="1:61" ht="24.75" hidden="1" customHeight="1">
      <c r="A99" s="111" t="s">
        <v>48</v>
      </c>
      <c r="B99" s="112"/>
      <c r="C99" s="112"/>
      <c r="D99" s="112"/>
      <c r="E99" s="112"/>
      <c r="F99" s="112"/>
      <c r="G99" s="112"/>
      <c r="H99" s="112"/>
      <c r="I99" s="113"/>
      <c r="J99" s="5">
        <f>SUM(J91:J98)</f>
        <v>0</v>
      </c>
      <c r="K99" s="5">
        <f>+SUMPRODUCT(((MOD(ROW(K91:K98),2)=0)*(K91:K98)))</f>
        <v>0</v>
      </c>
      <c r="L99" s="5">
        <f>+SUMPRODUCT(((MOD(ROW(L91:L98),2)=0)*(L91:L98)))</f>
        <v>0</v>
      </c>
      <c r="M99" s="5">
        <f>+SUMPRODUCT(((MOD(ROW(M91:M98),2)=0)*(M91:M98)))</f>
        <v>0</v>
      </c>
      <c r="N99" s="6" t="e">
        <f>O99/L99</f>
        <v>#DIV/0!</v>
      </c>
      <c r="O99" s="5">
        <f>+SUMPRODUCT(((MOD(ROW(O91:O98),2)=0)*(O91:O98)))</f>
        <v>0</v>
      </c>
      <c r="P99" s="5">
        <f>+SUMPRODUCT(((MOD(ROW(P91:P98),2)=0)*(P91:P98)))</f>
        <v>0</v>
      </c>
      <c r="Q99" s="29">
        <f>SUM(Q91:Q98)</f>
        <v>0</v>
      </c>
      <c r="R99" s="29"/>
      <c r="S99" s="29">
        <f t="shared" ref="S99:BG99" si="12">SUM(S91:S98)</f>
        <v>0</v>
      </c>
      <c r="T99" s="29">
        <f t="shared" si="12"/>
        <v>0</v>
      </c>
      <c r="U99" s="29">
        <f t="shared" si="12"/>
        <v>0</v>
      </c>
      <c r="V99" s="29">
        <f t="shared" si="12"/>
        <v>0</v>
      </c>
      <c r="W99" s="29">
        <f t="shared" si="12"/>
        <v>0</v>
      </c>
      <c r="X99" s="29">
        <f t="shared" si="12"/>
        <v>0</v>
      </c>
      <c r="Y99" s="29">
        <f t="shared" si="12"/>
        <v>0</v>
      </c>
      <c r="Z99" s="29">
        <f t="shared" si="12"/>
        <v>0</v>
      </c>
      <c r="AA99" s="29">
        <f t="shared" si="12"/>
        <v>0</v>
      </c>
      <c r="AB99" s="29">
        <f t="shared" si="12"/>
        <v>0</v>
      </c>
      <c r="AC99" s="29">
        <f t="shared" si="12"/>
        <v>0</v>
      </c>
      <c r="AD99" s="29">
        <f t="shared" si="12"/>
        <v>0</v>
      </c>
      <c r="AE99" s="29">
        <f t="shared" si="12"/>
        <v>0</v>
      </c>
      <c r="AF99" s="29">
        <f t="shared" si="12"/>
        <v>0</v>
      </c>
      <c r="AG99" s="29">
        <f t="shared" si="12"/>
        <v>0</v>
      </c>
      <c r="AH99" s="29">
        <f t="shared" si="12"/>
        <v>0</v>
      </c>
      <c r="AI99" s="29">
        <f t="shared" si="12"/>
        <v>0</v>
      </c>
      <c r="AJ99" s="29">
        <f t="shared" si="12"/>
        <v>0</v>
      </c>
      <c r="AK99" s="29">
        <f t="shared" si="12"/>
        <v>0</v>
      </c>
      <c r="AL99" s="29">
        <f t="shared" si="12"/>
        <v>0</v>
      </c>
      <c r="AM99" s="29">
        <f t="shared" si="12"/>
        <v>0</v>
      </c>
      <c r="AN99" s="29">
        <f t="shared" si="12"/>
        <v>0</v>
      </c>
      <c r="AO99" s="29">
        <f t="shared" si="12"/>
        <v>0</v>
      </c>
      <c r="AP99" s="29">
        <f t="shared" si="12"/>
        <v>0</v>
      </c>
      <c r="AQ99" s="29">
        <f t="shared" si="12"/>
        <v>0</v>
      </c>
      <c r="AR99" s="29">
        <f t="shared" si="12"/>
        <v>0</v>
      </c>
      <c r="AS99" s="29">
        <f t="shared" si="12"/>
        <v>0</v>
      </c>
      <c r="AT99" s="29">
        <f t="shared" si="12"/>
        <v>0</v>
      </c>
      <c r="AU99" s="29">
        <f t="shared" si="12"/>
        <v>0</v>
      </c>
      <c r="AV99" s="29">
        <f t="shared" si="12"/>
        <v>0</v>
      </c>
      <c r="AW99" s="29">
        <f t="shared" si="12"/>
        <v>0</v>
      </c>
      <c r="AX99" s="29">
        <f t="shared" si="12"/>
        <v>0</v>
      </c>
      <c r="AY99" s="29">
        <f t="shared" si="12"/>
        <v>0</v>
      </c>
      <c r="AZ99" s="29">
        <f t="shared" si="12"/>
        <v>0</v>
      </c>
      <c r="BA99" s="29">
        <f t="shared" si="12"/>
        <v>0</v>
      </c>
      <c r="BB99" s="29">
        <f t="shared" si="12"/>
        <v>0</v>
      </c>
      <c r="BC99" s="29">
        <f t="shared" si="12"/>
        <v>0</v>
      </c>
      <c r="BD99" s="29">
        <f t="shared" si="12"/>
        <v>0</v>
      </c>
      <c r="BE99" s="29">
        <f t="shared" si="12"/>
        <v>0</v>
      </c>
      <c r="BF99" s="29">
        <f t="shared" si="12"/>
        <v>0</v>
      </c>
      <c r="BG99" s="29">
        <f t="shared" si="12"/>
        <v>0</v>
      </c>
      <c r="BH99" s="17"/>
      <c r="BI99" s="17"/>
    </row>
    <row r="100" spans="1:61" s="17" customFormat="1" ht="15.75" hidden="1" customHeight="1">
      <c r="A100" s="101"/>
      <c r="B100" s="114"/>
      <c r="C100" s="116"/>
      <c r="D100" s="118"/>
      <c r="E100" s="157"/>
      <c r="F100" s="116"/>
      <c r="G100" s="120"/>
      <c r="H100" s="109"/>
      <c r="I100" s="90"/>
      <c r="J100" s="90"/>
      <c r="K100" s="20"/>
      <c r="L100" s="20"/>
      <c r="M100" s="20"/>
      <c r="N100" s="97"/>
      <c r="O100" s="21"/>
      <c r="P100" s="27"/>
      <c r="Q100" s="99"/>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45061</v>
      </c>
      <c r="B102" s="114" t="s">
        <v>37</v>
      </c>
      <c r="C102" s="116"/>
      <c r="D102" s="118"/>
      <c r="E102" s="157"/>
      <c r="F102" s="116"/>
      <c r="G102" s="120"/>
      <c r="H102" s="90"/>
      <c r="I102" s="90"/>
      <c r="J102" s="90"/>
      <c r="K102" s="20"/>
      <c r="L102" s="20"/>
      <c r="M102" s="20"/>
      <c r="N102" s="97" t="e">
        <f>O103/L103</f>
        <v>#DIV/0!</v>
      </c>
      <c r="O102" s="21">
        <f t="shared" ref="O102:O107" si="13">L102-M102</f>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3"/>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44990</v>
      </c>
      <c r="B104" s="114" t="s">
        <v>37</v>
      </c>
      <c r="C104" s="116"/>
      <c r="D104" s="118"/>
      <c r="E104" s="116"/>
      <c r="F104" s="116"/>
      <c r="G104" s="120"/>
      <c r="H104" s="90"/>
      <c r="I104" s="90"/>
      <c r="J104" s="90"/>
      <c r="K104" s="20"/>
      <c r="L104" s="20"/>
      <c r="M104" s="20"/>
      <c r="N104" s="97" t="e">
        <f>O105/L105</f>
        <v>#DIV/0!</v>
      </c>
      <c r="O104" s="21">
        <f t="shared" si="13"/>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13"/>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row>
    <row r="106" spans="1:61" s="17" customFormat="1" ht="15.75" hidden="1" customHeight="1">
      <c r="A106" s="101">
        <v>44990</v>
      </c>
      <c r="B106" s="114" t="s">
        <v>37</v>
      </c>
      <c r="C106" s="116"/>
      <c r="D106" s="118"/>
      <c r="E106" s="116"/>
      <c r="F106" s="116"/>
      <c r="G106" s="120"/>
      <c r="H106" s="90"/>
      <c r="I106" s="90"/>
      <c r="J106" s="90"/>
      <c r="K106" s="20"/>
      <c r="L106" s="20"/>
      <c r="M106" s="20"/>
      <c r="N106" s="97" t="e">
        <f>O107/L107</f>
        <v>#DIV/0!</v>
      </c>
      <c r="O106" s="21">
        <f t="shared" si="13"/>
        <v>0</v>
      </c>
      <c r="P106" s="27"/>
      <c r="Q106" s="99">
        <f>+L107-P107</f>
        <v>0</v>
      </c>
      <c r="R106" s="101"/>
      <c r="S106" s="96"/>
      <c r="T106" s="96"/>
      <c r="U106" s="96"/>
      <c r="V106" s="96"/>
      <c r="W106" s="96"/>
      <c r="X106" s="96"/>
      <c r="Y106" s="96"/>
      <c r="Z106" s="96"/>
      <c r="AA106" s="96"/>
      <c r="AB106" s="96"/>
      <c r="AC106" s="96"/>
      <c r="AD106" s="96"/>
      <c r="AE106" s="96"/>
      <c r="AF106" s="96"/>
      <c r="AG106" s="96"/>
      <c r="AH106" s="96"/>
      <c r="AI106" s="96"/>
      <c r="AJ106" s="96"/>
      <c r="AK106" s="96"/>
      <c r="AL106" s="96"/>
      <c r="AM106" s="96"/>
      <c r="AN106" s="96"/>
      <c r="AO106" s="96"/>
      <c r="AP106" s="96"/>
      <c r="AQ106" s="96"/>
      <c r="AR106" s="96"/>
      <c r="AS106" s="96"/>
      <c r="AT106" s="96"/>
      <c r="AU106" s="96"/>
      <c r="AV106" s="96"/>
      <c r="AW106" s="96"/>
      <c r="AX106" s="96"/>
      <c r="AY106" s="155"/>
      <c r="AZ106" s="155"/>
      <c r="BA106" s="155"/>
      <c r="BB106" s="155"/>
      <c r="BC106" s="155"/>
      <c r="BD106" s="155"/>
      <c r="BE106" s="96"/>
      <c r="BF106" s="155"/>
      <c r="BG106" s="155"/>
    </row>
    <row r="107" spans="1:61" s="17" customFormat="1" ht="15.75" hidden="1" customHeight="1">
      <c r="A107" s="102"/>
      <c r="B107" s="115"/>
      <c r="C107" s="117"/>
      <c r="D107" s="119"/>
      <c r="E107" s="117"/>
      <c r="F107" s="117"/>
      <c r="G107" s="121"/>
      <c r="H107" s="95"/>
      <c r="I107" s="95"/>
      <c r="J107" s="95"/>
      <c r="K107" s="22"/>
      <c r="L107" s="18"/>
      <c r="M107" s="18"/>
      <c r="N107" s="98"/>
      <c r="O107" s="19">
        <f t="shared" si="13"/>
        <v>0</v>
      </c>
      <c r="P107" s="22"/>
      <c r="Q107" s="100"/>
      <c r="R107" s="102"/>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156"/>
      <c r="AZ107" s="156"/>
      <c r="BA107" s="156"/>
      <c r="BB107" s="156"/>
      <c r="BC107" s="156"/>
      <c r="BD107" s="156"/>
      <c r="BE107" s="96"/>
      <c r="BF107" s="156"/>
      <c r="BG107" s="156"/>
      <c r="BH107" s="1"/>
      <c r="BI107" s="1"/>
    </row>
    <row r="108" spans="1:61" ht="24.75" hidden="1" customHeight="1">
      <c r="A108" s="111" t="s">
        <v>46</v>
      </c>
      <c r="B108" s="112"/>
      <c r="C108" s="112"/>
      <c r="D108" s="112"/>
      <c r="E108" s="112"/>
      <c r="F108" s="112"/>
      <c r="G108" s="112"/>
      <c r="H108" s="112"/>
      <c r="I108" s="113"/>
      <c r="J108" s="5">
        <f>SUM(J100:J107)</f>
        <v>0</v>
      </c>
      <c r="K108" s="5">
        <f>+SUMPRODUCT(((MOD(ROW(K100:K107),2)=0)*(K100:K107)))</f>
        <v>0</v>
      </c>
      <c r="L108" s="5">
        <f>+SUMPRODUCT(((MOD(ROW(L100:L107),2)=0)*(L100:L107)))</f>
        <v>0</v>
      </c>
      <c r="M108" s="5">
        <f>+SUMPRODUCT(((MOD(ROW(M100:M107),2)=0)*(M100:M107)))</f>
        <v>0</v>
      </c>
      <c r="N108" s="6" t="e">
        <f>O108/L108</f>
        <v>#DIV/0!</v>
      </c>
      <c r="O108" s="5">
        <f>+SUMPRODUCT(((MOD(ROW(O100:O107),2)=0)*(O100:O107)))</f>
        <v>0</v>
      </c>
      <c r="P108" s="5">
        <f>+SUMPRODUCT(((MOD(ROW(P100:P107),2)=0)*(P100:P107)))</f>
        <v>0</v>
      </c>
      <c r="Q108" s="29">
        <f>SUM(Q100:Q107)</f>
        <v>0</v>
      </c>
      <c r="R108" s="29"/>
      <c r="S108" s="29">
        <f t="shared" ref="S108:BG108" si="14">SUM(S100:S107)</f>
        <v>0</v>
      </c>
      <c r="T108" s="29">
        <f t="shared" si="14"/>
        <v>0</v>
      </c>
      <c r="U108" s="29">
        <f t="shared" si="14"/>
        <v>0</v>
      </c>
      <c r="V108" s="29">
        <f t="shared" si="14"/>
        <v>0</v>
      </c>
      <c r="W108" s="29">
        <f t="shared" si="14"/>
        <v>0</v>
      </c>
      <c r="X108" s="29">
        <f t="shared" si="14"/>
        <v>0</v>
      </c>
      <c r="Y108" s="29">
        <f t="shared" si="14"/>
        <v>0</v>
      </c>
      <c r="Z108" s="29">
        <f t="shared" si="14"/>
        <v>0</v>
      </c>
      <c r="AA108" s="29">
        <f t="shared" si="14"/>
        <v>0</v>
      </c>
      <c r="AB108" s="29">
        <f t="shared" si="14"/>
        <v>0</v>
      </c>
      <c r="AC108" s="29">
        <f t="shared" si="14"/>
        <v>0</v>
      </c>
      <c r="AD108" s="29">
        <f t="shared" si="14"/>
        <v>0</v>
      </c>
      <c r="AE108" s="29">
        <f t="shared" si="14"/>
        <v>0</v>
      </c>
      <c r="AF108" s="29">
        <f t="shared" si="14"/>
        <v>0</v>
      </c>
      <c r="AG108" s="29">
        <f t="shared" si="14"/>
        <v>0</v>
      </c>
      <c r="AH108" s="29">
        <f t="shared" si="14"/>
        <v>0</v>
      </c>
      <c r="AI108" s="29">
        <f t="shared" si="14"/>
        <v>0</v>
      </c>
      <c r="AJ108" s="29">
        <f t="shared" si="14"/>
        <v>0</v>
      </c>
      <c r="AK108" s="29">
        <f t="shared" si="14"/>
        <v>0</v>
      </c>
      <c r="AL108" s="29">
        <f t="shared" si="14"/>
        <v>0</v>
      </c>
      <c r="AM108" s="29">
        <f t="shared" si="14"/>
        <v>0</v>
      </c>
      <c r="AN108" s="29">
        <f t="shared" si="14"/>
        <v>0</v>
      </c>
      <c r="AO108" s="29">
        <f t="shared" si="14"/>
        <v>0</v>
      </c>
      <c r="AP108" s="29">
        <f t="shared" si="14"/>
        <v>0</v>
      </c>
      <c r="AQ108" s="29">
        <f t="shared" si="14"/>
        <v>0</v>
      </c>
      <c r="AR108" s="29">
        <f t="shared" si="14"/>
        <v>0</v>
      </c>
      <c r="AS108" s="29">
        <f t="shared" si="14"/>
        <v>0</v>
      </c>
      <c r="AT108" s="29">
        <f t="shared" si="14"/>
        <v>0</v>
      </c>
      <c r="AU108" s="29">
        <f t="shared" si="14"/>
        <v>0</v>
      </c>
      <c r="AV108" s="29">
        <f t="shared" si="14"/>
        <v>0</v>
      </c>
      <c r="AW108" s="29">
        <f t="shared" si="14"/>
        <v>0</v>
      </c>
      <c r="AX108" s="29">
        <f t="shared" si="14"/>
        <v>0</v>
      </c>
      <c r="AY108" s="29">
        <f t="shared" si="14"/>
        <v>0</v>
      </c>
      <c r="AZ108" s="29">
        <f t="shared" si="14"/>
        <v>0</v>
      </c>
      <c r="BA108" s="29">
        <f t="shared" si="14"/>
        <v>0</v>
      </c>
      <c r="BB108" s="29">
        <f t="shared" si="14"/>
        <v>0</v>
      </c>
      <c r="BC108" s="29">
        <f t="shared" si="14"/>
        <v>0</v>
      </c>
      <c r="BD108" s="29">
        <f t="shared" si="14"/>
        <v>0</v>
      </c>
      <c r="BE108" s="29">
        <f t="shared" si="14"/>
        <v>0</v>
      </c>
      <c r="BF108" s="29">
        <f t="shared" si="14"/>
        <v>0</v>
      </c>
      <c r="BG108" s="29">
        <f t="shared" si="14"/>
        <v>0</v>
      </c>
    </row>
    <row r="109" spans="1:61" ht="24.75" customHeight="1">
      <c r="A109" s="122" t="s">
        <v>5</v>
      </c>
      <c r="B109" s="122"/>
      <c r="C109" s="122"/>
      <c r="D109" s="122"/>
      <c r="E109" s="122"/>
      <c r="F109" s="122"/>
      <c r="G109" s="122"/>
      <c r="H109" s="122"/>
      <c r="I109" s="122"/>
      <c r="J109" s="4">
        <f>J79+J90+J99+J108</f>
        <v>4097</v>
      </c>
      <c r="K109" s="4">
        <f>K79+K90+K99+K108</f>
        <v>435</v>
      </c>
      <c r="L109" s="4">
        <f>L79+L90+L99+L108</f>
        <v>375</v>
      </c>
      <c r="M109" s="4">
        <f>M79+M90+M99+M108</f>
        <v>146</v>
      </c>
      <c r="N109" s="33">
        <f>O109/L109</f>
        <v>0.61066666666666669</v>
      </c>
      <c r="O109" s="4">
        <f>O79+O90+O99+O108</f>
        <v>229</v>
      </c>
      <c r="P109" s="31">
        <f>P79+P90+P99+P108</f>
        <v>424</v>
      </c>
      <c r="Q109" s="31">
        <f>Q79+Q90+Q99+Q108</f>
        <v>444</v>
      </c>
      <c r="R109" s="4"/>
      <c r="S109" s="31">
        <f t="shared" ref="S109:BG109" si="15">S79+S90+S99+S108</f>
        <v>2</v>
      </c>
      <c r="T109" s="31">
        <f t="shared" si="15"/>
        <v>0</v>
      </c>
      <c r="U109" s="31">
        <f t="shared" si="15"/>
        <v>69</v>
      </c>
      <c r="V109" s="31">
        <f t="shared" si="15"/>
        <v>0</v>
      </c>
      <c r="W109" s="31">
        <f t="shared" si="15"/>
        <v>0</v>
      </c>
      <c r="X109" s="31">
        <f t="shared" si="15"/>
        <v>3</v>
      </c>
      <c r="Y109" s="31">
        <f t="shared" si="15"/>
        <v>0</v>
      </c>
      <c r="Z109" s="31">
        <f t="shared" si="15"/>
        <v>0</v>
      </c>
      <c r="AA109" s="31">
        <f t="shared" si="15"/>
        <v>3</v>
      </c>
      <c r="AB109" s="31">
        <f t="shared" si="15"/>
        <v>0</v>
      </c>
      <c r="AC109" s="31">
        <f t="shared" si="15"/>
        <v>40</v>
      </c>
      <c r="AD109" s="31">
        <f t="shared" si="15"/>
        <v>15</v>
      </c>
      <c r="AE109" s="31">
        <f t="shared" si="15"/>
        <v>2</v>
      </c>
      <c r="AF109" s="31">
        <f t="shared" si="15"/>
        <v>32</v>
      </c>
      <c r="AG109" s="31">
        <f t="shared" si="15"/>
        <v>0</v>
      </c>
      <c r="AH109" s="31">
        <f t="shared" si="15"/>
        <v>39</v>
      </c>
      <c r="AI109" s="31">
        <f t="shared" si="15"/>
        <v>0</v>
      </c>
      <c r="AJ109" s="31">
        <f t="shared" si="15"/>
        <v>0</v>
      </c>
      <c r="AK109" s="31">
        <f t="shared" si="15"/>
        <v>0</v>
      </c>
      <c r="AL109" s="31">
        <f t="shared" si="15"/>
        <v>24</v>
      </c>
      <c r="AM109" s="31">
        <f t="shared" si="15"/>
        <v>0</v>
      </c>
      <c r="AN109" s="31">
        <f t="shared" si="15"/>
        <v>0</v>
      </c>
      <c r="AO109" s="31">
        <f t="shared" si="15"/>
        <v>0</v>
      </c>
      <c r="AP109" s="31">
        <f t="shared" si="15"/>
        <v>0</v>
      </c>
      <c r="AQ109" s="31">
        <f t="shared" si="15"/>
        <v>0</v>
      </c>
      <c r="AR109" s="31">
        <f t="shared" si="15"/>
        <v>0</v>
      </c>
      <c r="AS109" s="31">
        <f t="shared" si="15"/>
        <v>0</v>
      </c>
      <c r="AT109" s="31">
        <f t="shared" si="15"/>
        <v>0</v>
      </c>
      <c r="AU109" s="31">
        <f t="shared" si="15"/>
        <v>0</v>
      </c>
      <c r="AV109" s="31">
        <f t="shared" si="15"/>
        <v>0</v>
      </c>
      <c r="AW109" s="31">
        <f t="shared" si="15"/>
        <v>0</v>
      </c>
      <c r="AX109" s="31">
        <f t="shared" si="15"/>
        <v>0</v>
      </c>
      <c r="AY109" s="31">
        <f t="shared" si="15"/>
        <v>0</v>
      </c>
      <c r="AZ109" s="31">
        <f t="shared" si="15"/>
        <v>0</v>
      </c>
      <c r="BA109" s="31">
        <f t="shared" si="15"/>
        <v>0</v>
      </c>
      <c r="BB109" s="31">
        <f t="shared" si="15"/>
        <v>0</v>
      </c>
      <c r="BC109" s="31">
        <f t="shared" si="15"/>
        <v>0</v>
      </c>
      <c r="BD109" s="31">
        <f t="shared" si="15"/>
        <v>0</v>
      </c>
      <c r="BE109" s="31">
        <f t="shared" si="15"/>
        <v>0</v>
      </c>
      <c r="BF109" s="31">
        <f t="shared" si="15"/>
        <v>0</v>
      </c>
      <c r="BG109" s="31">
        <f t="shared" si="15"/>
        <v>0</v>
      </c>
    </row>
    <row r="112" spans="1:61" s="25" customFormat="1" ht="35.25" customHeight="1">
      <c r="A112" s="2"/>
      <c r="B112" s="2"/>
      <c r="C112" s="2"/>
      <c r="D112" s="1"/>
      <c r="E112" s="1"/>
      <c r="F112" s="1"/>
      <c r="G112" s="1"/>
      <c r="H112" s="1"/>
      <c r="I112" s="1"/>
      <c r="J112" s="1"/>
      <c r="K112" s="35"/>
      <c r="L112" s="35"/>
      <c r="M112" s="35"/>
      <c r="N112" s="35"/>
      <c r="O112" s="35"/>
      <c r="P112" s="35"/>
      <c r="Q112" s="36"/>
      <c r="S112" s="8"/>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row>
    <row r="115" spans="1:61" s="25" customFormat="1" ht="33" customHeight="1">
      <c r="A115" s="2"/>
      <c r="B115" s="2"/>
      <c r="C115" s="2"/>
      <c r="D115" s="1"/>
      <c r="E115" s="1"/>
      <c r="F115" s="1"/>
      <c r="G115" s="1"/>
      <c r="H115" s="1"/>
      <c r="I115" s="1"/>
      <c r="J115" s="1"/>
      <c r="K115" s="1"/>
      <c r="L115" s="1"/>
      <c r="M115" s="1"/>
      <c r="N115" s="1"/>
      <c r="O115" s="1"/>
      <c r="S115" s="8"/>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row>
  </sheetData>
  <mergeCells count="2579">
    <mergeCell ref="A1:O1"/>
    <mergeCell ref="A2:O2"/>
    <mergeCell ref="S3:S4"/>
    <mergeCell ref="T3:T4"/>
    <mergeCell ref="U3:U4"/>
    <mergeCell ref="V3:V4"/>
    <mergeCell ref="W3:W4"/>
    <mergeCell ref="X3:X4"/>
    <mergeCell ref="Y3:Y4"/>
    <mergeCell ref="Z3:Z4"/>
    <mergeCell ref="AA3:AA4"/>
    <mergeCell ref="AB3:AB4"/>
    <mergeCell ref="AM3:AM4"/>
    <mergeCell ref="AN3:AN4"/>
    <mergeCell ref="AC3:AC4"/>
    <mergeCell ref="AD3:AD4"/>
    <mergeCell ref="AE3:AE4"/>
    <mergeCell ref="AF3:AF4"/>
    <mergeCell ref="AG3:AG4"/>
    <mergeCell ref="AH3:AH4"/>
    <mergeCell ref="AI3:AI4"/>
    <mergeCell ref="AJ3:AJ4"/>
    <mergeCell ref="BE3:BE4"/>
    <mergeCell ref="BF3:BF4"/>
    <mergeCell ref="BG3:BG4"/>
    <mergeCell ref="A5:A6"/>
    <mergeCell ref="B5:B6"/>
    <mergeCell ref="C5:C6"/>
    <mergeCell ref="D5:D6"/>
    <mergeCell ref="E5:E6"/>
    <mergeCell ref="F5:F6"/>
    <mergeCell ref="G5:G6"/>
    <mergeCell ref="H5:H6"/>
    <mergeCell ref="I5:I6"/>
    <mergeCell ref="AK3:AK4"/>
    <mergeCell ref="AL3:AL4"/>
    <mergeCell ref="AK5:AK6"/>
    <mergeCell ref="AL5:AL6"/>
    <mergeCell ref="AA5:AA6"/>
    <mergeCell ref="AB5:AB6"/>
    <mergeCell ref="AC5:AC6"/>
    <mergeCell ref="AD5:AD6"/>
    <mergeCell ref="AE5:AE6"/>
    <mergeCell ref="AF5:AF6"/>
    <mergeCell ref="AO3:AO4"/>
    <mergeCell ref="AP3:AP4"/>
    <mergeCell ref="AQ3:AQ4"/>
    <mergeCell ref="AR3:AR4"/>
    <mergeCell ref="AS3:AS4"/>
    <mergeCell ref="AT3:AT4"/>
    <mergeCell ref="AU3:AU4"/>
    <mergeCell ref="AT5:AT6"/>
    <mergeCell ref="AU5:AU6"/>
    <mergeCell ref="AV5:AV6"/>
    <mergeCell ref="AW5:AW6"/>
    <mergeCell ref="AX5:AX6"/>
    <mergeCell ref="AY5:AY6"/>
    <mergeCell ref="AZ5:AZ6"/>
    <mergeCell ref="BA5:BA6"/>
    <mergeCell ref="BB5:BB6"/>
    <mergeCell ref="BC5:BC6"/>
    <mergeCell ref="BD5:BD6"/>
    <mergeCell ref="AV3:AV4"/>
    <mergeCell ref="AW3:AW4"/>
    <mergeCell ref="AX3:AX4"/>
    <mergeCell ref="AY3:AY4"/>
    <mergeCell ref="AZ3:AZ4"/>
    <mergeCell ref="BA3:BA4"/>
    <mergeCell ref="BB3:BB4"/>
    <mergeCell ref="BC3:BC4"/>
    <mergeCell ref="BD3:BD4"/>
    <mergeCell ref="BE5:BE6"/>
    <mergeCell ref="BF5:BF6"/>
    <mergeCell ref="BG5:BG6"/>
    <mergeCell ref="A7:A8"/>
    <mergeCell ref="B7:B8"/>
    <mergeCell ref="C7:C8"/>
    <mergeCell ref="D7:D8"/>
    <mergeCell ref="E7:E8"/>
    <mergeCell ref="F7:F8"/>
    <mergeCell ref="G7:G8"/>
    <mergeCell ref="J5:J6"/>
    <mergeCell ref="N5:N6"/>
    <mergeCell ref="Q5:Q6"/>
    <mergeCell ref="R5:R6"/>
    <mergeCell ref="S5:S6"/>
    <mergeCell ref="T5:T6"/>
    <mergeCell ref="U5:U6"/>
    <mergeCell ref="V5:V6"/>
    <mergeCell ref="W5:W6"/>
    <mergeCell ref="X5:X6"/>
    <mergeCell ref="Y5:Y6"/>
    <mergeCell ref="AG5:AG6"/>
    <mergeCell ref="AH5:AH6"/>
    <mergeCell ref="AI5:AI6"/>
    <mergeCell ref="AJ5:AJ6"/>
    <mergeCell ref="AH7:AH8"/>
    <mergeCell ref="AI7:AI8"/>
    <mergeCell ref="AJ7:AJ8"/>
    <mergeCell ref="Y7:Y8"/>
    <mergeCell ref="Z7:Z8"/>
    <mergeCell ref="AA7:AA8"/>
    <mergeCell ref="AK7:AK8"/>
    <mergeCell ref="A9:A10"/>
    <mergeCell ref="B9:B10"/>
    <mergeCell ref="C9:C10"/>
    <mergeCell ref="D9:D10"/>
    <mergeCell ref="E9:E10"/>
    <mergeCell ref="AE7:AE8"/>
    <mergeCell ref="AM5:AM6"/>
    <mergeCell ref="AN5:AN6"/>
    <mergeCell ref="AO5:AO6"/>
    <mergeCell ref="AP5:AP6"/>
    <mergeCell ref="AQ5:AQ6"/>
    <mergeCell ref="AR5:AR6"/>
    <mergeCell ref="AS5:AS6"/>
    <mergeCell ref="Z5:Z6"/>
    <mergeCell ref="BG7:BG8"/>
    <mergeCell ref="AB7:AB8"/>
    <mergeCell ref="AC7:AC8"/>
    <mergeCell ref="AD7:AD8"/>
    <mergeCell ref="F9:F10"/>
    <mergeCell ref="G9:G10"/>
    <mergeCell ref="H9:H10"/>
    <mergeCell ref="I9:I10"/>
    <mergeCell ref="J9:J10"/>
    <mergeCell ref="N9:N10"/>
    <mergeCell ref="Q9:Q10"/>
    <mergeCell ref="R9:R10"/>
    <mergeCell ref="S9:S10"/>
    <mergeCell ref="T9:T10"/>
    <mergeCell ref="U9:U10"/>
    <mergeCell ref="V9:V10"/>
    <mergeCell ref="AF7:AF8"/>
    <mergeCell ref="AG7:AG8"/>
    <mergeCell ref="AL7:AL8"/>
    <mergeCell ref="AM7:AM8"/>
    <mergeCell ref="AN7:AN8"/>
    <mergeCell ref="AO7:AO8"/>
    <mergeCell ref="AP7:AP8"/>
    <mergeCell ref="AQ7:AQ8"/>
    <mergeCell ref="AR7:AR8"/>
    <mergeCell ref="AP9:AP10"/>
    <mergeCell ref="H7:H8"/>
    <mergeCell ref="I7:I8"/>
    <mergeCell ref="J7:J8"/>
    <mergeCell ref="N7:N8"/>
    <mergeCell ref="Q7:Q8"/>
    <mergeCell ref="R7:R8"/>
    <mergeCell ref="S7:S8"/>
    <mergeCell ref="T7:T8"/>
    <mergeCell ref="U7:U8"/>
    <mergeCell ref="V7:V8"/>
    <mergeCell ref="W7:W8"/>
    <mergeCell ref="X7:X8"/>
    <mergeCell ref="AC9:AC10"/>
    <mergeCell ref="AD9:AD10"/>
    <mergeCell ref="AE9:AE10"/>
    <mergeCell ref="AF9:AF10"/>
    <mergeCell ref="AG9:AG10"/>
    <mergeCell ref="AH9:AH10"/>
    <mergeCell ref="AI9:AI10"/>
    <mergeCell ref="AJ9:AJ10"/>
    <mergeCell ref="AK9:AK10"/>
    <mergeCell ref="AL9:AL10"/>
    <mergeCell ref="AM9:AM10"/>
    <mergeCell ref="AN9:AN10"/>
    <mergeCell ref="BC7:BC8"/>
    <mergeCell ref="BD7:BD8"/>
    <mergeCell ref="BE7:BE8"/>
    <mergeCell ref="BF7:BF8"/>
    <mergeCell ref="AS7:AS8"/>
    <mergeCell ref="AT7:AT8"/>
    <mergeCell ref="AU7:AU8"/>
    <mergeCell ref="AV7:AV8"/>
    <mergeCell ref="AW7:AW8"/>
    <mergeCell ref="AX7:AX8"/>
    <mergeCell ref="AY7:AY8"/>
    <mergeCell ref="AZ7:AZ8"/>
    <mergeCell ref="BA7:BA8"/>
    <mergeCell ref="BB7:BB8"/>
    <mergeCell ref="AW9:AW10"/>
    <mergeCell ref="AX9:AX10"/>
    <mergeCell ref="AY9:AY10"/>
    <mergeCell ref="AZ9:AZ10"/>
    <mergeCell ref="BA9:BA10"/>
    <mergeCell ref="BB9:BB10"/>
    <mergeCell ref="BC9:BC10"/>
    <mergeCell ref="BD9:BD10"/>
    <mergeCell ref="BE9:BE10"/>
    <mergeCell ref="BF9:BF10"/>
    <mergeCell ref="AU9:AU10"/>
    <mergeCell ref="AV9:AV10"/>
    <mergeCell ref="AS9:AS10"/>
    <mergeCell ref="AT9:AT10"/>
    <mergeCell ref="BG9:BG10"/>
    <mergeCell ref="A11:A12"/>
    <mergeCell ref="B11:B12"/>
    <mergeCell ref="C11:C12"/>
    <mergeCell ref="D11:D12"/>
    <mergeCell ref="E11:E12"/>
    <mergeCell ref="F11:F12"/>
    <mergeCell ref="G11:G12"/>
    <mergeCell ref="H11:H12"/>
    <mergeCell ref="I11:I12"/>
    <mergeCell ref="J11:J12"/>
    <mergeCell ref="N11:N12"/>
    <mergeCell ref="Q11:Q12"/>
    <mergeCell ref="R11:R12"/>
    <mergeCell ref="S11:S12"/>
    <mergeCell ref="T11:T12"/>
    <mergeCell ref="W9:W10"/>
    <mergeCell ref="X9:X10"/>
    <mergeCell ref="Y9:Y10"/>
    <mergeCell ref="Z9:Z10"/>
    <mergeCell ref="AA9:AA10"/>
    <mergeCell ref="AB9:AB10"/>
    <mergeCell ref="AB11:AB12"/>
    <mergeCell ref="AC11:AC12"/>
    <mergeCell ref="AD11:AD12"/>
    <mergeCell ref="AE11:AE12"/>
    <mergeCell ref="AF11:AF12"/>
    <mergeCell ref="AQ9:AQ10"/>
    <mergeCell ref="AR9:AR10"/>
    <mergeCell ref="AQ11:AQ12"/>
    <mergeCell ref="AR11:AR12"/>
    <mergeCell ref="AG11:AG12"/>
    <mergeCell ref="AO9:AO10"/>
    <mergeCell ref="AZ11:AZ12"/>
    <mergeCell ref="BA11:BA12"/>
    <mergeCell ref="BB11:BB12"/>
    <mergeCell ref="BC11:BC12"/>
    <mergeCell ref="BD11:BD12"/>
    <mergeCell ref="BE11:BE12"/>
    <mergeCell ref="BF11:BF12"/>
    <mergeCell ref="BG11:BG12"/>
    <mergeCell ref="A13:A14"/>
    <mergeCell ref="B13:B14"/>
    <mergeCell ref="C13:C14"/>
    <mergeCell ref="D13:D14"/>
    <mergeCell ref="E13:E14"/>
    <mergeCell ref="F13:F14"/>
    <mergeCell ref="G13:G14"/>
    <mergeCell ref="H13:H14"/>
    <mergeCell ref="I13:I14"/>
    <mergeCell ref="J13:J14"/>
    <mergeCell ref="N13:N14"/>
    <mergeCell ref="Q13:Q14"/>
    <mergeCell ref="R13:R14"/>
    <mergeCell ref="U11:U12"/>
    <mergeCell ref="V11:V12"/>
    <mergeCell ref="W11:W12"/>
    <mergeCell ref="X11:X12"/>
    <mergeCell ref="Y11:Y12"/>
    <mergeCell ref="Z11:Z12"/>
    <mergeCell ref="AA11:AA12"/>
    <mergeCell ref="AC13:AC14"/>
    <mergeCell ref="AH11:AH12"/>
    <mergeCell ref="AI11:AI12"/>
    <mergeCell ref="AJ11:AJ12"/>
    <mergeCell ref="AG13:AG14"/>
    <mergeCell ref="AH13:AH14"/>
    <mergeCell ref="AI13:AI14"/>
    <mergeCell ref="AJ13:AJ14"/>
    <mergeCell ref="AM11:AM12"/>
    <mergeCell ref="AN11:AN12"/>
    <mergeCell ref="AO11:AO12"/>
    <mergeCell ref="AP11:AP12"/>
    <mergeCell ref="AO13:AO14"/>
    <mergeCell ref="AP13:AP14"/>
    <mergeCell ref="AS11:AS12"/>
    <mergeCell ref="AT11:AT12"/>
    <mergeCell ref="AU11:AU12"/>
    <mergeCell ref="AW13:AW14"/>
    <mergeCell ref="AW11:AW12"/>
    <mergeCell ref="AX11:AX12"/>
    <mergeCell ref="AV13:AV14"/>
    <mergeCell ref="AX13:AX14"/>
    <mergeCell ref="AY11:AY12"/>
    <mergeCell ref="AK11:AK12"/>
    <mergeCell ref="AL11:AL12"/>
    <mergeCell ref="AV11:AV12"/>
    <mergeCell ref="BA13:BA14"/>
    <mergeCell ref="BB13:BB14"/>
    <mergeCell ref="BC13:BC14"/>
    <mergeCell ref="BD13:BD14"/>
    <mergeCell ref="BE13:BE14"/>
    <mergeCell ref="BF13:BF14"/>
    <mergeCell ref="BG13:BG14"/>
    <mergeCell ref="A17:A18"/>
    <mergeCell ref="B17:B18"/>
    <mergeCell ref="C17:C18"/>
    <mergeCell ref="D17:D18"/>
    <mergeCell ref="E17:E18"/>
    <mergeCell ref="F17:F18"/>
    <mergeCell ref="G17:G18"/>
    <mergeCell ref="H17:H18"/>
    <mergeCell ref="I17:I18"/>
    <mergeCell ref="J17:J18"/>
    <mergeCell ref="N17:N18"/>
    <mergeCell ref="S13:S14"/>
    <mergeCell ref="T13:T14"/>
    <mergeCell ref="U13:U14"/>
    <mergeCell ref="V13:V14"/>
    <mergeCell ref="W13:W14"/>
    <mergeCell ref="X13:X14"/>
    <mergeCell ref="Y13:Y14"/>
    <mergeCell ref="Z13:Z14"/>
    <mergeCell ref="AA13:AA14"/>
    <mergeCell ref="AB13:AB14"/>
    <mergeCell ref="AD13:AD14"/>
    <mergeCell ref="AE13:AE14"/>
    <mergeCell ref="AF13:AF14"/>
    <mergeCell ref="AK13:AK14"/>
    <mergeCell ref="AL13:AL14"/>
    <mergeCell ref="AM13:AM14"/>
    <mergeCell ref="AN13:AN14"/>
    <mergeCell ref="AM17:AM18"/>
    <mergeCell ref="AN17:AN18"/>
    <mergeCell ref="AL15:AL16"/>
    <mergeCell ref="AM15:AM16"/>
    <mergeCell ref="AQ13:AQ14"/>
    <mergeCell ref="AR13:AR14"/>
    <mergeCell ref="AS13:AS14"/>
    <mergeCell ref="AT13:AT14"/>
    <mergeCell ref="AU13:AU14"/>
    <mergeCell ref="AI17:AI18"/>
    <mergeCell ref="AG17:AG18"/>
    <mergeCell ref="AH17:AH18"/>
    <mergeCell ref="AO17:AO18"/>
    <mergeCell ref="AP17:AP18"/>
    <mergeCell ref="AQ17:AQ18"/>
    <mergeCell ref="AR17:AR18"/>
    <mergeCell ref="AS17:AS18"/>
    <mergeCell ref="AT17:AT18"/>
    <mergeCell ref="AU17:AU18"/>
    <mergeCell ref="AJ17:AJ18"/>
    <mergeCell ref="AK17:AK18"/>
    <mergeCell ref="AL17:AL18"/>
    <mergeCell ref="AY13:AY14"/>
    <mergeCell ref="AZ13:AZ14"/>
    <mergeCell ref="BG17:BG18"/>
    <mergeCell ref="A19:A20"/>
    <mergeCell ref="B19:B20"/>
    <mergeCell ref="C19:C20"/>
    <mergeCell ref="D19:D20"/>
    <mergeCell ref="E19:E20"/>
    <mergeCell ref="F19:F20"/>
    <mergeCell ref="G19:G20"/>
    <mergeCell ref="H19:H20"/>
    <mergeCell ref="I19:I20"/>
    <mergeCell ref="Q17:Q18"/>
    <mergeCell ref="R17:R18"/>
    <mergeCell ref="S17:S18"/>
    <mergeCell ref="T17:T18"/>
    <mergeCell ref="U17:U18"/>
    <mergeCell ref="V17:V18"/>
    <mergeCell ref="W17:W18"/>
    <mergeCell ref="X17:X18"/>
    <mergeCell ref="Y17:Y18"/>
    <mergeCell ref="Z17:Z18"/>
    <mergeCell ref="AA17:AA18"/>
    <mergeCell ref="AB17:AB18"/>
    <mergeCell ref="AC17:AC18"/>
    <mergeCell ref="AD17:AD18"/>
    <mergeCell ref="AE17:AE18"/>
    <mergeCell ref="AF17:AF18"/>
    <mergeCell ref="AV17:AV18"/>
    <mergeCell ref="AW17:AW18"/>
    <mergeCell ref="AX17:AX18"/>
    <mergeCell ref="AY17:AY18"/>
    <mergeCell ref="BC19:BC20"/>
    <mergeCell ref="BD19:BD20"/>
    <mergeCell ref="BE19:BE20"/>
    <mergeCell ref="BF19:BF20"/>
    <mergeCell ref="AT19:AT20"/>
    <mergeCell ref="AU19:AU20"/>
    <mergeCell ref="AV19:AV20"/>
    <mergeCell ref="AW19:AW20"/>
    <mergeCell ref="AX19:AX20"/>
    <mergeCell ref="AY19:AY20"/>
    <mergeCell ref="AZ19:AZ20"/>
    <mergeCell ref="BA19:BA20"/>
    <mergeCell ref="BB19:BB20"/>
    <mergeCell ref="BA17:BA18"/>
    <mergeCell ref="BB17:BB18"/>
    <mergeCell ref="BC17:BC18"/>
    <mergeCell ref="BD17:BD18"/>
    <mergeCell ref="BE17:BE18"/>
    <mergeCell ref="BF17:BF18"/>
    <mergeCell ref="AZ17:AZ18"/>
    <mergeCell ref="BG19:BG20"/>
    <mergeCell ref="A21:A22"/>
    <mergeCell ref="B21:B22"/>
    <mergeCell ref="C21:C22"/>
    <mergeCell ref="D21:D22"/>
    <mergeCell ref="E21:E22"/>
    <mergeCell ref="F21:F22"/>
    <mergeCell ref="G21:G22"/>
    <mergeCell ref="J19:J20"/>
    <mergeCell ref="N19:N20"/>
    <mergeCell ref="Q19:Q20"/>
    <mergeCell ref="R19:R20"/>
    <mergeCell ref="S19:S20"/>
    <mergeCell ref="T19:T20"/>
    <mergeCell ref="U19:U20"/>
    <mergeCell ref="V19:V20"/>
    <mergeCell ref="W19:W20"/>
    <mergeCell ref="X19:X20"/>
    <mergeCell ref="Y19:Y20"/>
    <mergeCell ref="Z19:Z20"/>
    <mergeCell ref="AA19:AA20"/>
    <mergeCell ref="AB19:AB20"/>
    <mergeCell ref="AC19:AC20"/>
    <mergeCell ref="AD19:AD20"/>
    <mergeCell ref="AE19:AE20"/>
    <mergeCell ref="AF19:AF20"/>
    <mergeCell ref="AW21:AW22"/>
    <mergeCell ref="AX21:AX22"/>
    <mergeCell ref="AY21:AY22"/>
    <mergeCell ref="AZ21:AZ22"/>
    <mergeCell ref="BA21:BA22"/>
    <mergeCell ref="BB21:BB22"/>
    <mergeCell ref="AI19:AI20"/>
    <mergeCell ref="AJ19:AJ20"/>
    <mergeCell ref="A23:A24"/>
    <mergeCell ref="B23:B24"/>
    <mergeCell ref="C23:C24"/>
    <mergeCell ref="D23:D24"/>
    <mergeCell ref="E23:E24"/>
    <mergeCell ref="AE21:AE22"/>
    <mergeCell ref="AM19:AM20"/>
    <mergeCell ref="AN19:AN20"/>
    <mergeCell ref="AO19:AO20"/>
    <mergeCell ref="AP19:AP20"/>
    <mergeCell ref="AQ19:AQ20"/>
    <mergeCell ref="AR19:AR20"/>
    <mergeCell ref="AS19:AS20"/>
    <mergeCell ref="F23:F24"/>
    <mergeCell ref="G23:G24"/>
    <mergeCell ref="H23:H24"/>
    <mergeCell ref="I23:I24"/>
    <mergeCell ref="J23:J24"/>
    <mergeCell ref="N23:N24"/>
    <mergeCell ref="Q23:Q24"/>
    <mergeCell ref="R23:R24"/>
    <mergeCell ref="S23:S24"/>
    <mergeCell ref="T23:T24"/>
    <mergeCell ref="U23:U24"/>
    <mergeCell ref="V23:V24"/>
    <mergeCell ref="AF21:AF22"/>
    <mergeCell ref="AG21:AG22"/>
    <mergeCell ref="AH21:AH22"/>
    <mergeCell ref="AK19:AK20"/>
    <mergeCell ref="AL19:AL20"/>
    <mergeCell ref="Y21:Y22"/>
    <mergeCell ref="Z21:Z22"/>
    <mergeCell ref="AA21:AA22"/>
    <mergeCell ref="H21:H22"/>
    <mergeCell ref="I21:I22"/>
    <mergeCell ref="J21:J22"/>
    <mergeCell ref="N21:N22"/>
    <mergeCell ref="Q21:Q22"/>
    <mergeCell ref="R21:R22"/>
    <mergeCell ref="S21:S22"/>
    <mergeCell ref="T21:T22"/>
    <mergeCell ref="U21:U22"/>
    <mergeCell ref="V21:V22"/>
    <mergeCell ref="W21:W22"/>
    <mergeCell ref="X21:X22"/>
    <mergeCell ref="AG19:AG20"/>
    <mergeCell ref="AH19:AH20"/>
    <mergeCell ref="BC21:BC22"/>
    <mergeCell ref="BD21:BD22"/>
    <mergeCell ref="BE21:BE22"/>
    <mergeCell ref="BF21:BF22"/>
    <mergeCell ref="BG21:BG22"/>
    <mergeCell ref="AB21:AB22"/>
    <mergeCell ref="AC21:AC22"/>
    <mergeCell ref="AD21:AD22"/>
    <mergeCell ref="AK21:AK22"/>
    <mergeCell ref="AL21:AL22"/>
    <mergeCell ref="AM21:AM22"/>
    <mergeCell ref="AN21:AN22"/>
    <mergeCell ref="AO21:AO22"/>
    <mergeCell ref="AP21:AP22"/>
    <mergeCell ref="AQ21:AQ22"/>
    <mergeCell ref="AR21:AR22"/>
    <mergeCell ref="AS21:AS22"/>
    <mergeCell ref="AT21:AT22"/>
    <mergeCell ref="AU21:AU22"/>
    <mergeCell ref="AV21:AV22"/>
    <mergeCell ref="AI21:AI22"/>
    <mergeCell ref="AJ21:AJ22"/>
    <mergeCell ref="AY23:AY24"/>
    <mergeCell ref="AZ23:AZ24"/>
    <mergeCell ref="BA23:BA24"/>
    <mergeCell ref="BB23:BB24"/>
    <mergeCell ref="BC23:BC24"/>
    <mergeCell ref="BD23:BD24"/>
    <mergeCell ref="BE23:BE24"/>
    <mergeCell ref="BF23:BF24"/>
    <mergeCell ref="BG23:BG24"/>
    <mergeCell ref="A25:A26"/>
    <mergeCell ref="B25:B26"/>
    <mergeCell ref="C25:C26"/>
    <mergeCell ref="D25:D26"/>
    <mergeCell ref="E25:E26"/>
    <mergeCell ref="F25:F26"/>
    <mergeCell ref="G25:G26"/>
    <mergeCell ref="H25:H26"/>
    <mergeCell ref="I25:I26"/>
    <mergeCell ref="J25:J26"/>
    <mergeCell ref="N25:N26"/>
    <mergeCell ref="Q25:Q26"/>
    <mergeCell ref="R25:R26"/>
    <mergeCell ref="S25:S26"/>
    <mergeCell ref="T25:T26"/>
    <mergeCell ref="W23:W24"/>
    <mergeCell ref="X23:X24"/>
    <mergeCell ref="Y23:Y24"/>
    <mergeCell ref="Z23:Z24"/>
    <mergeCell ref="AA23:AA24"/>
    <mergeCell ref="AB23:AB24"/>
    <mergeCell ref="AC23:AC24"/>
    <mergeCell ref="AD23:AD24"/>
    <mergeCell ref="AE25:AE26"/>
    <mergeCell ref="AF25:AF26"/>
    <mergeCell ref="AQ23:AQ24"/>
    <mergeCell ref="AR23:AR24"/>
    <mergeCell ref="AQ25:AQ26"/>
    <mergeCell ref="AR25:AR26"/>
    <mergeCell ref="AG25:AG26"/>
    <mergeCell ref="AH25:AH26"/>
    <mergeCell ref="AI25:AI26"/>
    <mergeCell ref="AJ25:AJ26"/>
    <mergeCell ref="AK25:AK26"/>
    <mergeCell ref="AL25:AL26"/>
    <mergeCell ref="AU23:AU24"/>
    <mergeCell ref="AV23:AV24"/>
    <mergeCell ref="AW23:AW24"/>
    <mergeCell ref="AX23:AX24"/>
    <mergeCell ref="AE23:AE24"/>
    <mergeCell ref="AF23:AF24"/>
    <mergeCell ref="AG23:AG24"/>
    <mergeCell ref="AH23:AH24"/>
    <mergeCell ref="AS23:AS24"/>
    <mergeCell ref="AT23:AT24"/>
    <mergeCell ref="AI23:AI24"/>
    <mergeCell ref="AJ23:AJ24"/>
    <mergeCell ref="AK23:AK24"/>
    <mergeCell ref="AL23:AL24"/>
    <mergeCell ref="AM23:AM24"/>
    <mergeCell ref="AN23:AN24"/>
    <mergeCell ref="AO23:AO24"/>
    <mergeCell ref="AP23:AP24"/>
    <mergeCell ref="AX25:AX26"/>
    <mergeCell ref="AM25:AM26"/>
    <mergeCell ref="AZ25:AZ26"/>
    <mergeCell ref="BA25:BA26"/>
    <mergeCell ref="BB25:BB26"/>
    <mergeCell ref="BC25:BC26"/>
    <mergeCell ref="BD25:BD26"/>
    <mergeCell ref="BE25:BE26"/>
    <mergeCell ref="BF25:BF26"/>
    <mergeCell ref="BG25:BG26"/>
    <mergeCell ref="A27:A28"/>
    <mergeCell ref="B27:B28"/>
    <mergeCell ref="C27:C28"/>
    <mergeCell ref="D27:D28"/>
    <mergeCell ref="E27:E28"/>
    <mergeCell ref="F27:F28"/>
    <mergeCell ref="G27:G28"/>
    <mergeCell ref="H27:H28"/>
    <mergeCell ref="I27:I28"/>
    <mergeCell ref="J27:J28"/>
    <mergeCell ref="N27:N28"/>
    <mergeCell ref="Q27:Q28"/>
    <mergeCell ref="R27:R28"/>
    <mergeCell ref="U25:U26"/>
    <mergeCell ref="V25:V26"/>
    <mergeCell ref="W25:W26"/>
    <mergeCell ref="X25:X26"/>
    <mergeCell ref="Y25:Y26"/>
    <mergeCell ref="Z25:Z26"/>
    <mergeCell ref="AA25:AA26"/>
    <mergeCell ref="AB25:AB26"/>
    <mergeCell ref="AC25:AC26"/>
    <mergeCell ref="AE27:AE28"/>
    <mergeCell ref="AD25:AD26"/>
    <mergeCell ref="AN25:AN26"/>
    <mergeCell ref="AO25:AO26"/>
    <mergeCell ref="AP25:AP26"/>
    <mergeCell ref="AO27:AO28"/>
    <mergeCell ref="AP27:AP28"/>
    <mergeCell ref="AS25:AS26"/>
    <mergeCell ref="AT25:AT26"/>
    <mergeCell ref="AU25:AU26"/>
    <mergeCell ref="AV25:AV26"/>
    <mergeCell ref="AW25:AW26"/>
    <mergeCell ref="AY27:AY28"/>
    <mergeCell ref="AY25:AY26"/>
    <mergeCell ref="AK27:AK28"/>
    <mergeCell ref="AL27:AL28"/>
    <mergeCell ref="AM27:AM28"/>
    <mergeCell ref="AN27:AN28"/>
    <mergeCell ref="AQ27:AQ28"/>
    <mergeCell ref="AR27:AR28"/>
    <mergeCell ref="AS27:AS28"/>
    <mergeCell ref="AT27:AT28"/>
    <mergeCell ref="AU27:AU28"/>
    <mergeCell ref="AV27:AV28"/>
    <mergeCell ref="AW27:AW28"/>
    <mergeCell ref="AX27:AX28"/>
    <mergeCell ref="BG27:BG28"/>
    <mergeCell ref="A29:A30"/>
    <mergeCell ref="B29:B30"/>
    <mergeCell ref="C29:C30"/>
    <mergeCell ref="D29:D30"/>
    <mergeCell ref="E29:E30"/>
    <mergeCell ref="F29:F30"/>
    <mergeCell ref="G29:G30"/>
    <mergeCell ref="H29:H30"/>
    <mergeCell ref="I29:I30"/>
    <mergeCell ref="J29:J30"/>
    <mergeCell ref="N29:N30"/>
    <mergeCell ref="S27:S28"/>
    <mergeCell ref="T27:T28"/>
    <mergeCell ref="U27:U28"/>
    <mergeCell ref="V27:V28"/>
    <mergeCell ref="W27:W28"/>
    <mergeCell ref="X27:X28"/>
    <mergeCell ref="Y27:Y28"/>
    <mergeCell ref="Z27:Z28"/>
    <mergeCell ref="AA27:AA28"/>
    <mergeCell ref="AB27:AB28"/>
    <mergeCell ref="AC27:AC28"/>
    <mergeCell ref="AD27:AD28"/>
    <mergeCell ref="AF29:AF30"/>
    <mergeCell ref="AF27:AF28"/>
    <mergeCell ref="AG27:AG28"/>
    <mergeCell ref="AH27:AH28"/>
    <mergeCell ref="AI27:AI28"/>
    <mergeCell ref="AJ27:AJ28"/>
    <mergeCell ref="AZ27:AZ28"/>
    <mergeCell ref="BG29:BG30"/>
    <mergeCell ref="A31:A32"/>
    <mergeCell ref="B31:B32"/>
    <mergeCell ref="C31:C32"/>
    <mergeCell ref="D31:D32"/>
    <mergeCell ref="E31:E32"/>
    <mergeCell ref="F31:F32"/>
    <mergeCell ref="G31:G32"/>
    <mergeCell ref="H31:H32"/>
    <mergeCell ref="I31:I32"/>
    <mergeCell ref="Q29:Q30"/>
    <mergeCell ref="R29:R30"/>
    <mergeCell ref="S29:S30"/>
    <mergeCell ref="T29:T30"/>
    <mergeCell ref="U29:U30"/>
    <mergeCell ref="V29:V30"/>
    <mergeCell ref="W29:W30"/>
    <mergeCell ref="BA27:BA28"/>
    <mergeCell ref="AL29:AL30"/>
    <mergeCell ref="BB27:BB28"/>
    <mergeCell ref="X29:X30"/>
    <mergeCell ref="Y29:Y30"/>
    <mergeCell ref="Z29:Z30"/>
    <mergeCell ref="AA29:AA30"/>
    <mergeCell ref="AB29:AB30"/>
    <mergeCell ref="AC29:AC30"/>
    <mergeCell ref="AD29:AD30"/>
    <mergeCell ref="AE29:AE30"/>
    <mergeCell ref="BC27:BC28"/>
    <mergeCell ref="BD27:BD28"/>
    <mergeCell ref="BE27:BE28"/>
    <mergeCell ref="BF27:BF28"/>
    <mergeCell ref="AI29:AI30"/>
    <mergeCell ref="AG29:AG30"/>
    <mergeCell ref="AH29:AH30"/>
    <mergeCell ref="AO29:AO30"/>
    <mergeCell ref="AP29:AP30"/>
    <mergeCell ref="AQ29:AQ30"/>
    <mergeCell ref="AR29:AR30"/>
    <mergeCell ref="AS29:AS30"/>
    <mergeCell ref="AT29:AT30"/>
    <mergeCell ref="AM29:AM30"/>
    <mergeCell ref="AN29:AN30"/>
    <mergeCell ref="AU29:AU30"/>
    <mergeCell ref="AV29:AV30"/>
    <mergeCell ref="AW29:AW30"/>
    <mergeCell ref="AX29:AX30"/>
    <mergeCell ref="AY29:AY30"/>
    <mergeCell ref="AZ29:AZ30"/>
    <mergeCell ref="AJ29:AJ30"/>
    <mergeCell ref="AK29:AK30"/>
    <mergeCell ref="BE31:BE32"/>
    <mergeCell ref="BF31:BF32"/>
    <mergeCell ref="AT31:AT32"/>
    <mergeCell ref="AU31:AU32"/>
    <mergeCell ref="AV31:AV32"/>
    <mergeCell ref="AW31:AW32"/>
    <mergeCell ref="AX31:AX32"/>
    <mergeCell ref="AY31:AY32"/>
    <mergeCell ref="AZ31:AZ32"/>
    <mergeCell ref="BA31:BA32"/>
    <mergeCell ref="BB31:BB32"/>
    <mergeCell ref="BA29:BA30"/>
    <mergeCell ref="BB29:BB30"/>
    <mergeCell ref="BC29:BC30"/>
    <mergeCell ref="BD29:BD30"/>
    <mergeCell ref="BE29:BE30"/>
    <mergeCell ref="BF29:BF30"/>
    <mergeCell ref="BG31:BG32"/>
    <mergeCell ref="A33:A34"/>
    <mergeCell ref="B33:B34"/>
    <mergeCell ref="C33:C34"/>
    <mergeCell ref="D33:D34"/>
    <mergeCell ref="E33:E34"/>
    <mergeCell ref="F33:F34"/>
    <mergeCell ref="G33:G34"/>
    <mergeCell ref="J31:J32"/>
    <mergeCell ref="N31:N32"/>
    <mergeCell ref="Q31:Q32"/>
    <mergeCell ref="R31:R32"/>
    <mergeCell ref="S31:S32"/>
    <mergeCell ref="T31:T32"/>
    <mergeCell ref="U31:U32"/>
    <mergeCell ref="V31:V32"/>
    <mergeCell ref="W31:W32"/>
    <mergeCell ref="X31:X32"/>
    <mergeCell ref="Y31:Y32"/>
    <mergeCell ref="Z31:Z32"/>
    <mergeCell ref="AA31:AA32"/>
    <mergeCell ref="AB31:AB32"/>
    <mergeCell ref="AC31:AC32"/>
    <mergeCell ref="AD31:AD32"/>
    <mergeCell ref="AE31:AE32"/>
    <mergeCell ref="AF31:AF32"/>
    <mergeCell ref="AW33:AW34"/>
    <mergeCell ref="AX33:AX34"/>
    <mergeCell ref="AY33:AY34"/>
    <mergeCell ref="AZ33:AZ34"/>
    <mergeCell ref="BA33:BA34"/>
    <mergeCell ref="BB33:BB34"/>
    <mergeCell ref="A35:A36"/>
    <mergeCell ref="B35:B36"/>
    <mergeCell ref="C35:C36"/>
    <mergeCell ref="D35:D36"/>
    <mergeCell ref="E35:E36"/>
    <mergeCell ref="AE33:AE34"/>
    <mergeCell ref="AM31:AM32"/>
    <mergeCell ref="AN31:AN32"/>
    <mergeCell ref="AO31:AO32"/>
    <mergeCell ref="AP31:AP32"/>
    <mergeCell ref="AQ31:AQ32"/>
    <mergeCell ref="AR31:AR32"/>
    <mergeCell ref="AS31:AS32"/>
    <mergeCell ref="F35:F36"/>
    <mergeCell ref="G35:G36"/>
    <mergeCell ref="H35:H36"/>
    <mergeCell ref="I35:I36"/>
    <mergeCell ref="J35:J36"/>
    <mergeCell ref="N35:N36"/>
    <mergeCell ref="Q35:Q36"/>
    <mergeCell ref="R35:R36"/>
    <mergeCell ref="S35:S36"/>
    <mergeCell ref="T35:T36"/>
    <mergeCell ref="U35:U36"/>
    <mergeCell ref="V35:V36"/>
    <mergeCell ref="AF33:AF34"/>
    <mergeCell ref="AG33:AG34"/>
    <mergeCell ref="AH33:AH34"/>
    <mergeCell ref="AK31:AK32"/>
    <mergeCell ref="AL31:AL32"/>
    <mergeCell ref="Y33:Y34"/>
    <mergeCell ref="Z33:Z34"/>
    <mergeCell ref="AA33:AA34"/>
    <mergeCell ref="H33:H34"/>
    <mergeCell ref="I33:I34"/>
    <mergeCell ref="J33:J34"/>
    <mergeCell ref="N33:N34"/>
    <mergeCell ref="Q33:Q34"/>
    <mergeCell ref="R33:R34"/>
    <mergeCell ref="S33:S34"/>
    <mergeCell ref="T33:T34"/>
    <mergeCell ref="U33:U34"/>
    <mergeCell ref="V33:V34"/>
    <mergeCell ref="W33:W34"/>
    <mergeCell ref="X33:X34"/>
    <mergeCell ref="AG31:AG32"/>
    <mergeCell ref="AH31:AH32"/>
    <mergeCell ref="BC33:BC34"/>
    <mergeCell ref="BD33:BD34"/>
    <mergeCell ref="BD31:BD32"/>
    <mergeCell ref="BC31:BC32"/>
    <mergeCell ref="AI31:AI32"/>
    <mergeCell ref="AJ31:AJ32"/>
    <mergeCell ref="BE33:BE34"/>
    <mergeCell ref="BF33:BF34"/>
    <mergeCell ref="BG33:BG34"/>
    <mergeCell ref="AB33:AB34"/>
    <mergeCell ref="AC33:AC34"/>
    <mergeCell ref="AD33:AD34"/>
    <mergeCell ref="AK33:AK34"/>
    <mergeCell ref="AL33:AL34"/>
    <mergeCell ref="AM33:AM34"/>
    <mergeCell ref="AN33:AN34"/>
    <mergeCell ref="AO33:AO34"/>
    <mergeCell ref="AP33:AP34"/>
    <mergeCell ref="AQ33:AQ34"/>
    <mergeCell ref="AR33:AR34"/>
    <mergeCell ref="AS33:AS34"/>
    <mergeCell ref="AT33:AT34"/>
    <mergeCell ref="AU33:AU34"/>
    <mergeCell ref="AV33:AV34"/>
    <mergeCell ref="AI33:AI34"/>
    <mergeCell ref="AJ33:AJ34"/>
    <mergeCell ref="AY35:AY36"/>
    <mergeCell ref="AZ35:AZ36"/>
    <mergeCell ref="BA35:BA36"/>
    <mergeCell ref="BB35:BB36"/>
    <mergeCell ref="BC35:BC36"/>
    <mergeCell ref="BD35:BD36"/>
    <mergeCell ref="BE35:BE36"/>
    <mergeCell ref="BF35:BF36"/>
    <mergeCell ref="BG35:BG36"/>
    <mergeCell ref="A37:A38"/>
    <mergeCell ref="B37:B38"/>
    <mergeCell ref="C37:C38"/>
    <mergeCell ref="D37:D38"/>
    <mergeCell ref="E37:E38"/>
    <mergeCell ref="F37:F38"/>
    <mergeCell ref="G37:G38"/>
    <mergeCell ref="H37:H38"/>
    <mergeCell ref="I37:I38"/>
    <mergeCell ref="J37:J38"/>
    <mergeCell ref="N37:N38"/>
    <mergeCell ref="Q37:Q38"/>
    <mergeCell ref="R37:R38"/>
    <mergeCell ref="S37:S38"/>
    <mergeCell ref="T37:T38"/>
    <mergeCell ref="W35:W36"/>
    <mergeCell ref="X35:X36"/>
    <mergeCell ref="Y35:Y36"/>
    <mergeCell ref="Z35:Z36"/>
    <mergeCell ref="AA35:AA36"/>
    <mergeCell ref="AB35:AB36"/>
    <mergeCell ref="AC35:AC36"/>
    <mergeCell ref="AD35:AD36"/>
    <mergeCell ref="AQ35:AQ36"/>
    <mergeCell ref="AR35:AR36"/>
    <mergeCell ref="AQ37:AQ38"/>
    <mergeCell ref="AR37:AR38"/>
    <mergeCell ref="AG37:AG38"/>
    <mergeCell ref="AH37:AH38"/>
    <mergeCell ref="AI37:AI38"/>
    <mergeCell ref="AJ37:AJ38"/>
    <mergeCell ref="AK37:AK38"/>
    <mergeCell ref="AL37:AL38"/>
    <mergeCell ref="AU35:AU36"/>
    <mergeCell ref="AV35:AV36"/>
    <mergeCell ref="AW35:AW36"/>
    <mergeCell ref="AX35:AX36"/>
    <mergeCell ref="AE35:AE36"/>
    <mergeCell ref="AF35:AF36"/>
    <mergeCell ref="AG35:AG36"/>
    <mergeCell ref="AH35:AH36"/>
    <mergeCell ref="AS35:AS36"/>
    <mergeCell ref="AT35:AT36"/>
    <mergeCell ref="AI35:AI36"/>
    <mergeCell ref="AJ35:AJ36"/>
    <mergeCell ref="AK35:AK36"/>
    <mergeCell ref="AL35:AL36"/>
    <mergeCell ref="AM35:AM36"/>
    <mergeCell ref="AN35:AN36"/>
    <mergeCell ref="AO35:AO36"/>
    <mergeCell ref="AP35:AP36"/>
    <mergeCell ref="AX37:AX38"/>
    <mergeCell ref="AM37:AM38"/>
    <mergeCell ref="AS37:AS38"/>
    <mergeCell ref="AT37:AT38"/>
    <mergeCell ref="BG37:BG38"/>
    <mergeCell ref="A39:A40"/>
    <mergeCell ref="B39:B40"/>
    <mergeCell ref="C39:C40"/>
    <mergeCell ref="D39:D40"/>
    <mergeCell ref="E39:E40"/>
    <mergeCell ref="F39:F40"/>
    <mergeCell ref="G39:G40"/>
    <mergeCell ref="H39:H40"/>
    <mergeCell ref="I39:I40"/>
    <mergeCell ref="J39:J40"/>
    <mergeCell ref="N39:N40"/>
    <mergeCell ref="Q39:Q40"/>
    <mergeCell ref="R39:R40"/>
    <mergeCell ref="U37:U38"/>
    <mergeCell ref="V37:V38"/>
    <mergeCell ref="W37:W38"/>
    <mergeCell ref="X37:X38"/>
    <mergeCell ref="Y37:Y38"/>
    <mergeCell ref="Z37:Z38"/>
    <mergeCell ref="AA37:AA38"/>
    <mergeCell ref="AB37:AB38"/>
    <mergeCell ref="AC37:AC38"/>
    <mergeCell ref="AE39:AE40"/>
    <mergeCell ref="AD37:AD38"/>
    <mergeCell ref="AE37:AE38"/>
    <mergeCell ref="AF37:AF38"/>
    <mergeCell ref="AN37:AN38"/>
    <mergeCell ref="AO37:AO38"/>
    <mergeCell ref="AP37:AP38"/>
    <mergeCell ref="AO39:AO40"/>
    <mergeCell ref="AU37:AU38"/>
    <mergeCell ref="AV37:AV38"/>
    <mergeCell ref="AW37:AW38"/>
    <mergeCell ref="AY39:AY40"/>
    <mergeCell ref="AY37:AY38"/>
    <mergeCell ref="AK39:AK40"/>
    <mergeCell ref="AL39:AL40"/>
    <mergeCell ref="AM39:AM40"/>
    <mergeCell ref="AN39:AN40"/>
    <mergeCell ref="BE39:BE40"/>
    <mergeCell ref="AZ37:AZ38"/>
    <mergeCell ref="BA37:BA38"/>
    <mergeCell ref="BB37:BB38"/>
    <mergeCell ref="BC37:BC38"/>
    <mergeCell ref="BD37:BD38"/>
    <mergeCell ref="BE37:BE38"/>
    <mergeCell ref="BF39:BF40"/>
    <mergeCell ref="AQ39:AQ40"/>
    <mergeCell ref="AR39:AR40"/>
    <mergeCell ref="AS39:AS40"/>
    <mergeCell ref="AT39:AT40"/>
    <mergeCell ref="AU39:AU40"/>
    <mergeCell ref="AV39:AV40"/>
    <mergeCell ref="AW39:AW40"/>
    <mergeCell ref="AX39:AX40"/>
    <mergeCell ref="BF37:BF38"/>
    <mergeCell ref="BG39:BG40"/>
    <mergeCell ref="A41:A42"/>
    <mergeCell ref="B41:B42"/>
    <mergeCell ref="C41:C42"/>
    <mergeCell ref="D41:D42"/>
    <mergeCell ref="E41:E42"/>
    <mergeCell ref="F41:F42"/>
    <mergeCell ref="G41:G42"/>
    <mergeCell ref="H41:H42"/>
    <mergeCell ref="I41:I42"/>
    <mergeCell ref="J41:J42"/>
    <mergeCell ref="N41:N42"/>
    <mergeCell ref="S39:S40"/>
    <mergeCell ref="T39:T40"/>
    <mergeCell ref="U39:U40"/>
    <mergeCell ref="V39:V40"/>
    <mergeCell ref="W39:W40"/>
    <mergeCell ref="X39:X40"/>
    <mergeCell ref="Y39:Y40"/>
    <mergeCell ref="Z39:Z40"/>
    <mergeCell ref="AA39:AA40"/>
    <mergeCell ref="AB39:AB40"/>
    <mergeCell ref="AC39:AC40"/>
    <mergeCell ref="AD39:AD40"/>
    <mergeCell ref="AF41:AF42"/>
    <mergeCell ref="AF39:AF40"/>
    <mergeCell ref="AG39:AG40"/>
    <mergeCell ref="AH39:AH40"/>
    <mergeCell ref="AI39:AI40"/>
    <mergeCell ref="AJ39:AJ40"/>
    <mergeCell ref="AM41:AM42"/>
    <mergeCell ref="AN41:AN42"/>
    <mergeCell ref="AZ41:AZ42"/>
    <mergeCell ref="AJ41:AJ42"/>
    <mergeCell ref="AK41:AK42"/>
    <mergeCell ref="AL41:AL42"/>
    <mergeCell ref="AZ39:AZ40"/>
    <mergeCell ref="BC41:BC42"/>
    <mergeCell ref="BD41:BD42"/>
    <mergeCell ref="AQ41:AQ42"/>
    <mergeCell ref="AR41:AR42"/>
    <mergeCell ref="AS41:AS42"/>
    <mergeCell ref="AT41:AT42"/>
    <mergeCell ref="AU41:AU42"/>
    <mergeCell ref="AV41:AV42"/>
    <mergeCell ref="AW41:AW42"/>
    <mergeCell ref="AX41:AX42"/>
    <mergeCell ref="AY41:AY42"/>
    <mergeCell ref="BA41:BA42"/>
    <mergeCell ref="BB41:BB42"/>
    <mergeCell ref="BA39:BA40"/>
    <mergeCell ref="BB39:BB40"/>
    <mergeCell ref="BC39:BC40"/>
    <mergeCell ref="BD39:BD40"/>
    <mergeCell ref="AP39:AP40"/>
    <mergeCell ref="BE41:BE42"/>
    <mergeCell ref="BF41:BF42"/>
    <mergeCell ref="BG41:BG42"/>
    <mergeCell ref="A43:A44"/>
    <mergeCell ref="B43:B44"/>
    <mergeCell ref="C43:C44"/>
    <mergeCell ref="D43:D44"/>
    <mergeCell ref="E43:E44"/>
    <mergeCell ref="F43:F44"/>
    <mergeCell ref="G43:G44"/>
    <mergeCell ref="H43:H44"/>
    <mergeCell ref="I43:I44"/>
    <mergeCell ref="Q41:Q42"/>
    <mergeCell ref="R41:R42"/>
    <mergeCell ref="S41:S42"/>
    <mergeCell ref="T41:T42"/>
    <mergeCell ref="U41:U42"/>
    <mergeCell ref="V41:V42"/>
    <mergeCell ref="W41:W42"/>
    <mergeCell ref="X41:X42"/>
    <mergeCell ref="Y41:Y42"/>
    <mergeCell ref="Z41:Z42"/>
    <mergeCell ref="AA41:AA42"/>
    <mergeCell ref="AB41:AB42"/>
    <mergeCell ref="AC41:AC42"/>
    <mergeCell ref="AD41:AD42"/>
    <mergeCell ref="AE41:AE42"/>
    <mergeCell ref="AI41:AI42"/>
    <mergeCell ref="AG41:AG42"/>
    <mergeCell ref="AH41:AH42"/>
    <mergeCell ref="AO41:AO42"/>
    <mergeCell ref="AP41:AP42"/>
    <mergeCell ref="BG43:BG44"/>
    <mergeCell ref="A45:A46"/>
    <mergeCell ref="B45:B46"/>
    <mergeCell ref="C45:C46"/>
    <mergeCell ref="D45:D46"/>
    <mergeCell ref="E45:E46"/>
    <mergeCell ref="F45:F46"/>
    <mergeCell ref="G45:G46"/>
    <mergeCell ref="J43:J44"/>
    <mergeCell ref="N43:N44"/>
    <mergeCell ref="Q43:Q44"/>
    <mergeCell ref="R43:R44"/>
    <mergeCell ref="S43:S44"/>
    <mergeCell ref="T43:T44"/>
    <mergeCell ref="U43:U44"/>
    <mergeCell ref="V43:V44"/>
    <mergeCell ref="W43:W44"/>
    <mergeCell ref="X43:X44"/>
    <mergeCell ref="Y43:Y44"/>
    <mergeCell ref="AI43:AI44"/>
    <mergeCell ref="AJ43:AJ44"/>
    <mergeCell ref="BE45:BE46"/>
    <mergeCell ref="BF45:BF46"/>
    <mergeCell ref="AS45:AS46"/>
    <mergeCell ref="AT45:AT46"/>
    <mergeCell ref="AU45:AU46"/>
    <mergeCell ref="AV45:AV46"/>
    <mergeCell ref="AM43:AM44"/>
    <mergeCell ref="AN43:AN44"/>
    <mergeCell ref="AO43:AO44"/>
    <mergeCell ref="AP43:AP44"/>
    <mergeCell ref="AQ43:AQ44"/>
    <mergeCell ref="AR43:AR44"/>
    <mergeCell ref="AS43:AS44"/>
    <mergeCell ref="AT43:AT44"/>
    <mergeCell ref="AU43:AU44"/>
    <mergeCell ref="AV43:AV44"/>
    <mergeCell ref="AW43:AW44"/>
    <mergeCell ref="AX43:AX44"/>
    <mergeCell ref="AY43:AY44"/>
    <mergeCell ref="AZ43:AZ44"/>
    <mergeCell ref="BA43:BA44"/>
    <mergeCell ref="AK43:AK44"/>
    <mergeCell ref="AL43:AL44"/>
    <mergeCell ref="BB43:BB44"/>
    <mergeCell ref="BC43:BC44"/>
    <mergeCell ref="BD43:BD44"/>
    <mergeCell ref="BE43:BE44"/>
    <mergeCell ref="BF43:BF44"/>
    <mergeCell ref="AI45:AI46"/>
    <mergeCell ref="AJ45:AJ46"/>
    <mergeCell ref="AK45:AK46"/>
    <mergeCell ref="AL45:AL46"/>
    <mergeCell ref="AM45:AM46"/>
    <mergeCell ref="AN45:AN46"/>
    <mergeCell ref="AO45:AO46"/>
    <mergeCell ref="AP45:AP46"/>
    <mergeCell ref="BG45:BG46"/>
    <mergeCell ref="A47:I47"/>
    <mergeCell ref="AW45:AW46"/>
    <mergeCell ref="AX45:AX46"/>
    <mergeCell ref="AY45:AY46"/>
    <mergeCell ref="AZ45:AZ46"/>
    <mergeCell ref="BA45:BA46"/>
    <mergeCell ref="BB45:BB46"/>
    <mergeCell ref="AQ45:AQ46"/>
    <mergeCell ref="AR45:AR46"/>
    <mergeCell ref="Z43:Z44"/>
    <mergeCell ref="AA43:AA44"/>
    <mergeCell ref="AB43:AB44"/>
    <mergeCell ref="AC43:AC44"/>
    <mergeCell ref="AD43:AD44"/>
    <mergeCell ref="AE43:AE44"/>
    <mergeCell ref="AF43:AF44"/>
    <mergeCell ref="AG43:AG44"/>
    <mergeCell ref="AH43:AH44"/>
    <mergeCell ref="A48:A49"/>
    <mergeCell ref="B48:B49"/>
    <mergeCell ref="C48:C49"/>
    <mergeCell ref="D48:D49"/>
    <mergeCell ref="E48:E49"/>
    <mergeCell ref="F48:F49"/>
    <mergeCell ref="G48:G49"/>
    <mergeCell ref="H48:H49"/>
    <mergeCell ref="I48:I49"/>
    <mergeCell ref="J48:J49"/>
    <mergeCell ref="N48:N49"/>
    <mergeCell ref="Q48:Q49"/>
    <mergeCell ref="Y45:Y46"/>
    <mergeCell ref="Z45:Z46"/>
    <mergeCell ref="AA45:AA46"/>
    <mergeCell ref="AB45:AB46"/>
    <mergeCell ref="U48:U49"/>
    <mergeCell ref="V48:V49"/>
    <mergeCell ref="W48:W49"/>
    <mergeCell ref="X48:X49"/>
    <mergeCell ref="Y48:Y49"/>
    <mergeCell ref="Z48:Z49"/>
    <mergeCell ref="AT48:AT49"/>
    <mergeCell ref="AU48:AU49"/>
    <mergeCell ref="BD48:BD49"/>
    <mergeCell ref="BE48:BE49"/>
    <mergeCell ref="BF48:BF49"/>
    <mergeCell ref="BG48:BG49"/>
    <mergeCell ref="AV48:AV49"/>
    <mergeCell ref="AW48:AW49"/>
    <mergeCell ref="AX48:AX49"/>
    <mergeCell ref="AY48:AY49"/>
    <mergeCell ref="AZ48:AZ49"/>
    <mergeCell ref="BA48:BA49"/>
    <mergeCell ref="H45:H46"/>
    <mergeCell ref="I45:I46"/>
    <mergeCell ref="J45:J46"/>
    <mergeCell ref="N45:N46"/>
    <mergeCell ref="Q45:Q46"/>
    <mergeCell ref="R45:R46"/>
    <mergeCell ref="BC45:BC46"/>
    <mergeCell ref="BD45:BD46"/>
    <mergeCell ref="AC45:AC46"/>
    <mergeCell ref="AD45:AD46"/>
    <mergeCell ref="S45:S46"/>
    <mergeCell ref="T45:T46"/>
    <mergeCell ref="U45:U46"/>
    <mergeCell ref="V45:V46"/>
    <mergeCell ref="W45:W46"/>
    <mergeCell ref="X45:X46"/>
    <mergeCell ref="AE45:AE46"/>
    <mergeCell ref="AF45:AF46"/>
    <mergeCell ref="AG45:AG46"/>
    <mergeCell ref="AH45:AH46"/>
    <mergeCell ref="B50:B51"/>
    <mergeCell ref="C50:C51"/>
    <mergeCell ref="D50:D51"/>
    <mergeCell ref="E50:E51"/>
    <mergeCell ref="F50:F51"/>
    <mergeCell ref="U50:U51"/>
    <mergeCell ref="V50:V51"/>
    <mergeCell ref="W50:W51"/>
    <mergeCell ref="G50:G51"/>
    <mergeCell ref="H50:H51"/>
    <mergeCell ref="I50:I51"/>
    <mergeCell ref="J50:J51"/>
    <mergeCell ref="N50:N51"/>
    <mergeCell ref="Q50:Q51"/>
    <mergeCell ref="R50:R51"/>
    <mergeCell ref="AJ48:AJ49"/>
    <mergeCell ref="AK48:AK49"/>
    <mergeCell ref="S50:S51"/>
    <mergeCell ref="T50:T51"/>
    <mergeCell ref="BG50:BG51"/>
    <mergeCell ref="AV50:AV51"/>
    <mergeCell ref="AW50:AW51"/>
    <mergeCell ref="AX50:AX51"/>
    <mergeCell ref="AY50:AY51"/>
    <mergeCell ref="AZ50:AZ51"/>
    <mergeCell ref="BA50:BA51"/>
    <mergeCell ref="BB50:BB51"/>
    <mergeCell ref="BC50:BC51"/>
    <mergeCell ref="BD50:BD51"/>
    <mergeCell ref="AA48:AA49"/>
    <mergeCell ref="AB48:AB49"/>
    <mergeCell ref="AC48:AC49"/>
    <mergeCell ref="R48:R49"/>
    <mergeCell ref="S48:S49"/>
    <mergeCell ref="T48:T49"/>
    <mergeCell ref="BB48:BB49"/>
    <mergeCell ref="BC48:BC49"/>
    <mergeCell ref="AD48:AD49"/>
    <mergeCell ref="AE48:AE49"/>
    <mergeCell ref="AF48:AF49"/>
    <mergeCell ref="AG48:AG49"/>
    <mergeCell ref="AH48:AH49"/>
    <mergeCell ref="AI48:AI49"/>
    <mergeCell ref="AL48:AL49"/>
    <mergeCell ref="AM48:AM49"/>
    <mergeCell ref="AN48:AN49"/>
    <mergeCell ref="AO48:AO49"/>
    <mergeCell ref="AP48:AP49"/>
    <mergeCell ref="AQ48:AQ49"/>
    <mergeCell ref="AR48:AR49"/>
    <mergeCell ref="AS48:AS49"/>
    <mergeCell ref="BF50:BF51"/>
    <mergeCell ref="AD50:AD51"/>
    <mergeCell ref="AE50:AE51"/>
    <mergeCell ref="AF50:AF51"/>
    <mergeCell ref="AG50:AG51"/>
    <mergeCell ref="AH50:AH51"/>
    <mergeCell ref="AI50:AI51"/>
    <mergeCell ref="A52:A53"/>
    <mergeCell ref="B52:B53"/>
    <mergeCell ref="C52:C53"/>
    <mergeCell ref="D52:D53"/>
    <mergeCell ref="E52:E53"/>
    <mergeCell ref="F52:F53"/>
    <mergeCell ref="G52:G53"/>
    <mergeCell ref="H52:H53"/>
    <mergeCell ref="I52:I53"/>
    <mergeCell ref="J52:J53"/>
    <mergeCell ref="N52:N53"/>
    <mergeCell ref="Q52:Q53"/>
    <mergeCell ref="AJ50:AJ51"/>
    <mergeCell ref="AK50:AK51"/>
    <mergeCell ref="AL50:AL51"/>
    <mergeCell ref="AM50:AM51"/>
    <mergeCell ref="AN50:AN51"/>
    <mergeCell ref="AO50:AO51"/>
    <mergeCell ref="AP50:AP51"/>
    <mergeCell ref="AQ50:AQ51"/>
    <mergeCell ref="AR50:AR51"/>
    <mergeCell ref="AS50:AS51"/>
    <mergeCell ref="AT50:AT51"/>
    <mergeCell ref="AU50:AU51"/>
    <mergeCell ref="A50:A51"/>
    <mergeCell ref="AN52:AN53"/>
    <mergeCell ref="AO52:AO53"/>
    <mergeCell ref="AD52:AD53"/>
    <mergeCell ref="AE52:AE53"/>
    <mergeCell ref="AF52:AF53"/>
    <mergeCell ref="AG52:AG53"/>
    <mergeCell ref="AH52:AH53"/>
    <mergeCell ref="AI52:AI53"/>
    <mergeCell ref="X50:X51"/>
    <mergeCell ref="Y50:Y51"/>
    <mergeCell ref="Z50:Z51"/>
    <mergeCell ref="AA50:AA51"/>
    <mergeCell ref="AB50:AB51"/>
    <mergeCell ref="AC50:AC51"/>
    <mergeCell ref="BE50:BE51"/>
    <mergeCell ref="AZ52:AZ53"/>
    <mergeCell ref="BA52:BA53"/>
    <mergeCell ref="BB52:BB53"/>
    <mergeCell ref="BC52:BC53"/>
    <mergeCell ref="BD52:BD53"/>
    <mergeCell ref="BE52:BE53"/>
    <mergeCell ref="AQ52:AQ53"/>
    <mergeCell ref="AR52:AR53"/>
    <mergeCell ref="AS52:AS53"/>
    <mergeCell ref="AT52:AT53"/>
    <mergeCell ref="AU52:AU53"/>
    <mergeCell ref="AV52:AV53"/>
    <mergeCell ref="AW52:AW53"/>
    <mergeCell ref="AX52:AX53"/>
    <mergeCell ref="AY52:AY53"/>
    <mergeCell ref="BF52:BF53"/>
    <mergeCell ref="BG52:BG53"/>
    <mergeCell ref="A54:I54"/>
    <mergeCell ref="A55:A56"/>
    <mergeCell ref="B55:B56"/>
    <mergeCell ref="C55:C56"/>
    <mergeCell ref="D55:D56"/>
    <mergeCell ref="E55:E56"/>
    <mergeCell ref="F55:F56"/>
    <mergeCell ref="G55:G56"/>
    <mergeCell ref="H55:H56"/>
    <mergeCell ref="I55:I56"/>
    <mergeCell ref="R52:R53"/>
    <mergeCell ref="S52:S53"/>
    <mergeCell ref="T52:T53"/>
    <mergeCell ref="U52:U53"/>
    <mergeCell ref="V52:V53"/>
    <mergeCell ref="W52:W53"/>
    <mergeCell ref="X52:X53"/>
    <mergeCell ref="Y52:Y53"/>
    <mergeCell ref="Z52:Z53"/>
    <mergeCell ref="AA52:AA53"/>
    <mergeCell ref="AB52:AB53"/>
    <mergeCell ref="AC52:AC53"/>
    <mergeCell ref="AJ52:AJ53"/>
    <mergeCell ref="AK52:AK53"/>
    <mergeCell ref="AL52:AL53"/>
    <mergeCell ref="AM52:AM53"/>
    <mergeCell ref="AK55:AK56"/>
    <mergeCell ref="AL55:AL56"/>
    <mergeCell ref="AM55:AM56"/>
    <mergeCell ref="AP52:AP53"/>
    <mergeCell ref="BA55:BA56"/>
    <mergeCell ref="BB55:BB56"/>
    <mergeCell ref="BC55:BC56"/>
    <mergeCell ref="BD55:BD56"/>
    <mergeCell ref="BE55:BE56"/>
    <mergeCell ref="BF55:BF56"/>
    <mergeCell ref="BG55:BG56"/>
    <mergeCell ref="A57:A58"/>
    <mergeCell ref="B57:B58"/>
    <mergeCell ref="C57:C58"/>
    <mergeCell ref="D57:D58"/>
    <mergeCell ref="E57:E58"/>
    <mergeCell ref="F57:F58"/>
    <mergeCell ref="G57:G58"/>
    <mergeCell ref="J55:J56"/>
    <mergeCell ref="N55:N56"/>
    <mergeCell ref="Q55:Q56"/>
    <mergeCell ref="R55:R56"/>
    <mergeCell ref="S55:S56"/>
    <mergeCell ref="T55:T56"/>
    <mergeCell ref="U55:U56"/>
    <mergeCell ref="V55:V56"/>
    <mergeCell ref="W55:W56"/>
    <mergeCell ref="X55:X56"/>
    <mergeCell ref="Y55:Y56"/>
    <mergeCell ref="Z55:Z56"/>
    <mergeCell ref="AA55:AA56"/>
    <mergeCell ref="AB55:AB56"/>
    <mergeCell ref="AC55:AC56"/>
    <mergeCell ref="AD55:AD56"/>
    <mergeCell ref="AE55:AE56"/>
    <mergeCell ref="AF55:AF56"/>
    <mergeCell ref="AN55:AN56"/>
    <mergeCell ref="AO55:AO56"/>
    <mergeCell ref="AP55:AP56"/>
    <mergeCell ref="AQ55:AQ56"/>
    <mergeCell ref="AR55:AR56"/>
    <mergeCell ref="AG55:AG56"/>
    <mergeCell ref="AH55:AH56"/>
    <mergeCell ref="AI55:AI56"/>
    <mergeCell ref="AJ55:AJ56"/>
    <mergeCell ref="AS55:AS56"/>
    <mergeCell ref="AT55:AT56"/>
    <mergeCell ref="AU55:AU56"/>
    <mergeCell ref="AV55:AV56"/>
    <mergeCell ref="AW55:AW56"/>
    <mergeCell ref="AX55:AX56"/>
    <mergeCell ref="AY55:AY56"/>
    <mergeCell ref="AZ55:AZ56"/>
    <mergeCell ref="AX57:AX58"/>
    <mergeCell ref="AY57:AY58"/>
    <mergeCell ref="AZ57:AZ58"/>
    <mergeCell ref="BA57:BA58"/>
    <mergeCell ref="BB57:BB58"/>
    <mergeCell ref="AQ57:AQ58"/>
    <mergeCell ref="AR57:AR58"/>
    <mergeCell ref="AS57:AS58"/>
    <mergeCell ref="AT57:AT58"/>
    <mergeCell ref="AU57:AU58"/>
    <mergeCell ref="A59:A60"/>
    <mergeCell ref="B59:B60"/>
    <mergeCell ref="C59:C60"/>
    <mergeCell ref="D59:D60"/>
    <mergeCell ref="E59:E60"/>
    <mergeCell ref="AW57:AW58"/>
    <mergeCell ref="AV57:AV58"/>
    <mergeCell ref="AK57:AK58"/>
    <mergeCell ref="AL57:AL58"/>
    <mergeCell ref="AM57:AM58"/>
    <mergeCell ref="R57:R58"/>
    <mergeCell ref="AS59:AS60"/>
    <mergeCell ref="AT59:AT60"/>
    <mergeCell ref="AI59:AI60"/>
    <mergeCell ref="AJ59:AJ60"/>
    <mergeCell ref="AK59:AK60"/>
    <mergeCell ref="AL59:AL60"/>
    <mergeCell ref="AM59:AM60"/>
    <mergeCell ref="AN59:AN60"/>
    <mergeCell ref="AC59:AC60"/>
    <mergeCell ref="T57:T58"/>
    <mergeCell ref="U57:U58"/>
    <mergeCell ref="BC57:BC58"/>
    <mergeCell ref="BD57:BD58"/>
    <mergeCell ref="BE57:BE58"/>
    <mergeCell ref="BF57:BF58"/>
    <mergeCell ref="BG57:BG58"/>
    <mergeCell ref="AB57:AB58"/>
    <mergeCell ref="AC57:AC58"/>
    <mergeCell ref="AD57:AD58"/>
    <mergeCell ref="F59:F60"/>
    <mergeCell ref="G59:G60"/>
    <mergeCell ref="H59:H60"/>
    <mergeCell ref="I59:I60"/>
    <mergeCell ref="J59:J60"/>
    <mergeCell ref="N59:N60"/>
    <mergeCell ref="Y57:Y58"/>
    <mergeCell ref="Z57:Z58"/>
    <mergeCell ref="AA57:AA58"/>
    <mergeCell ref="Q59:Q60"/>
    <mergeCell ref="R59:R60"/>
    <mergeCell ref="S59:S60"/>
    <mergeCell ref="T59:T60"/>
    <mergeCell ref="U59:U60"/>
    <mergeCell ref="V59:V60"/>
    <mergeCell ref="S57:S58"/>
    <mergeCell ref="AN57:AN58"/>
    <mergeCell ref="AO57:AO58"/>
    <mergeCell ref="AP57:AP58"/>
    <mergeCell ref="AE57:AE58"/>
    <mergeCell ref="AF57:AF58"/>
    <mergeCell ref="AG57:AG58"/>
    <mergeCell ref="AH57:AH58"/>
    <mergeCell ref="AI57:AI58"/>
    <mergeCell ref="V57:V58"/>
    <mergeCell ref="W57:W58"/>
    <mergeCell ref="X57:X58"/>
    <mergeCell ref="H57:H58"/>
    <mergeCell ref="I57:I58"/>
    <mergeCell ref="J57:J58"/>
    <mergeCell ref="N57:N58"/>
    <mergeCell ref="Q57:Q58"/>
    <mergeCell ref="AJ57:AJ58"/>
    <mergeCell ref="BF59:BF60"/>
    <mergeCell ref="BG59:BG60"/>
    <mergeCell ref="A61:A62"/>
    <mergeCell ref="B61:B62"/>
    <mergeCell ref="C61:C62"/>
    <mergeCell ref="D61:D62"/>
    <mergeCell ref="E61:E62"/>
    <mergeCell ref="F61:F62"/>
    <mergeCell ref="G61:G62"/>
    <mergeCell ref="H61:H62"/>
    <mergeCell ref="I61:I62"/>
    <mergeCell ref="AB59:AB60"/>
    <mergeCell ref="J61:J62"/>
    <mergeCell ref="N61:N62"/>
    <mergeCell ref="Q61:Q62"/>
    <mergeCell ref="R61:R62"/>
    <mergeCell ref="S61:S62"/>
    <mergeCell ref="T61:T62"/>
    <mergeCell ref="AA61:AA62"/>
    <mergeCell ref="AB61:AB62"/>
    <mergeCell ref="AD59:AD60"/>
    <mergeCell ref="AE59:AE60"/>
    <mergeCell ref="AF59:AF60"/>
    <mergeCell ref="AG59:AG60"/>
    <mergeCell ref="AH59:AH60"/>
    <mergeCell ref="W59:W60"/>
    <mergeCell ref="X59:X60"/>
    <mergeCell ref="Y59:Y60"/>
    <mergeCell ref="Z59:Z60"/>
    <mergeCell ref="AA59:AA60"/>
    <mergeCell ref="AO59:AO60"/>
    <mergeCell ref="AP59:AP60"/>
    <mergeCell ref="AQ59:AQ60"/>
    <mergeCell ref="AR59:AR60"/>
    <mergeCell ref="AQ61:AQ62"/>
    <mergeCell ref="AR61:AR62"/>
    <mergeCell ref="AU59:AU60"/>
    <mergeCell ref="AV59:AV60"/>
    <mergeCell ref="AW59:AW60"/>
    <mergeCell ref="AX59:AX60"/>
    <mergeCell ref="AT61:AT62"/>
    <mergeCell ref="AU61:AU62"/>
    <mergeCell ref="AV61:AV62"/>
    <mergeCell ref="AW61:AW62"/>
    <mergeCell ref="AX61:AX62"/>
    <mergeCell ref="AY59:AY60"/>
    <mergeCell ref="AZ59:AZ60"/>
    <mergeCell ref="BA59:BA60"/>
    <mergeCell ref="BB59:BB60"/>
    <mergeCell ref="BC59:BC60"/>
    <mergeCell ref="BD59:BD60"/>
    <mergeCell ref="BE59:BE60"/>
    <mergeCell ref="BA61:BA62"/>
    <mergeCell ref="BB61:BB62"/>
    <mergeCell ref="BC61:BC62"/>
    <mergeCell ref="BD61:BD62"/>
    <mergeCell ref="BE61:BE62"/>
    <mergeCell ref="BF61:BF62"/>
    <mergeCell ref="BG61:BG62"/>
    <mergeCell ref="A63:A64"/>
    <mergeCell ref="B63:B64"/>
    <mergeCell ref="C63:C64"/>
    <mergeCell ref="D63:D64"/>
    <mergeCell ref="E63:E64"/>
    <mergeCell ref="F63:F64"/>
    <mergeCell ref="G63:G64"/>
    <mergeCell ref="H63:H64"/>
    <mergeCell ref="I63:I64"/>
    <mergeCell ref="J63:J64"/>
    <mergeCell ref="N63:N64"/>
    <mergeCell ref="Q63:Q64"/>
    <mergeCell ref="R63:R64"/>
    <mergeCell ref="AC61:AC62"/>
    <mergeCell ref="AD61:AD62"/>
    <mergeCell ref="AE61:AE62"/>
    <mergeCell ref="AF61:AF62"/>
    <mergeCell ref="U61:U62"/>
    <mergeCell ref="V61:V62"/>
    <mergeCell ref="W61:W62"/>
    <mergeCell ref="X61:X62"/>
    <mergeCell ref="Y61:Y62"/>
    <mergeCell ref="Z61:Z62"/>
    <mergeCell ref="AG61:AG62"/>
    <mergeCell ref="AH61:AH62"/>
    <mergeCell ref="AH63:AH64"/>
    <mergeCell ref="AI63:AI64"/>
    <mergeCell ref="AJ63:AJ64"/>
    <mergeCell ref="AM61:AM62"/>
    <mergeCell ref="AN61:AN62"/>
    <mergeCell ref="AO61:AO62"/>
    <mergeCell ref="AP61:AP62"/>
    <mergeCell ref="AO63:AO64"/>
    <mergeCell ref="AP63:AP64"/>
    <mergeCell ref="AS61:AS62"/>
    <mergeCell ref="AB63:AB64"/>
    <mergeCell ref="AC63:AC64"/>
    <mergeCell ref="AD63:AD64"/>
    <mergeCell ref="AE63:AE64"/>
    <mergeCell ref="AF63:AF64"/>
    <mergeCell ref="AG63:AG64"/>
    <mergeCell ref="AK63:AK64"/>
    <mergeCell ref="AL63:AL64"/>
    <mergeCell ref="AM63:AM64"/>
    <mergeCell ref="AN63:AN64"/>
    <mergeCell ref="AQ63:AQ64"/>
    <mergeCell ref="AR63:AR64"/>
    <mergeCell ref="AS63:AS64"/>
    <mergeCell ref="AY61:AY62"/>
    <mergeCell ref="AZ61:AZ62"/>
    <mergeCell ref="AI61:AI62"/>
    <mergeCell ref="AJ61:AJ62"/>
    <mergeCell ref="AK61:AK62"/>
    <mergeCell ref="AL61:AL62"/>
    <mergeCell ref="BB63:BB64"/>
    <mergeCell ref="BC63:BC64"/>
    <mergeCell ref="BD63:BD64"/>
    <mergeCell ref="BE63:BE64"/>
    <mergeCell ref="BF63:BF64"/>
    <mergeCell ref="BG63:BG64"/>
    <mergeCell ref="A65:A66"/>
    <mergeCell ref="B65:B66"/>
    <mergeCell ref="C65:C66"/>
    <mergeCell ref="D65:D66"/>
    <mergeCell ref="E65:E66"/>
    <mergeCell ref="F65:F66"/>
    <mergeCell ref="G65:G66"/>
    <mergeCell ref="H65:H66"/>
    <mergeCell ref="I65:I66"/>
    <mergeCell ref="J65:J66"/>
    <mergeCell ref="N65:N66"/>
    <mergeCell ref="S63:S64"/>
    <mergeCell ref="T63:T64"/>
    <mergeCell ref="U63:U64"/>
    <mergeCell ref="V63:V64"/>
    <mergeCell ref="W63:W64"/>
    <mergeCell ref="X63:X64"/>
    <mergeCell ref="Y63:Y64"/>
    <mergeCell ref="Z63:Z64"/>
    <mergeCell ref="AA63:AA64"/>
    <mergeCell ref="AT63:AT64"/>
    <mergeCell ref="AU63:AU64"/>
    <mergeCell ref="AV63:AV64"/>
    <mergeCell ref="AW63:AW64"/>
    <mergeCell ref="AX63:AX64"/>
    <mergeCell ref="AY63:AY64"/>
    <mergeCell ref="AZ63:AZ64"/>
    <mergeCell ref="BA63:BA64"/>
    <mergeCell ref="BF65:BF66"/>
    <mergeCell ref="BG65:BG66"/>
    <mergeCell ref="A67:I67"/>
    <mergeCell ref="A68:I68"/>
    <mergeCell ref="AA65:AA66"/>
    <mergeCell ref="AB65:AB66"/>
    <mergeCell ref="AC65:AC66"/>
    <mergeCell ref="AD65:AD66"/>
    <mergeCell ref="AE65:AE66"/>
    <mergeCell ref="AF65:AF66"/>
    <mergeCell ref="AG65:AG66"/>
    <mergeCell ref="AH65:AH66"/>
    <mergeCell ref="AI65:AI66"/>
    <mergeCell ref="AJ65:AJ66"/>
    <mergeCell ref="AK65:AK66"/>
    <mergeCell ref="AL65:AL66"/>
    <mergeCell ref="BD65:BD66"/>
    <mergeCell ref="BE65:BE66"/>
    <mergeCell ref="AV65:AV66"/>
    <mergeCell ref="AW65:AW66"/>
    <mergeCell ref="AX65:AX66"/>
    <mergeCell ref="AY65:AY66"/>
    <mergeCell ref="AZ65:AZ66"/>
    <mergeCell ref="BA65:BA66"/>
    <mergeCell ref="A69:O69"/>
    <mergeCell ref="A70:O70"/>
    <mergeCell ref="S71:S72"/>
    <mergeCell ref="T71:T72"/>
    <mergeCell ref="U71:U72"/>
    <mergeCell ref="V71:V72"/>
    <mergeCell ref="W71:W72"/>
    <mergeCell ref="Q65:Q66"/>
    <mergeCell ref="R65:R66"/>
    <mergeCell ref="S65:S66"/>
    <mergeCell ref="T65:T66"/>
    <mergeCell ref="U65:U66"/>
    <mergeCell ref="V65:V66"/>
    <mergeCell ref="W65:W66"/>
    <mergeCell ref="X65:X66"/>
    <mergeCell ref="Y65:Y66"/>
    <mergeCell ref="Z65:Z66"/>
    <mergeCell ref="X71:X72"/>
    <mergeCell ref="Y71:Y72"/>
    <mergeCell ref="Z71:Z72"/>
    <mergeCell ref="BB65:BB66"/>
    <mergeCell ref="BC65:BC66"/>
    <mergeCell ref="AJ71:AJ72"/>
    <mergeCell ref="AK71:AK72"/>
    <mergeCell ref="AL71:AL72"/>
    <mergeCell ref="AM71:AM72"/>
    <mergeCell ref="AN71:AN72"/>
    <mergeCell ref="AO71:AO72"/>
    <mergeCell ref="BF71:BF72"/>
    <mergeCell ref="BG71:BG72"/>
    <mergeCell ref="AV71:AV72"/>
    <mergeCell ref="AW71:AW72"/>
    <mergeCell ref="AX71:AX72"/>
    <mergeCell ref="AY71:AY72"/>
    <mergeCell ref="AZ71:AZ72"/>
    <mergeCell ref="BA71:BA72"/>
    <mergeCell ref="BB71:BB72"/>
    <mergeCell ref="BC71:BC72"/>
    <mergeCell ref="AT71:AT72"/>
    <mergeCell ref="AU71:AU72"/>
    <mergeCell ref="AM65:AM66"/>
    <mergeCell ref="AN65:AN66"/>
    <mergeCell ref="AR71:AR72"/>
    <mergeCell ref="AS71:AS72"/>
    <mergeCell ref="AO65:AO66"/>
    <mergeCell ref="AP65:AP66"/>
    <mergeCell ref="AQ65:AQ66"/>
    <mergeCell ref="AR65:AR66"/>
    <mergeCell ref="AS65:AS66"/>
    <mergeCell ref="AT65:AT66"/>
    <mergeCell ref="AU65:AU66"/>
    <mergeCell ref="AA71:AA72"/>
    <mergeCell ref="AB71:AB72"/>
    <mergeCell ref="AC71:AC72"/>
    <mergeCell ref="AD71:AD72"/>
    <mergeCell ref="AE71:AE72"/>
    <mergeCell ref="AF71:AF72"/>
    <mergeCell ref="AG71:AG72"/>
    <mergeCell ref="AH71:AH72"/>
    <mergeCell ref="AI71:AI72"/>
    <mergeCell ref="BD71:BD72"/>
    <mergeCell ref="BE71:BE72"/>
    <mergeCell ref="AP71:AP72"/>
    <mergeCell ref="AQ71:AQ72"/>
    <mergeCell ref="A73:A74"/>
    <mergeCell ref="B73:B74"/>
    <mergeCell ref="C73:C74"/>
    <mergeCell ref="D73:D74"/>
    <mergeCell ref="E73:E74"/>
    <mergeCell ref="F73:F74"/>
    <mergeCell ref="U73:U74"/>
    <mergeCell ref="V73:V74"/>
    <mergeCell ref="W73:W74"/>
    <mergeCell ref="G73:G74"/>
    <mergeCell ref="H73:H74"/>
    <mergeCell ref="I73:I74"/>
    <mergeCell ref="J73:J74"/>
    <mergeCell ref="N73:N74"/>
    <mergeCell ref="Q73:Q74"/>
    <mergeCell ref="R73:R74"/>
    <mergeCell ref="AQ73:AQ74"/>
    <mergeCell ref="AR73:AR74"/>
    <mergeCell ref="S73:S74"/>
    <mergeCell ref="T73:T74"/>
    <mergeCell ref="U75:U76"/>
    <mergeCell ref="V75:V76"/>
    <mergeCell ref="W75:W76"/>
    <mergeCell ref="R75:R76"/>
    <mergeCell ref="S75:S76"/>
    <mergeCell ref="T75:T76"/>
    <mergeCell ref="AJ73:AJ74"/>
    <mergeCell ref="AK73:AK74"/>
    <mergeCell ref="AL73:AL74"/>
    <mergeCell ref="AM73:AM74"/>
    <mergeCell ref="AN73:AN74"/>
    <mergeCell ref="AO73:AO74"/>
    <mergeCell ref="AP73:AP74"/>
    <mergeCell ref="AP75:AP76"/>
    <mergeCell ref="X73:X74"/>
    <mergeCell ref="Y73:Y74"/>
    <mergeCell ref="Z73:Z74"/>
    <mergeCell ref="AA73:AA74"/>
    <mergeCell ref="AB73:AB74"/>
    <mergeCell ref="AC73:AC74"/>
    <mergeCell ref="AD73:AD74"/>
    <mergeCell ref="AE73:AE74"/>
    <mergeCell ref="AF73:AF74"/>
    <mergeCell ref="AG73:AG74"/>
    <mergeCell ref="AH73:AH74"/>
    <mergeCell ref="AI73:AI74"/>
    <mergeCell ref="Z75:Z76"/>
    <mergeCell ref="AA75:AA76"/>
    <mergeCell ref="AS73:AS74"/>
    <mergeCell ref="AT73:AT74"/>
    <mergeCell ref="AU73:AU74"/>
    <mergeCell ref="BD73:BD74"/>
    <mergeCell ref="BE73:BE74"/>
    <mergeCell ref="BF73:BF74"/>
    <mergeCell ref="AV73:AV74"/>
    <mergeCell ref="AW73:AW74"/>
    <mergeCell ref="AX73:AX74"/>
    <mergeCell ref="AY73:AY74"/>
    <mergeCell ref="AZ73:AZ74"/>
    <mergeCell ref="BA73:BA74"/>
    <mergeCell ref="BG75:BG76"/>
    <mergeCell ref="AV75:AV76"/>
    <mergeCell ref="AW75:AW76"/>
    <mergeCell ref="AX75:AX76"/>
    <mergeCell ref="AY75:AY76"/>
    <mergeCell ref="AZ75:AZ76"/>
    <mergeCell ref="BA75:BA76"/>
    <mergeCell ref="BB73:BB74"/>
    <mergeCell ref="BC73:BC74"/>
    <mergeCell ref="BG73:BG74"/>
    <mergeCell ref="BB75:BB76"/>
    <mergeCell ref="BC75:BC76"/>
    <mergeCell ref="BD75:BD76"/>
    <mergeCell ref="BE75:BE76"/>
    <mergeCell ref="BF75:BF76"/>
    <mergeCell ref="A77:A78"/>
    <mergeCell ref="B77:B78"/>
    <mergeCell ref="C77:C78"/>
    <mergeCell ref="D77:D78"/>
    <mergeCell ref="E77:E78"/>
    <mergeCell ref="F77:F78"/>
    <mergeCell ref="AO75:AO76"/>
    <mergeCell ref="G77:G78"/>
    <mergeCell ref="H77:H78"/>
    <mergeCell ref="I77:I78"/>
    <mergeCell ref="J77:J78"/>
    <mergeCell ref="N77:N78"/>
    <mergeCell ref="Q77:Q78"/>
    <mergeCell ref="AI75:AI76"/>
    <mergeCell ref="X75:X76"/>
    <mergeCell ref="Y75:Y76"/>
    <mergeCell ref="AQ75:AQ76"/>
    <mergeCell ref="AJ75:AJ76"/>
    <mergeCell ref="AK75:AK76"/>
    <mergeCell ref="AL75:AL76"/>
    <mergeCell ref="AM75:AM76"/>
    <mergeCell ref="AN75:AN76"/>
    <mergeCell ref="A75:A76"/>
    <mergeCell ref="B75:B76"/>
    <mergeCell ref="C75:C76"/>
    <mergeCell ref="N75:N76"/>
    <mergeCell ref="Q75:Q76"/>
    <mergeCell ref="D75:D76"/>
    <mergeCell ref="E75:E76"/>
    <mergeCell ref="F75:F76"/>
    <mergeCell ref="G75:G76"/>
    <mergeCell ref="H75:H76"/>
    <mergeCell ref="I75:I76"/>
    <mergeCell ref="J75:J76"/>
    <mergeCell ref="AD75:AD76"/>
    <mergeCell ref="AE75:AE76"/>
    <mergeCell ref="AF75:AF76"/>
    <mergeCell ref="AG75:AG76"/>
    <mergeCell ref="AH75:AH76"/>
    <mergeCell ref="AR75:AR76"/>
    <mergeCell ref="AS75:AS76"/>
    <mergeCell ref="AT75:AT76"/>
    <mergeCell ref="AU75:AU76"/>
    <mergeCell ref="AW77:AW78"/>
    <mergeCell ref="AM77:AM78"/>
    <mergeCell ref="AB75:AB76"/>
    <mergeCell ref="AC75:AC76"/>
    <mergeCell ref="AX77:AX78"/>
    <mergeCell ref="AY77:AY78"/>
    <mergeCell ref="AR77:AR78"/>
    <mergeCell ref="AS77:AS78"/>
    <mergeCell ref="AT77:AT78"/>
    <mergeCell ref="AU77:AU78"/>
    <mergeCell ref="AV77:AV78"/>
    <mergeCell ref="AC77:AC78"/>
    <mergeCell ref="AN77:AN78"/>
    <mergeCell ref="AO77:AO78"/>
    <mergeCell ref="AD77:AD78"/>
    <mergeCell ref="AE77:AE78"/>
    <mergeCell ref="AF77:AF78"/>
    <mergeCell ref="AG77:AG78"/>
    <mergeCell ref="AH77:AH78"/>
    <mergeCell ref="AI77:AI78"/>
    <mergeCell ref="AJ77:AJ78"/>
    <mergeCell ref="AZ77:AZ78"/>
    <mergeCell ref="BA77:BA78"/>
    <mergeCell ref="BB77:BB78"/>
    <mergeCell ref="BC77:BC78"/>
    <mergeCell ref="BD77:BD78"/>
    <mergeCell ref="BE77:BE78"/>
    <mergeCell ref="BF77:BF78"/>
    <mergeCell ref="BG77:BG78"/>
    <mergeCell ref="A79:I79"/>
    <mergeCell ref="A80:A81"/>
    <mergeCell ref="B80:B81"/>
    <mergeCell ref="C80:C81"/>
    <mergeCell ref="D80:D81"/>
    <mergeCell ref="E80:E81"/>
    <mergeCell ref="F80:F81"/>
    <mergeCell ref="G80:G81"/>
    <mergeCell ref="H80:H81"/>
    <mergeCell ref="I80:I81"/>
    <mergeCell ref="R77:R78"/>
    <mergeCell ref="S77:S78"/>
    <mergeCell ref="T77:T78"/>
    <mergeCell ref="U77:U78"/>
    <mergeCell ref="V77:V78"/>
    <mergeCell ref="W77:W78"/>
    <mergeCell ref="X77:X78"/>
    <mergeCell ref="Y77:Y78"/>
    <mergeCell ref="Z77:Z78"/>
    <mergeCell ref="AA77:AA78"/>
    <mergeCell ref="AB77:AB78"/>
    <mergeCell ref="AL77:AL78"/>
    <mergeCell ref="AP77:AP78"/>
    <mergeCell ref="AQ77:AQ78"/>
    <mergeCell ref="AK77:AK78"/>
    <mergeCell ref="BC80:BC81"/>
    <mergeCell ref="BD80:BD81"/>
    <mergeCell ref="BE80:BE81"/>
    <mergeCell ref="BF80:BF81"/>
    <mergeCell ref="BG80:BG81"/>
    <mergeCell ref="A82:A83"/>
    <mergeCell ref="B82:B83"/>
    <mergeCell ref="C82:C83"/>
    <mergeCell ref="D82:D83"/>
    <mergeCell ref="E82:E83"/>
    <mergeCell ref="F82:F83"/>
    <mergeCell ref="G82:G83"/>
    <mergeCell ref="J80:J81"/>
    <mergeCell ref="N80:N81"/>
    <mergeCell ref="Q80:Q81"/>
    <mergeCell ref="R80:R81"/>
    <mergeCell ref="S80:S81"/>
    <mergeCell ref="T80:T81"/>
    <mergeCell ref="U80:U81"/>
    <mergeCell ref="V80:V81"/>
    <mergeCell ref="W80:W81"/>
    <mergeCell ref="X80:X81"/>
    <mergeCell ref="Y80:Y81"/>
    <mergeCell ref="Z80:Z81"/>
    <mergeCell ref="BB82:BB83"/>
    <mergeCell ref="AG80:AG81"/>
    <mergeCell ref="AH80:AH81"/>
    <mergeCell ref="AI80:AI81"/>
    <mergeCell ref="AJ80:AJ81"/>
    <mergeCell ref="AX80:AX81"/>
    <mergeCell ref="AY80:AY81"/>
    <mergeCell ref="A84:A85"/>
    <mergeCell ref="B84:B85"/>
    <mergeCell ref="C84:C85"/>
    <mergeCell ref="D84:D85"/>
    <mergeCell ref="E84:E85"/>
    <mergeCell ref="AE82:AE83"/>
    <mergeCell ref="AM80:AM81"/>
    <mergeCell ref="AN80:AN81"/>
    <mergeCell ref="AO80:AO81"/>
    <mergeCell ref="AP80:AP81"/>
    <mergeCell ref="AQ80:AQ81"/>
    <mergeCell ref="AR80:AR81"/>
    <mergeCell ref="AS80:AS81"/>
    <mergeCell ref="AT80:AT81"/>
    <mergeCell ref="AU80:AU81"/>
    <mergeCell ref="AV80:AV81"/>
    <mergeCell ref="AW80:AW81"/>
    <mergeCell ref="H82:H83"/>
    <mergeCell ref="I82:I83"/>
    <mergeCell ref="J82:J83"/>
    <mergeCell ref="N82:N83"/>
    <mergeCell ref="Q82:Q83"/>
    <mergeCell ref="R82:R83"/>
    <mergeCell ref="AE80:AE81"/>
    <mergeCell ref="AF80:AF81"/>
    <mergeCell ref="AK80:AK81"/>
    <mergeCell ref="AL80:AL81"/>
    <mergeCell ref="AA80:AA81"/>
    <mergeCell ref="AB80:AB81"/>
    <mergeCell ref="AC80:AC81"/>
    <mergeCell ref="AD80:AD81"/>
    <mergeCell ref="BA80:BA81"/>
    <mergeCell ref="BB80:BB81"/>
    <mergeCell ref="S84:S85"/>
    <mergeCell ref="T84:T85"/>
    <mergeCell ref="U84:U85"/>
    <mergeCell ref="V84:V85"/>
    <mergeCell ref="AF82:AF83"/>
    <mergeCell ref="AG82:AG83"/>
    <mergeCell ref="AH82:AH83"/>
    <mergeCell ref="AI82:AI83"/>
    <mergeCell ref="AJ82:AJ83"/>
    <mergeCell ref="Y82:Y83"/>
    <mergeCell ref="Z82:Z83"/>
    <mergeCell ref="AA82:AA83"/>
    <mergeCell ref="AK82:AK83"/>
    <mergeCell ref="AL82:AL83"/>
    <mergeCell ref="AM82:AM83"/>
    <mergeCell ref="AN82:AN83"/>
    <mergeCell ref="AO82:AO83"/>
    <mergeCell ref="S82:S83"/>
    <mergeCell ref="T82:T83"/>
    <mergeCell ref="U82:U83"/>
    <mergeCell ref="V82:V83"/>
    <mergeCell ref="W82:W83"/>
    <mergeCell ref="X82:X83"/>
    <mergeCell ref="AS84:AS85"/>
    <mergeCell ref="AT84:AT85"/>
    <mergeCell ref="AZ80:AZ81"/>
    <mergeCell ref="BC82:BC83"/>
    <mergeCell ref="BD82:BD83"/>
    <mergeCell ref="BE82:BE83"/>
    <mergeCell ref="BF82:BF83"/>
    <mergeCell ref="BG82:BG83"/>
    <mergeCell ref="AB82:AB83"/>
    <mergeCell ref="AC82:AC83"/>
    <mergeCell ref="AD82:AD83"/>
    <mergeCell ref="AP82:AP83"/>
    <mergeCell ref="AQ82:AQ83"/>
    <mergeCell ref="AR82:AR83"/>
    <mergeCell ref="AS82:AS83"/>
    <mergeCell ref="AT82:AT83"/>
    <mergeCell ref="AU82:AU83"/>
    <mergeCell ref="AV82:AV83"/>
    <mergeCell ref="AW82:AW83"/>
    <mergeCell ref="AX82:AX83"/>
    <mergeCell ref="AY82:AY83"/>
    <mergeCell ref="AZ82:AZ83"/>
    <mergeCell ref="BA82:BA83"/>
    <mergeCell ref="BG84:BG85"/>
    <mergeCell ref="A86:A87"/>
    <mergeCell ref="B86:B87"/>
    <mergeCell ref="C86:C87"/>
    <mergeCell ref="D86:D87"/>
    <mergeCell ref="E86:E87"/>
    <mergeCell ref="W84:W85"/>
    <mergeCell ref="X84:X85"/>
    <mergeCell ref="Y84:Y85"/>
    <mergeCell ref="Z84:Z85"/>
    <mergeCell ref="AA84:AA85"/>
    <mergeCell ref="AB84:AB85"/>
    <mergeCell ref="AC84:AC85"/>
    <mergeCell ref="AD84:AD85"/>
    <mergeCell ref="AE84:AE85"/>
    <mergeCell ref="AF84:AF85"/>
    <mergeCell ref="AG84:AG85"/>
    <mergeCell ref="AH84:AH85"/>
    <mergeCell ref="AI84:AI85"/>
    <mergeCell ref="AJ84:AJ85"/>
    <mergeCell ref="AK84:AK85"/>
    <mergeCell ref="AL84:AL85"/>
    <mergeCell ref="AM84:AM85"/>
    <mergeCell ref="AN84:AN85"/>
    <mergeCell ref="F84:F85"/>
    <mergeCell ref="G84:G85"/>
    <mergeCell ref="H84:H85"/>
    <mergeCell ref="I84:I85"/>
    <mergeCell ref="J84:J85"/>
    <mergeCell ref="N84:N85"/>
    <mergeCell ref="Q84:Q85"/>
    <mergeCell ref="R84:R85"/>
    <mergeCell ref="BF86:BF87"/>
    <mergeCell ref="BG86:BG87"/>
    <mergeCell ref="A88:A89"/>
    <mergeCell ref="B88:B89"/>
    <mergeCell ref="C88:C89"/>
    <mergeCell ref="D88:D89"/>
    <mergeCell ref="E88:E89"/>
    <mergeCell ref="F88:F89"/>
    <mergeCell ref="BC84:BC85"/>
    <mergeCell ref="BD84:BD85"/>
    <mergeCell ref="BE84:BE85"/>
    <mergeCell ref="BF84:BF85"/>
    <mergeCell ref="AU84:AU85"/>
    <mergeCell ref="AV84:AV85"/>
    <mergeCell ref="AW84:AW85"/>
    <mergeCell ref="AX84:AX85"/>
    <mergeCell ref="AY84:AY85"/>
    <mergeCell ref="AZ84:AZ85"/>
    <mergeCell ref="F86:F87"/>
    <mergeCell ref="G86:G87"/>
    <mergeCell ref="H86:H87"/>
    <mergeCell ref="I86:I87"/>
    <mergeCell ref="BA84:BA85"/>
    <mergeCell ref="BB84:BB85"/>
    <mergeCell ref="AO84:AO85"/>
    <mergeCell ref="AP84:AP85"/>
    <mergeCell ref="AQ84:AQ85"/>
    <mergeCell ref="AR84:AR85"/>
    <mergeCell ref="Q86:Q87"/>
    <mergeCell ref="R86:R87"/>
    <mergeCell ref="AQ86:AQ87"/>
    <mergeCell ref="AR86:AR87"/>
    <mergeCell ref="AZ86:AZ87"/>
    <mergeCell ref="BA86:BA87"/>
    <mergeCell ref="BB86:BB87"/>
    <mergeCell ref="BC86:BC87"/>
    <mergeCell ref="AM86:AM87"/>
    <mergeCell ref="AN86:AN87"/>
    <mergeCell ref="AO86:AO87"/>
    <mergeCell ref="AP86:AP87"/>
    <mergeCell ref="S86:S87"/>
    <mergeCell ref="T86:T87"/>
    <mergeCell ref="J86:J87"/>
    <mergeCell ref="N86:N87"/>
    <mergeCell ref="BC88:BC89"/>
    <mergeCell ref="J88:J89"/>
    <mergeCell ref="N88:N89"/>
    <mergeCell ref="Q88:Q89"/>
    <mergeCell ref="R88:R89"/>
    <mergeCell ref="U86:U87"/>
    <mergeCell ref="V86:V87"/>
    <mergeCell ref="W86:W87"/>
    <mergeCell ref="X86:X87"/>
    <mergeCell ref="Y86:Y87"/>
    <mergeCell ref="Z86:Z87"/>
    <mergeCell ref="BE86:BE87"/>
    <mergeCell ref="AL86:AL87"/>
    <mergeCell ref="AA86:AA87"/>
    <mergeCell ref="AB86:AB87"/>
    <mergeCell ref="AC86:AC87"/>
    <mergeCell ref="AD86:AD87"/>
    <mergeCell ref="AE86:AE87"/>
    <mergeCell ref="AF86:AF87"/>
    <mergeCell ref="AA88:AA89"/>
    <mergeCell ref="AB88:AB89"/>
    <mergeCell ref="AC88:AC89"/>
    <mergeCell ref="AD88:AD89"/>
    <mergeCell ref="AJ88:AJ89"/>
    <mergeCell ref="AK88:AK89"/>
    <mergeCell ref="AL88:AL89"/>
    <mergeCell ref="AM88:AM89"/>
    <mergeCell ref="AN88:AN89"/>
    <mergeCell ref="AO88:AO89"/>
    <mergeCell ref="AP88:AP89"/>
    <mergeCell ref="AG86:AG87"/>
    <mergeCell ref="AH86:AH87"/>
    <mergeCell ref="AI86:AI87"/>
    <mergeCell ref="AJ86:AJ87"/>
    <mergeCell ref="AK86:AK87"/>
    <mergeCell ref="BD86:BD87"/>
    <mergeCell ref="AS86:AS87"/>
    <mergeCell ref="AT86:AT87"/>
    <mergeCell ref="AU86:AU87"/>
    <mergeCell ref="AV86:AV87"/>
    <mergeCell ref="AW86:AW87"/>
    <mergeCell ref="AX86:AX87"/>
    <mergeCell ref="AY86:AY87"/>
    <mergeCell ref="BG88:BG89"/>
    <mergeCell ref="A90:I90"/>
    <mergeCell ref="AW88:AW89"/>
    <mergeCell ref="AX88:AX89"/>
    <mergeCell ref="AY88:AY89"/>
    <mergeCell ref="AZ88:AZ89"/>
    <mergeCell ref="BA88:BA89"/>
    <mergeCell ref="BB88:BB89"/>
    <mergeCell ref="AQ88:AQ89"/>
    <mergeCell ref="AR88:AR89"/>
    <mergeCell ref="H88:H89"/>
    <mergeCell ref="I88:I89"/>
    <mergeCell ref="S88:S89"/>
    <mergeCell ref="T88:T89"/>
    <mergeCell ref="U88:U89"/>
    <mergeCell ref="V88:V89"/>
    <mergeCell ref="W88:W89"/>
    <mergeCell ref="X88:X89"/>
    <mergeCell ref="BE88:BE89"/>
    <mergeCell ref="BF88:BF89"/>
    <mergeCell ref="AS88:AS89"/>
    <mergeCell ref="AT88:AT89"/>
    <mergeCell ref="AU88:AU89"/>
    <mergeCell ref="AV88:AV89"/>
    <mergeCell ref="BD88:BD89"/>
    <mergeCell ref="G88:G89"/>
    <mergeCell ref="N91:N92"/>
    <mergeCell ref="Q91:Q92"/>
    <mergeCell ref="Y88:Y89"/>
    <mergeCell ref="Z88:Z89"/>
    <mergeCell ref="R91:R92"/>
    <mergeCell ref="S91:S92"/>
    <mergeCell ref="T91:T92"/>
    <mergeCell ref="U91:U92"/>
    <mergeCell ref="V91:V92"/>
    <mergeCell ref="W91:W92"/>
    <mergeCell ref="X91:X92"/>
    <mergeCell ref="Y91:Y92"/>
    <mergeCell ref="AE88:AE89"/>
    <mergeCell ref="AF88:AF89"/>
    <mergeCell ref="AG88:AG89"/>
    <mergeCell ref="AH88:AH89"/>
    <mergeCell ref="AI88:AI89"/>
    <mergeCell ref="BD91:BD92"/>
    <mergeCell ref="BE91:BE92"/>
    <mergeCell ref="BF91:BF92"/>
    <mergeCell ref="BG91:BG92"/>
    <mergeCell ref="AV91:AV92"/>
    <mergeCell ref="AW91:AW92"/>
    <mergeCell ref="AX91:AX92"/>
    <mergeCell ref="AY91:AY92"/>
    <mergeCell ref="AZ91:AZ92"/>
    <mergeCell ref="BA91:BA92"/>
    <mergeCell ref="Z91:Z92"/>
    <mergeCell ref="AA91:AA92"/>
    <mergeCell ref="AB91:AB92"/>
    <mergeCell ref="AC91:AC92"/>
    <mergeCell ref="BB91:BB92"/>
    <mergeCell ref="BC91:BC92"/>
    <mergeCell ref="AP91:AP92"/>
    <mergeCell ref="AQ91:AQ92"/>
    <mergeCell ref="AR91:AR92"/>
    <mergeCell ref="AS91:AS92"/>
    <mergeCell ref="AD91:AD92"/>
    <mergeCell ref="AE91:AE92"/>
    <mergeCell ref="AF91:AF92"/>
    <mergeCell ref="AG91:AG92"/>
    <mergeCell ref="AH91:AH92"/>
    <mergeCell ref="AI91:AI92"/>
    <mergeCell ref="AJ91:AJ92"/>
    <mergeCell ref="AK91:AK92"/>
    <mergeCell ref="AL91:AL92"/>
    <mergeCell ref="AM91:AM92"/>
    <mergeCell ref="AN91:AN92"/>
    <mergeCell ref="AO91:AO92"/>
    <mergeCell ref="A93:A94"/>
    <mergeCell ref="B93:B94"/>
    <mergeCell ref="C93:C94"/>
    <mergeCell ref="D93:D94"/>
    <mergeCell ref="E93:E94"/>
    <mergeCell ref="F93:F94"/>
    <mergeCell ref="G93:G94"/>
    <mergeCell ref="H93:H94"/>
    <mergeCell ref="I93:I94"/>
    <mergeCell ref="J93:J94"/>
    <mergeCell ref="N93:N94"/>
    <mergeCell ref="Q93:Q94"/>
    <mergeCell ref="AT91:AT92"/>
    <mergeCell ref="AU91:AU92"/>
    <mergeCell ref="R93:R94"/>
    <mergeCell ref="S93:S94"/>
    <mergeCell ref="T93:T94"/>
    <mergeCell ref="U93:U94"/>
    <mergeCell ref="V93:V94"/>
    <mergeCell ref="W93:W94"/>
    <mergeCell ref="AJ93:AJ94"/>
    <mergeCell ref="AK93:AK94"/>
    <mergeCell ref="A91:A92"/>
    <mergeCell ref="B91:B92"/>
    <mergeCell ref="C91:C92"/>
    <mergeCell ref="D91:D92"/>
    <mergeCell ref="E91:E92"/>
    <mergeCell ref="F91:F92"/>
    <mergeCell ref="G91:G92"/>
    <mergeCell ref="H91:H92"/>
    <mergeCell ref="I91:I92"/>
    <mergeCell ref="J91:J92"/>
    <mergeCell ref="BF93:BF94"/>
    <mergeCell ref="BG93:BG94"/>
    <mergeCell ref="X93:X94"/>
    <mergeCell ref="Y93:Y94"/>
    <mergeCell ref="Z93:Z94"/>
    <mergeCell ref="AA93:AA94"/>
    <mergeCell ref="AB93:AB94"/>
    <mergeCell ref="AC93:AC94"/>
    <mergeCell ref="AL93:AL94"/>
    <mergeCell ref="AM93:AM94"/>
    <mergeCell ref="AN93:AN94"/>
    <mergeCell ref="AO93:AO94"/>
    <mergeCell ref="AD93:AD94"/>
    <mergeCell ref="AE93:AE94"/>
    <mergeCell ref="AF93:AF94"/>
    <mergeCell ref="AG93:AG94"/>
    <mergeCell ref="AH93:AH94"/>
    <mergeCell ref="AI93:AI94"/>
    <mergeCell ref="W95:W96"/>
    <mergeCell ref="AP93:AP94"/>
    <mergeCell ref="AQ93:AQ94"/>
    <mergeCell ref="AR93:AR94"/>
    <mergeCell ref="AS93:AS94"/>
    <mergeCell ref="AT93:AT94"/>
    <mergeCell ref="AU93:AU94"/>
    <mergeCell ref="AV93:AV94"/>
    <mergeCell ref="AW93:AW94"/>
    <mergeCell ref="AX93:AX94"/>
    <mergeCell ref="AY93:AY94"/>
    <mergeCell ref="AZ93:AZ94"/>
    <mergeCell ref="BA93:BA94"/>
    <mergeCell ref="BB93:BB94"/>
    <mergeCell ref="BC93:BC94"/>
    <mergeCell ref="BD93:BD94"/>
    <mergeCell ref="BE93:BE94"/>
    <mergeCell ref="BC95:BC96"/>
    <mergeCell ref="BD95:BD96"/>
    <mergeCell ref="BE95:BE96"/>
    <mergeCell ref="A95:A96"/>
    <mergeCell ref="B95:B96"/>
    <mergeCell ref="C95:C96"/>
    <mergeCell ref="D95:D96"/>
    <mergeCell ref="E95:E96"/>
    <mergeCell ref="F95:F96"/>
    <mergeCell ref="G95:G96"/>
    <mergeCell ref="H95:H96"/>
    <mergeCell ref="I95:I96"/>
    <mergeCell ref="J95:J96"/>
    <mergeCell ref="N95:N96"/>
    <mergeCell ref="Q95:Q96"/>
    <mergeCell ref="R95:R96"/>
    <mergeCell ref="S95:S96"/>
    <mergeCell ref="T95:T96"/>
    <mergeCell ref="U95:U96"/>
    <mergeCell ref="V95:V96"/>
    <mergeCell ref="BG95:BG96"/>
    <mergeCell ref="X95:X96"/>
    <mergeCell ref="Y95:Y96"/>
    <mergeCell ref="Z95:Z96"/>
    <mergeCell ref="AA95:AA96"/>
    <mergeCell ref="AB95:AB96"/>
    <mergeCell ref="AC95:AC96"/>
    <mergeCell ref="AD95:AD96"/>
    <mergeCell ref="AE95:AE96"/>
    <mergeCell ref="AF95:AF96"/>
    <mergeCell ref="AG95:AG96"/>
    <mergeCell ref="AH95:AH96"/>
    <mergeCell ref="AI95:AI96"/>
    <mergeCell ref="AJ95:AJ96"/>
    <mergeCell ref="AK95:AK96"/>
    <mergeCell ref="AL95:AL96"/>
    <mergeCell ref="AM95:AM96"/>
    <mergeCell ref="AN95:AN96"/>
    <mergeCell ref="AO95:AO96"/>
    <mergeCell ref="AP95:AP96"/>
    <mergeCell ref="AQ95:AQ96"/>
    <mergeCell ref="AR95:AR96"/>
    <mergeCell ref="AS95:AS96"/>
    <mergeCell ref="AT95:AT96"/>
    <mergeCell ref="AU95:AU96"/>
    <mergeCell ref="AV95:AV96"/>
    <mergeCell ref="AW95:AW96"/>
    <mergeCell ref="AX95:AX96"/>
    <mergeCell ref="AY95:AY96"/>
    <mergeCell ref="AZ95:AZ96"/>
    <mergeCell ref="BA95:BA96"/>
    <mergeCell ref="BB95:BB96"/>
    <mergeCell ref="BF95:BF96"/>
    <mergeCell ref="BC97:BC98"/>
    <mergeCell ref="BD97:BD98"/>
    <mergeCell ref="BE97:BE98"/>
    <mergeCell ref="BF97:BF98"/>
    <mergeCell ref="BG97:BG98"/>
    <mergeCell ref="AV97:AV98"/>
    <mergeCell ref="AW97:AW98"/>
    <mergeCell ref="AX97:AX98"/>
    <mergeCell ref="AY97:AY98"/>
    <mergeCell ref="AZ97:AZ98"/>
    <mergeCell ref="A97:A98"/>
    <mergeCell ref="B97:B98"/>
    <mergeCell ref="C97:C98"/>
    <mergeCell ref="D97:D98"/>
    <mergeCell ref="E97:E98"/>
    <mergeCell ref="F97:F98"/>
    <mergeCell ref="G97:G98"/>
    <mergeCell ref="H97:H98"/>
    <mergeCell ref="I97:I98"/>
    <mergeCell ref="J97:J98"/>
    <mergeCell ref="N97:N98"/>
    <mergeCell ref="Q97:Q98"/>
    <mergeCell ref="AA97:AA98"/>
    <mergeCell ref="AB97:AB98"/>
    <mergeCell ref="AC97:AC98"/>
    <mergeCell ref="R97:R98"/>
    <mergeCell ref="S97:S98"/>
    <mergeCell ref="T97:T98"/>
    <mergeCell ref="U97:U98"/>
    <mergeCell ref="V97:V98"/>
    <mergeCell ref="W97:W98"/>
    <mergeCell ref="X97:X98"/>
    <mergeCell ref="A99:I99"/>
    <mergeCell ref="A100:A101"/>
    <mergeCell ref="B100:B101"/>
    <mergeCell ref="C100:C101"/>
    <mergeCell ref="D100:D101"/>
    <mergeCell ref="E100:E101"/>
    <mergeCell ref="F100:F101"/>
    <mergeCell ref="G100:G101"/>
    <mergeCell ref="H100:H101"/>
    <mergeCell ref="I100:I101"/>
    <mergeCell ref="J100:J101"/>
    <mergeCell ref="N100:N101"/>
    <mergeCell ref="Q100:Q101"/>
    <mergeCell ref="R100:R101"/>
    <mergeCell ref="S100:S101"/>
    <mergeCell ref="T100:T101"/>
    <mergeCell ref="BA97:BA98"/>
    <mergeCell ref="AP97:AP98"/>
    <mergeCell ref="AQ97:AQ98"/>
    <mergeCell ref="AR97:AR98"/>
    <mergeCell ref="AS97:AS98"/>
    <mergeCell ref="AT97:AT98"/>
    <mergeCell ref="AU97:AU98"/>
    <mergeCell ref="Y97:Y98"/>
    <mergeCell ref="Z97:Z98"/>
    <mergeCell ref="AQ100:AQ101"/>
    <mergeCell ref="AR100:AR101"/>
    <mergeCell ref="AG100:AG101"/>
    <mergeCell ref="AH100:AH101"/>
    <mergeCell ref="AI100:AI101"/>
    <mergeCell ref="AJ100:AJ101"/>
    <mergeCell ref="AK100:AK101"/>
    <mergeCell ref="AL100:AL101"/>
    <mergeCell ref="AD97:AD98"/>
    <mergeCell ref="AE97:AE98"/>
    <mergeCell ref="AF97:AF98"/>
    <mergeCell ref="AG97:AG98"/>
    <mergeCell ref="AH97:AH98"/>
    <mergeCell ref="AI97:AI98"/>
    <mergeCell ref="AC100:AC101"/>
    <mergeCell ref="AD100:AD101"/>
    <mergeCell ref="AE100:AE101"/>
    <mergeCell ref="AF100:AF101"/>
    <mergeCell ref="AM100:AM101"/>
    <mergeCell ref="AN100:AN101"/>
    <mergeCell ref="AO100:AO101"/>
    <mergeCell ref="AP100:AP101"/>
    <mergeCell ref="AS100:AS101"/>
    <mergeCell ref="BB97:BB98"/>
    <mergeCell ref="AJ97:AJ98"/>
    <mergeCell ref="AK97:AK98"/>
    <mergeCell ref="AL97:AL98"/>
    <mergeCell ref="AM97:AM98"/>
    <mergeCell ref="AN97:AN98"/>
    <mergeCell ref="AO97:AO98"/>
    <mergeCell ref="BD100:BD101"/>
    <mergeCell ref="BE100:BE101"/>
    <mergeCell ref="BF100:BF101"/>
    <mergeCell ref="BG100:BG101"/>
    <mergeCell ref="A102:A103"/>
    <mergeCell ref="B102:B103"/>
    <mergeCell ref="C102:C103"/>
    <mergeCell ref="D102:D103"/>
    <mergeCell ref="E102:E103"/>
    <mergeCell ref="F102:F103"/>
    <mergeCell ref="G102:G103"/>
    <mergeCell ref="H102:H103"/>
    <mergeCell ref="I102:I103"/>
    <mergeCell ref="J102:J103"/>
    <mergeCell ref="N102:N103"/>
    <mergeCell ref="Q102:Q103"/>
    <mergeCell ref="R102:R103"/>
    <mergeCell ref="U100:U101"/>
    <mergeCell ref="V100:V101"/>
    <mergeCell ref="W100:W101"/>
    <mergeCell ref="X100:X101"/>
    <mergeCell ref="Y100:Y101"/>
    <mergeCell ref="Z100:Z101"/>
    <mergeCell ref="AA100:AA101"/>
    <mergeCell ref="AB100:AB101"/>
    <mergeCell ref="AT100:AT101"/>
    <mergeCell ref="AU100:AU101"/>
    <mergeCell ref="AV100:AV101"/>
    <mergeCell ref="AW100:AW101"/>
    <mergeCell ref="AX100:AX101"/>
    <mergeCell ref="AY100:AY101"/>
    <mergeCell ref="AZ100:AZ101"/>
    <mergeCell ref="BA100:BA101"/>
    <mergeCell ref="BB100:BB101"/>
    <mergeCell ref="BC100:BC101"/>
    <mergeCell ref="A104:A105"/>
    <mergeCell ref="B104:B105"/>
    <mergeCell ref="C104:C105"/>
    <mergeCell ref="D104:D105"/>
    <mergeCell ref="E104:E105"/>
    <mergeCell ref="F104:F105"/>
    <mergeCell ref="G104:G105"/>
    <mergeCell ref="H104:H105"/>
    <mergeCell ref="I104:I105"/>
    <mergeCell ref="J104:J105"/>
    <mergeCell ref="N104:N105"/>
    <mergeCell ref="S102:S103"/>
    <mergeCell ref="T102:T103"/>
    <mergeCell ref="U102:U103"/>
    <mergeCell ref="V102:V103"/>
    <mergeCell ref="W102:W103"/>
    <mergeCell ref="X102:X103"/>
    <mergeCell ref="AQ102:AQ103"/>
    <mergeCell ref="AR102:AR103"/>
    <mergeCell ref="AU102:AU103"/>
    <mergeCell ref="AV102:AV103"/>
    <mergeCell ref="AW102:AW103"/>
    <mergeCell ref="AX102:AX103"/>
    <mergeCell ref="AY102:AY103"/>
    <mergeCell ref="AZ102:AZ103"/>
    <mergeCell ref="BA102:BA103"/>
    <mergeCell ref="BB102:BB103"/>
    <mergeCell ref="BC102:BC103"/>
    <mergeCell ref="BD102:BD103"/>
    <mergeCell ref="BE102:BE103"/>
    <mergeCell ref="BF102:BF103"/>
    <mergeCell ref="BG102:BG103"/>
    <mergeCell ref="V104:V105"/>
    <mergeCell ref="W104:W105"/>
    <mergeCell ref="X104:X105"/>
    <mergeCell ref="Y104:Y105"/>
    <mergeCell ref="Z104:Z105"/>
    <mergeCell ref="AA104:AA105"/>
    <mergeCell ref="AB104:AB105"/>
    <mergeCell ref="AK102:AK103"/>
    <mergeCell ref="AL102:AL103"/>
    <mergeCell ref="AM102:AM103"/>
    <mergeCell ref="AN102:AN103"/>
    <mergeCell ref="AC104:AC105"/>
    <mergeCell ref="AD104:AD105"/>
    <mergeCell ref="AE104:AE105"/>
    <mergeCell ref="AF104:AF105"/>
    <mergeCell ref="AG104:AG105"/>
    <mergeCell ref="AH104:AH105"/>
    <mergeCell ref="AO102:AO103"/>
    <mergeCell ref="AP102:AP103"/>
    <mergeCell ref="Y102:Y103"/>
    <mergeCell ref="Z102:Z103"/>
    <mergeCell ref="AA102:AA103"/>
    <mergeCell ref="AB102:AB103"/>
    <mergeCell ref="AC102:AC103"/>
    <mergeCell ref="AD102:AD103"/>
    <mergeCell ref="AE102:AE103"/>
    <mergeCell ref="AF102:AF103"/>
    <mergeCell ref="AG102:AG103"/>
    <mergeCell ref="AH102:AH103"/>
    <mergeCell ref="AI102:AI103"/>
    <mergeCell ref="AJ102:AJ103"/>
    <mergeCell ref="AT104:AT105"/>
    <mergeCell ref="AI104:AI105"/>
    <mergeCell ref="AJ104:AJ105"/>
    <mergeCell ref="AK104:AK105"/>
    <mergeCell ref="AL104:AL105"/>
    <mergeCell ref="AM104:AM105"/>
    <mergeCell ref="AN104:AN105"/>
    <mergeCell ref="AS102:AS103"/>
    <mergeCell ref="AT102:AT103"/>
    <mergeCell ref="AV104:AV105"/>
    <mergeCell ref="AW104:AW105"/>
    <mergeCell ref="AX104:AX105"/>
    <mergeCell ref="AY104:AY105"/>
    <mergeCell ref="AZ104:AZ105"/>
    <mergeCell ref="AO104:AO105"/>
    <mergeCell ref="AP104:AP105"/>
    <mergeCell ref="AQ104:AQ105"/>
    <mergeCell ref="AR104:AR105"/>
    <mergeCell ref="AS104:AS105"/>
    <mergeCell ref="AU104:AU105"/>
    <mergeCell ref="BE106:BE107"/>
    <mergeCell ref="BF106:BF107"/>
    <mergeCell ref="BG106:BG107"/>
    <mergeCell ref="A108:I108"/>
    <mergeCell ref="A109:I109"/>
    <mergeCell ref="AY106:AY107"/>
    <mergeCell ref="AZ106:AZ107"/>
    <mergeCell ref="BA106:BA107"/>
    <mergeCell ref="BB106:BB107"/>
    <mergeCell ref="BA104:BA105"/>
    <mergeCell ref="BB104:BB105"/>
    <mergeCell ref="BC104:BC105"/>
    <mergeCell ref="BD104:BD105"/>
    <mergeCell ref="BE104:BE105"/>
    <mergeCell ref="BF104:BF105"/>
    <mergeCell ref="BG104:BG105"/>
    <mergeCell ref="A106:A107"/>
    <mergeCell ref="B106:B107"/>
    <mergeCell ref="C106:C107"/>
    <mergeCell ref="D106:D107"/>
    <mergeCell ref="E106:E107"/>
    <mergeCell ref="F106:F107"/>
    <mergeCell ref="G106:G107"/>
    <mergeCell ref="H106:H107"/>
    <mergeCell ref="I106:I107"/>
    <mergeCell ref="J106:J107"/>
    <mergeCell ref="N106:N107"/>
    <mergeCell ref="Q106:Q107"/>
    <mergeCell ref="R106:R107"/>
    <mergeCell ref="S106:S107"/>
    <mergeCell ref="T106:T107"/>
    <mergeCell ref="AH106:AH107"/>
    <mergeCell ref="AI106:AI107"/>
    <mergeCell ref="AJ106:AJ107"/>
    <mergeCell ref="AK106:AK107"/>
    <mergeCell ref="AL106:AL107"/>
    <mergeCell ref="AM106:AM107"/>
    <mergeCell ref="AN106:AN107"/>
    <mergeCell ref="AO106:AO107"/>
    <mergeCell ref="AP106:AP107"/>
    <mergeCell ref="AQ106:AQ107"/>
    <mergeCell ref="AR106:AR107"/>
    <mergeCell ref="BC106:BC107"/>
    <mergeCell ref="BD106:BD107"/>
    <mergeCell ref="AS106:AS107"/>
    <mergeCell ref="AT106:AT107"/>
    <mergeCell ref="AU106:AU107"/>
    <mergeCell ref="AV106:AV107"/>
    <mergeCell ref="AW106:AW107"/>
    <mergeCell ref="AX106:AX107"/>
    <mergeCell ref="I15:I16"/>
    <mergeCell ref="J15:J16"/>
    <mergeCell ref="N15:N16"/>
    <mergeCell ref="Q15:Q16"/>
    <mergeCell ref="R15:R16"/>
    <mergeCell ref="S15:S16"/>
    <mergeCell ref="AB106:AB107"/>
    <mergeCell ref="AC106:AC107"/>
    <mergeCell ref="AH15:AH16"/>
    <mergeCell ref="AI15:AI16"/>
    <mergeCell ref="AJ15:AJ16"/>
    <mergeCell ref="AK15:AK16"/>
    <mergeCell ref="T15:T16"/>
    <mergeCell ref="U15:U16"/>
    <mergeCell ref="V15:V16"/>
    <mergeCell ref="W15:W16"/>
    <mergeCell ref="X15:X16"/>
    <mergeCell ref="Y15:Y16"/>
    <mergeCell ref="BA15:BA16"/>
    <mergeCell ref="BB15:BB16"/>
    <mergeCell ref="A15:A16"/>
    <mergeCell ref="B15:B16"/>
    <mergeCell ref="C15:C16"/>
    <mergeCell ref="D15:D16"/>
    <mergeCell ref="E15:E16"/>
    <mergeCell ref="F15:F16"/>
    <mergeCell ref="G15:G16"/>
    <mergeCell ref="H15:H16"/>
    <mergeCell ref="AG106:AG107"/>
    <mergeCell ref="AD106:AD107"/>
    <mergeCell ref="AE106:AE107"/>
    <mergeCell ref="AF106:AF107"/>
    <mergeCell ref="U106:U107"/>
    <mergeCell ref="V106:V107"/>
    <mergeCell ref="W106:W107"/>
    <mergeCell ref="X106:X107"/>
    <mergeCell ref="Y106:Y107"/>
    <mergeCell ref="Z106:Z107"/>
    <mergeCell ref="AA106:AA107"/>
    <mergeCell ref="Q104:Q105"/>
    <mergeCell ref="R104:R105"/>
    <mergeCell ref="S104:S105"/>
    <mergeCell ref="T104:T105"/>
    <mergeCell ref="U104:U105"/>
    <mergeCell ref="AF15:AF16"/>
    <mergeCell ref="AG15:AG16"/>
    <mergeCell ref="Z15:Z16"/>
    <mergeCell ref="AA15:AA16"/>
    <mergeCell ref="AB15:AB16"/>
    <mergeCell ref="AC15:AC16"/>
    <mergeCell ref="AD15:AD16"/>
    <mergeCell ref="AE15:AE16"/>
    <mergeCell ref="BC15:BC16"/>
    <mergeCell ref="BD15:BD16"/>
    <mergeCell ref="AU15:AU16"/>
    <mergeCell ref="AV15:AV16"/>
    <mergeCell ref="AW15:AW16"/>
    <mergeCell ref="AX15:AX16"/>
    <mergeCell ref="AY15:AY16"/>
    <mergeCell ref="AZ15:AZ16"/>
    <mergeCell ref="BE15:BE16"/>
    <mergeCell ref="BF15:BF16"/>
    <mergeCell ref="BG15:BG16"/>
    <mergeCell ref="AN15:AN16"/>
    <mergeCell ref="AO15:AO16"/>
    <mergeCell ref="AP15:AP16"/>
    <mergeCell ref="AQ15:AQ16"/>
    <mergeCell ref="AR15:AR16"/>
    <mergeCell ref="AS15:AS16"/>
    <mergeCell ref="AT15:AT16"/>
  </mergeCells>
  <phoneticPr fontId="61" type="noConversion"/>
  <pageMargins left="0" right="0" top="0" bottom="0" header="0" footer="0"/>
  <pageSetup paperSize="9" scale="65"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3"/>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45274</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4" si="0">L5-M5</f>
        <v>0</v>
      </c>
      <c r="P5" s="27">
        <v>0</v>
      </c>
      <c r="Q5" s="99">
        <f>+L6-P6</f>
        <v>36</v>
      </c>
      <c r="R5" s="85" t="s">
        <v>87</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f>
        <v>2194</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45274</v>
      </c>
      <c r="B7" s="87" t="s">
        <v>37</v>
      </c>
      <c r="C7" s="89">
        <v>1</v>
      </c>
      <c r="D7" s="91" t="s">
        <v>38</v>
      </c>
      <c r="E7" s="89">
        <v>84217</v>
      </c>
      <c r="F7" s="89" t="s">
        <v>49</v>
      </c>
      <c r="G7" s="93" t="s">
        <v>63</v>
      </c>
      <c r="H7" s="90" t="s">
        <v>39</v>
      </c>
      <c r="I7" s="90">
        <v>4965</v>
      </c>
      <c r="J7" s="90">
        <v>965</v>
      </c>
      <c r="K7" s="20">
        <v>0</v>
      </c>
      <c r="L7" s="20">
        <v>36</v>
      </c>
      <c r="M7" s="20">
        <v>36</v>
      </c>
      <c r="N7" s="97">
        <f>O8/L8</f>
        <v>0.66357069143446856</v>
      </c>
      <c r="O7" s="21">
        <f t="shared" si="0"/>
        <v>0</v>
      </c>
      <c r="P7" s="27">
        <v>125</v>
      </c>
      <c r="Q7" s="99">
        <f>+L8-P8</f>
        <v>135</v>
      </c>
      <c r="R7" s="85"/>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5+13+70+100+67+52+57+45+75+145+72+45+98+99+26</f>
        <v>969</v>
      </c>
      <c r="L8" s="18">
        <f>5+13+60+10+10+10+50+150+40+160+120+20+30+180+75+36</f>
        <v>969</v>
      </c>
      <c r="M8" s="18">
        <f>10+10+40+30+40+60+10+10+60+20+36</f>
        <v>326</v>
      </c>
      <c r="N8" s="98"/>
      <c r="O8" s="19">
        <f t="shared" si="0"/>
        <v>643</v>
      </c>
      <c r="P8" s="22">
        <f>10+30+30+10+38+41+53+189+142+63+63+40+125</f>
        <v>834</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45274</v>
      </c>
      <c r="B9" s="87" t="s">
        <v>37</v>
      </c>
      <c r="C9" s="89">
        <v>1</v>
      </c>
      <c r="D9" s="91" t="s">
        <v>38</v>
      </c>
      <c r="E9" s="89">
        <v>84217</v>
      </c>
      <c r="F9" s="89" t="s">
        <v>49</v>
      </c>
      <c r="G9" s="93" t="s">
        <v>63</v>
      </c>
      <c r="H9" s="90" t="s">
        <v>41</v>
      </c>
      <c r="I9" s="90">
        <v>1219</v>
      </c>
      <c r="J9" s="90">
        <v>1219</v>
      </c>
      <c r="K9" s="20">
        <v>0</v>
      </c>
      <c r="L9" s="20">
        <v>76</v>
      </c>
      <c r="M9" s="20">
        <v>26</v>
      </c>
      <c r="N9" s="97">
        <f>O10/L10</f>
        <v>0.62264150943396224</v>
      </c>
      <c r="O9" s="21">
        <f t="shared" si="0"/>
        <v>50</v>
      </c>
      <c r="P9" s="27">
        <v>86</v>
      </c>
      <c r="Q9" s="99">
        <f>+L10-P10</f>
        <v>140</v>
      </c>
      <c r="R9" s="85"/>
      <c r="S9" s="96"/>
      <c r="T9" s="96">
        <v>10</v>
      </c>
      <c r="U9" s="96">
        <v>10</v>
      </c>
      <c r="V9" s="96"/>
      <c r="W9" s="96"/>
      <c r="X9" s="96"/>
      <c r="Y9" s="96"/>
      <c r="Z9" s="96"/>
      <c r="AA9" s="96"/>
      <c r="AB9" s="96"/>
      <c r="AC9" s="96">
        <v>10</v>
      </c>
      <c r="AD9" s="96"/>
      <c r="AE9" s="96"/>
      <c r="AF9" s="96"/>
      <c r="AG9" s="96">
        <v>10</v>
      </c>
      <c r="AH9" s="96">
        <v>10</v>
      </c>
      <c r="AI9" s="96"/>
      <c r="AJ9" s="96"/>
      <c r="AK9" s="96"/>
      <c r="AL9" s="96"/>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103+85+198+61+57+39+86+192+134+36+37+120+71</f>
        <v>1219</v>
      </c>
      <c r="L10" s="18">
        <f>9+46+10+10+10+10+164+10+70+330+96+30+266+82+76</f>
        <v>1219</v>
      </c>
      <c r="M10" s="18">
        <f>9+17+10+106+21+120+38+9+83+21+26</f>
        <v>460</v>
      </c>
      <c r="N10" s="98"/>
      <c r="O10" s="19">
        <f t="shared" si="0"/>
        <v>759</v>
      </c>
      <c r="P10" s="22">
        <f>9+17+10+10+10+96+10+37+164+132+89+249+160+86</f>
        <v>1079</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45274</v>
      </c>
      <c r="B11" s="87" t="s">
        <v>37</v>
      </c>
      <c r="C11" s="89">
        <v>1</v>
      </c>
      <c r="D11" s="91" t="s">
        <v>38</v>
      </c>
      <c r="E11" s="89">
        <v>84217</v>
      </c>
      <c r="F11" s="89" t="s">
        <v>49</v>
      </c>
      <c r="G11" s="93" t="s">
        <v>63</v>
      </c>
      <c r="H11" s="90" t="s">
        <v>59</v>
      </c>
      <c r="I11" s="90">
        <v>568</v>
      </c>
      <c r="J11" s="90">
        <v>568</v>
      </c>
      <c r="K11" s="20">
        <v>3</v>
      </c>
      <c r="L11" s="20">
        <v>3</v>
      </c>
      <c r="M11" s="20">
        <v>3</v>
      </c>
      <c r="N11" s="97">
        <f>O12/L12</f>
        <v>0.50704225352112675</v>
      </c>
      <c r="O11" s="21">
        <f t="shared" si="0"/>
        <v>0</v>
      </c>
      <c r="P11" s="27">
        <v>39</v>
      </c>
      <c r="Q11" s="99">
        <f>+L12-P12</f>
        <v>0</v>
      </c>
      <c r="R11" s="85"/>
      <c r="S11" s="96"/>
      <c r="T11" s="96"/>
      <c r="U11" s="96"/>
      <c r="V11" s="96"/>
      <c r="W11" s="96"/>
      <c r="X11" s="96"/>
      <c r="Y11" s="96"/>
      <c r="Z11" s="96"/>
      <c r="AA11" s="96"/>
      <c r="AB11" s="96"/>
      <c r="AC11" s="96"/>
      <c r="AD11" s="96"/>
      <c r="AE11" s="96"/>
      <c r="AF11" s="96"/>
      <c r="AG11" s="96"/>
      <c r="AH11" s="96"/>
      <c r="AI11" s="96"/>
      <c r="AJ11" s="96"/>
      <c r="AK11" s="96"/>
      <c r="AL11" s="96"/>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201+261+103+3</f>
        <v>568</v>
      </c>
      <c r="L12" s="18">
        <f>65+200+170+130+3</f>
        <v>568</v>
      </c>
      <c r="M12" s="18">
        <f>15+101+92+69+3</f>
        <v>280</v>
      </c>
      <c r="N12" s="98"/>
      <c r="O12" s="19">
        <f t="shared" si="0"/>
        <v>288</v>
      </c>
      <c r="P12" s="22">
        <f>15+173+96+126+119+39</f>
        <v>568</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45274</v>
      </c>
      <c r="B13" s="87" t="s">
        <v>37</v>
      </c>
      <c r="C13" s="89">
        <v>1</v>
      </c>
      <c r="D13" s="91" t="s">
        <v>38</v>
      </c>
      <c r="E13" s="89">
        <v>84217</v>
      </c>
      <c r="F13" s="89" t="s">
        <v>49</v>
      </c>
      <c r="G13" s="93" t="s">
        <v>71</v>
      </c>
      <c r="H13" s="90" t="s">
        <v>47</v>
      </c>
      <c r="I13" s="90">
        <v>2804</v>
      </c>
      <c r="J13" s="90">
        <v>2804</v>
      </c>
      <c r="K13" s="20">
        <v>275</v>
      </c>
      <c r="L13" s="20">
        <v>350</v>
      </c>
      <c r="M13" s="20">
        <v>191</v>
      </c>
      <c r="N13" s="97">
        <f>O14/L14</f>
        <v>0.51346153846153841</v>
      </c>
      <c r="O13" s="21">
        <f t="shared" si="0"/>
        <v>159</v>
      </c>
      <c r="P13" s="27">
        <v>269</v>
      </c>
      <c r="Q13" s="99">
        <f>+L14-P14</f>
        <v>456</v>
      </c>
      <c r="R13" s="85"/>
      <c r="S13" s="96">
        <v>81</v>
      </c>
      <c r="T13" s="96">
        <v>1</v>
      </c>
      <c r="U13" s="96"/>
      <c r="V13" s="96"/>
      <c r="W13" s="96"/>
      <c r="X13" s="96">
        <v>1</v>
      </c>
      <c r="Y13" s="96"/>
      <c r="Z13" s="96"/>
      <c r="AA13" s="96"/>
      <c r="AB13" s="96"/>
      <c r="AC13" s="96">
        <v>26</v>
      </c>
      <c r="AD13" s="96"/>
      <c r="AE13" s="96">
        <v>7</v>
      </c>
      <c r="AF13" s="96">
        <v>6</v>
      </c>
      <c r="AG13" s="96">
        <v>5</v>
      </c>
      <c r="AH13" s="96">
        <v>7</v>
      </c>
      <c r="AI13" s="96"/>
      <c r="AJ13" s="96"/>
      <c r="AK13" s="96"/>
      <c r="AL13" s="96">
        <v>25</v>
      </c>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380+305+280+275</f>
        <v>1240</v>
      </c>
      <c r="L14" s="18">
        <f>270+420+350</f>
        <v>1040</v>
      </c>
      <c r="M14" s="18">
        <f>75+240+191</f>
        <v>506</v>
      </c>
      <c r="N14" s="98"/>
      <c r="O14" s="19">
        <f t="shared" si="0"/>
        <v>534</v>
      </c>
      <c r="P14" s="22">
        <f>75+240+269</f>
        <v>584</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45274</v>
      </c>
      <c r="B15" s="87" t="s">
        <v>37</v>
      </c>
      <c r="C15" s="89">
        <v>1</v>
      </c>
      <c r="D15" s="91" t="s">
        <v>38</v>
      </c>
      <c r="E15" s="89">
        <v>84217</v>
      </c>
      <c r="F15" s="89" t="s">
        <v>76</v>
      </c>
      <c r="G15" s="93" t="s">
        <v>71</v>
      </c>
      <c r="H15" s="90" t="s">
        <v>80</v>
      </c>
      <c r="I15" s="90">
        <v>1452</v>
      </c>
      <c r="J15" s="90">
        <v>1452</v>
      </c>
      <c r="K15" s="20">
        <v>88</v>
      </c>
      <c r="L15" s="20">
        <v>44</v>
      </c>
      <c r="M15" s="20">
        <v>10</v>
      </c>
      <c r="N15" s="97">
        <f>O16/L16</f>
        <v>0.81481481481481477</v>
      </c>
      <c r="O15" s="21">
        <f t="shared" si="0"/>
        <v>34</v>
      </c>
      <c r="P15" s="27">
        <v>10</v>
      </c>
      <c r="Q15" s="99">
        <f>+L16-P16</f>
        <v>44</v>
      </c>
      <c r="R15" s="85"/>
      <c r="S15" s="96"/>
      <c r="T15" s="96">
        <v>5</v>
      </c>
      <c r="U15" s="96">
        <v>4</v>
      </c>
      <c r="V15" s="96"/>
      <c r="W15" s="96"/>
      <c r="X15" s="96"/>
      <c r="Y15" s="96"/>
      <c r="Z15" s="96"/>
      <c r="AA15" s="96"/>
      <c r="AB15" s="96"/>
      <c r="AC15" s="96">
        <v>5</v>
      </c>
      <c r="AD15" s="96">
        <v>3</v>
      </c>
      <c r="AE15" s="96"/>
      <c r="AF15" s="96">
        <v>9</v>
      </c>
      <c r="AG15" s="96"/>
      <c r="AH15" s="96">
        <v>4</v>
      </c>
      <c r="AI15" s="96"/>
      <c r="AJ15" s="96"/>
      <c r="AK15" s="96"/>
      <c r="AL15" s="96">
        <v>4</v>
      </c>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53+88</f>
        <v>141</v>
      </c>
      <c r="L16" s="18">
        <f>10+44</f>
        <v>54</v>
      </c>
      <c r="M16" s="18">
        <v>10</v>
      </c>
      <c r="N16" s="98"/>
      <c r="O16" s="19">
        <f t="shared" si="0"/>
        <v>44</v>
      </c>
      <c r="P16" s="22">
        <f>10</f>
        <v>10</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45274</v>
      </c>
      <c r="B17" s="87" t="s">
        <v>37</v>
      </c>
      <c r="C17" s="89">
        <v>1</v>
      </c>
      <c r="D17" s="91" t="s">
        <v>38</v>
      </c>
      <c r="E17" s="89">
        <v>84212</v>
      </c>
      <c r="F17" s="89" t="s">
        <v>49</v>
      </c>
      <c r="G17" s="93" t="s">
        <v>55</v>
      </c>
      <c r="H17" s="90" t="s">
        <v>59</v>
      </c>
      <c r="I17" s="90">
        <v>708</v>
      </c>
      <c r="J17" s="90">
        <v>708</v>
      </c>
      <c r="K17" s="20">
        <v>4</v>
      </c>
      <c r="L17" s="20">
        <v>0</v>
      </c>
      <c r="M17" s="20">
        <v>0</v>
      </c>
      <c r="N17" s="97">
        <f>O18/L18</f>
        <v>0.72922636103151861</v>
      </c>
      <c r="O17" s="21">
        <f t="shared" si="0"/>
        <v>0</v>
      </c>
      <c r="P17" s="27">
        <v>10</v>
      </c>
      <c r="Q17" s="99">
        <f>+L18-P18</f>
        <v>29</v>
      </c>
      <c r="R17" s="85"/>
      <c r="S17" s="96"/>
      <c r="T17" s="96"/>
      <c r="U17" s="96"/>
      <c r="V17" s="96"/>
      <c r="W17" s="96"/>
      <c r="X17" s="96"/>
      <c r="Y17" s="96"/>
      <c r="Z17" s="96"/>
      <c r="AA17" s="96"/>
      <c r="AB17" s="96"/>
      <c r="AC17" s="96"/>
      <c r="AD17" s="96"/>
      <c r="AE17" s="96"/>
      <c r="AF17" s="96"/>
      <c r="AG17" s="96"/>
      <c r="AH17" s="96"/>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105+109+70+77+65+110+122+34+3+3+4</f>
        <v>702</v>
      </c>
      <c r="L18" s="18">
        <f>25+50+65+80+80+30+80+50+160+78</f>
        <v>698</v>
      </c>
      <c r="M18" s="18">
        <f>15+20+20+15+5+11+20+50+33</f>
        <v>189</v>
      </c>
      <c r="N18" s="98"/>
      <c r="O18" s="19">
        <f t="shared" si="0"/>
        <v>509</v>
      </c>
      <c r="P18" s="22">
        <f>15+20+35+15+5+11+53+50+335+120+10</f>
        <v>669</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45274</v>
      </c>
      <c r="B19" s="87" t="s">
        <v>37</v>
      </c>
      <c r="C19" s="89">
        <v>1</v>
      </c>
      <c r="D19" s="91" t="s">
        <v>38</v>
      </c>
      <c r="E19" s="89">
        <v>84212</v>
      </c>
      <c r="F19" s="89" t="s">
        <v>49</v>
      </c>
      <c r="G19" s="93" t="s">
        <v>55</v>
      </c>
      <c r="H19" s="90" t="s">
        <v>67</v>
      </c>
      <c r="I19" s="90">
        <v>1813</v>
      </c>
      <c r="J19" s="90">
        <v>1813</v>
      </c>
      <c r="K19" s="20">
        <v>82</v>
      </c>
      <c r="L19" s="20">
        <v>142</v>
      </c>
      <c r="M19" s="20">
        <v>27</v>
      </c>
      <c r="N19" s="97">
        <f>O20/L20</f>
        <v>0.75838544627629334</v>
      </c>
      <c r="O19" s="21">
        <f t="shared" si="0"/>
        <v>115</v>
      </c>
      <c r="P19" s="27">
        <v>330</v>
      </c>
      <c r="Q19" s="99">
        <f>+L20-P20</f>
        <v>490</v>
      </c>
      <c r="R19" s="85"/>
      <c r="S19" s="96"/>
      <c r="T19" s="96">
        <v>15</v>
      </c>
      <c r="U19" s="96"/>
      <c r="V19" s="96"/>
      <c r="W19" s="96"/>
      <c r="X19" s="96">
        <v>2</v>
      </c>
      <c r="Y19" s="96"/>
      <c r="Z19" s="96"/>
      <c r="AA19" s="96"/>
      <c r="AB19" s="96"/>
      <c r="AC19" s="96">
        <v>35</v>
      </c>
      <c r="AD19" s="96"/>
      <c r="AE19" s="96">
        <v>15</v>
      </c>
      <c r="AF19" s="96">
        <v>13</v>
      </c>
      <c r="AG19" s="96">
        <v>14</v>
      </c>
      <c r="AH19" s="96">
        <f>18+3</f>
        <v>21</v>
      </c>
      <c r="AI19" s="96"/>
      <c r="AJ19" s="96"/>
      <c r="AK19" s="96"/>
      <c r="AL19" s="96"/>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272+145+148+175+345+259+198+95+65+82</f>
        <v>1784</v>
      </c>
      <c r="L20" s="18">
        <f>30+110+235+150+484+100+160+348+142</f>
        <v>1759</v>
      </c>
      <c r="M20" s="18">
        <f>5+10+50+40+110+10+55+118+27</f>
        <v>425</v>
      </c>
      <c r="N20" s="98"/>
      <c r="O20" s="19">
        <f t="shared" si="0"/>
        <v>1334</v>
      </c>
      <c r="P20" s="22">
        <f>5+10+65+80+262+130+217+170+330</f>
        <v>1269</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45274</v>
      </c>
      <c r="B21" s="87" t="s">
        <v>37</v>
      </c>
      <c r="C21" s="89">
        <v>1</v>
      </c>
      <c r="D21" s="91" t="s">
        <v>38</v>
      </c>
      <c r="E21" s="89">
        <v>84212</v>
      </c>
      <c r="F21" s="89" t="s">
        <v>49</v>
      </c>
      <c r="G21" s="93" t="s">
        <v>55</v>
      </c>
      <c r="H21" s="90" t="s">
        <v>62</v>
      </c>
      <c r="I21" s="90">
        <v>2218</v>
      </c>
      <c r="J21" s="90">
        <v>1640</v>
      </c>
      <c r="K21" s="20">
        <v>260</v>
      </c>
      <c r="L21" s="20">
        <v>140</v>
      </c>
      <c r="M21" s="20">
        <v>60</v>
      </c>
      <c r="N21" s="97">
        <f>O22/L22</f>
        <v>0.62825278810408924</v>
      </c>
      <c r="O21" s="21">
        <f t="shared" si="0"/>
        <v>80</v>
      </c>
      <c r="P21" s="27">
        <v>77</v>
      </c>
      <c r="Q21" s="99">
        <f>+L22-P22</f>
        <v>159</v>
      </c>
      <c r="R21" s="85"/>
      <c r="S21" s="96"/>
      <c r="T21" s="96">
        <v>16</v>
      </c>
      <c r="U21" s="96"/>
      <c r="V21" s="96"/>
      <c r="W21" s="96"/>
      <c r="X21" s="96">
        <v>4</v>
      </c>
      <c r="Y21" s="96"/>
      <c r="Z21" s="96"/>
      <c r="AA21" s="96"/>
      <c r="AB21" s="96"/>
      <c r="AC21" s="96">
        <v>19</v>
      </c>
      <c r="AD21" s="96"/>
      <c r="AE21" s="96">
        <v>4</v>
      </c>
      <c r="AF21" s="96"/>
      <c r="AG21" s="96">
        <v>13</v>
      </c>
      <c r="AH21" s="96">
        <v>16</v>
      </c>
      <c r="AI21" s="96"/>
      <c r="AJ21" s="96"/>
      <c r="AK21" s="96"/>
      <c r="AL21" s="96">
        <v>8</v>
      </c>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166+95+22+85+70+260</f>
        <v>698</v>
      </c>
      <c r="L22" s="18">
        <f>40+40+160+43+115+140</f>
        <v>538</v>
      </c>
      <c r="M22" s="18">
        <f>6+14+50+20+50+60</f>
        <v>200</v>
      </c>
      <c r="N22" s="98"/>
      <c r="O22" s="19">
        <f t="shared" si="0"/>
        <v>338</v>
      </c>
      <c r="P22" s="22">
        <f>6+14+50+28+64+69+71+77</f>
        <v>379</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45274</v>
      </c>
      <c r="B23" s="87" t="s">
        <v>37</v>
      </c>
      <c r="C23" s="89">
        <v>1</v>
      </c>
      <c r="D23" s="91" t="s">
        <v>38</v>
      </c>
      <c r="E23" s="89">
        <v>84212</v>
      </c>
      <c r="F23" s="89" t="s">
        <v>49</v>
      </c>
      <c r="G23" s="93" t="s">
        <v>55</v>
      </c>
      <c r="H23" s="90" t="s">
        <v>78</v>
      </c>
      <c r="I23" s="90">
        <v>747</v>
      </c>
      <c r="J23" s="90">
        <v>747</v>
      </c>
      <c r="K23" s="20">
        <v>52</v>
      </c>
      <c r="L23" s="20">
        <v>75</v>
      </c>
      <c r="M23" s="20">
        <v>25</v>
      </c>
      <c r="N23" s="97">
        <f>O24/L24</f>
        <v>0.80029368575624082</v>
      </c>
      <c r="O23" s="21">
        <f t="shared" si="0"/>
        <v>50</v>
      </c>
      <c r="P23" s="27">
        <v>152</v>
      </c>
      <c r="Q23" s="99">
        <f>+L24-P24</f>
        <v>100</v>
      </c>
      <c r="R23" s="85"/>
      <c r="S23" s="96"/>
      <c r="T23" s="96">
        <v>21</v>
      </c>
      <c r="U23" s="96">
        <v>1</v>
      </c>
      <c r="V23" s="96"/>
      <c r="W23" s="96"/>
      <c r="X23" s="96"/>
      <c r="Y23" s="96"/>
      <c r="Z23" s="96"/>
      <c r="AA23" s="96"/>
      <c r="AB23" s="96"/>
      <c r="AC23" s="96">
        <v>4</v>
      </c>
      <c r="AD23" s="96"/>
      <c r="AE23" s="96">
        <v>2</v>
      </c>
      <c r="AF23" s="96">
        <v>2</v>
      </c>
      <c r="AG23" s="96">
        <v>7</v>
      </c>
      <c r="AH23" s="96">
        <v>6</v>
      </c>
      <c r="AI23" s="96"/>
      <c r="AJ23" s="96"/>
      <c r="AK23" s="96"/>
      <c r="AL23" s="96">
        <v>7</v>
      </c>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117+41+130+144+90+84+85+52</f>
        <v>743</v>
      </c>
      <c r="L24" s="18">
        <f>80+50+150+150+176+75</f>
        <v>681</v>
      </c>
      <c r="M24" s="18">
        <f>10+5+30+30+36+25</f>
        <v>136</v>
      </c>
      <c r="N24" s="98"/>
      <c r="O24" s="19">
        <f t="shared" si="0"/>
        <v>545</v>
      </c>
      <c r="P24" s="22">
        <f>10+5+30+171+80+133+152</f>
        <v>581</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45274</v>
      </c>
      <c r="B25" s="87" t="s">
        <v>37</v>
      </c>
      <c r="C25" s="89">
        <v>1</v>
      </c>
      <c r="D25" s="91" t="s">
        <v>38</v>
      </c>
      <c r="E25" s="89">
        <v>84212</v>
      </c>
      <c r="F25" s="89" t="s">
        <v>49</v>
      </c>
      <c r="G25" s="93" t="s">
        <v>61</v>
      </c>
      <c r="H25" s="89" t="s">
        <v>65</v>
      </c>
      <c r="I25" s="89">
        <v>533</v>
      </c>
      <c r="J25" s="89">
        <v>533</v>
      </c>
      <c r="K25" s="20">
        <v>0</v>
      </c>
      <c r="L25" s="20">
        <v>0</v>
      </c>
      <c r="M25" s="20">
        <v>0</v>
      </c>
      <c r="N25" s="146">
        <f>O26/L26</f>
        <v>0.69230769230769229</v>
      </c>
      <c r="O25" s="21">
        <f t="shared" si="0"/>
        <v>0</v>
      </c>
      <c r="P25" s="27">
        <v>50</v>
      </c>
      <c r="Q25" s="99">
        <f>+L26-P26</f>
        <v>0</v>
      </c>
      <c r="R25" s="108"/>
      <c r="S25" s="149"/>
      <c r="T25" s="149"/>
      <c r="U25" s="149"/>
      <c r="V25" s="149"/>
      <c r="W25" s="149"/>
      <c r="X25" s="149"/>
      <c r="Y25" s="149"/>
      <c r="Z25" s="149"/>
      <c r="AA25" s="149"/>
      <c r="AB25" s="149"/>
      <c r="AC25" s="149"/>
      <c r="AD25" s="149"/>
      <c r="AE25" s="149"/>
      <c r="AF25" s="149"/>
      <c r="AG25" s="149"/>
      <c r="AH25" s="149"/>
      <c r="AI25" s="149"/>
      <c r="AJ25" s="149"/>
      <c r="AK25" s="149"/>
      <c r="AL25" s="149"/>
      <c r="AM25" s="163"/>
      <c r="AN25" s="163"/>
      <c r="AO25" s="163"/>
      <c r="AP25" s="163"/>
      <c r="AQ25" s="163"/>
      <c r="AR25" s="163"/>
      <c r="AS25" s="163"/>
      <c r="AT25" s="163"/>
      <c r="AU25" s="163"/>
      <c r="AV25" s="163"/>
      <c r="AW25" s="163"/>
      <c r="AX25" s="163"/>
      <c r="AY25" s="167"/>
      <c r="AZ25" s="167"/>
      <c r="BA25" s="167"/>
      <c r="BB25" s="167"/>
      <c r="BC25" s="167"/>
      <c r="BD25" s="167"/>
      <c r="BE25" s="163"/>
      <c r="BF25" s="165"/>
      <c r="BG25" s="165"/>
    </row>
    <row r="26" spans="1:59" s="17" customFormat="1" ht="15.75" customHeight="1">
      <c r="A26" s="85"/>
      <c r="B26" s="88"/>
      <c r="C26" s="90"/>
      <c r="D26" s="92"/>
      <c r="E26" s="90"/>
      <c r="F26" s="90"/>
      <c r="G26" s="94"/>
      <c r="H26" s="90"/>
      <c r="I26" s="90"/>
      <c r="J26" s="90"/>
      <c r="K26" s="22">
        <f>81+92+53+50+111+122+24</f>
        <v>533</v>
      </c>
      <c r="L26" s="18">
        <f>10+10+110+10+80+65+60+50+114+24</f>
        <v>533</v>
      </c>
      <c r="M26" s="18">
        <f>30+19+22+22+19+45+7</f>
        <v>164</v>
      </c>
      <c r="N26" s="147"/>
      <c r="O26" s="19">
        <f t="shared" si="0"/>
        <v>369</v>
      </c>
      <c r="P26" s="22">
        <f>50+40+39+28+88+67+108+63+50</f>
        <v>533</v>
      </c>
      <c r="Q26" s="100"/>
      <c r="R26" s="85"/>
      <c r="S26" s="150"/>
      <c r="T26" s="150"/>
      <c r="U26" s="150"/>
      <c r="V26" s="150"/>
      <c r="W26" s="150"/>
      <c r="X26" s="150"/>
      <c r="Y26" s="150"/>
      <c r="Z26" s="150"/>
      <c r="AA26" s="150"/>
      <c r="AB26" s="150"/>
      <c r="AC26" s="150"/>
      <c r="AD26" s="150"/>
      <c r="AE26" s="150"/>
      <c r="AF26" s="150"/>
      <c r="AG26" s="150"/>
      <c r="AH26" s="150"/>
      <c r="AI26" s="150"/>
      <c r="AJ26" s="150"/>
      <c r="AK26" s="150"/>
      <c r="AL26" s="150"/>
      <c r="AM26" s="164"/>
      <c r="AN26" s="164"/>
      <c r="AO26" s="164"/>
      <c r="AP26" s="164"/>
      <c r="AQ26" s="164"/>
      <c r="AR26" s="164"/>
      <c r="AS26" s="164"/>
      <c r="AT26" s="164"/>
      <c r="AU26" s="164"/>
      <c r="AV26" s="164"/>
      <c r="AW26" s="164"/>
      <c r="AX26" s="164"/>
      <c r="AY26" s="168"/>
      <c r="AZ26" s="168"/>
      <c r="BA26" s="168"/>
      <c r="BB26" s="168"/>
      <c r="BC26" s="168"/>
      <c r="BD26" s="168"/>
      <c r="BE26" s="164"/>
      <c r="BF26" s="166"/>
      <c r="BG26" s="166"/>
    </row>
    <row r="27" spans="1:59" s="17" customFormat="1" ht="15.75" customHeight="1">
      <c r="A27" s="108">
        <v>45274</v>
      </c>
      <c r="B27" s="87" t="s">
        <v>37</v>
      </c>
      <c r="C27" s="89">
        <v>1</v>
      </c>
      <c r="D27" s="91" t="s">
        <v>38</v>
      </c>
      <c r="E27" s="89">
        <v>84212</v>
      </c>
      <c r="F27" s="89" t="s">
        <v>49</v>
      </c>
      <c r="G27" s="93" t="s">
        <v>61</v>
      </c>
      <c r="H27" s="89" t="s">
        <v>59</v>
      </c>
      <c r="I27" s="89">
        <v>515</v>
      </c>
      <c r="J27" s="89">
        <v>515</v>
      </c>
      <c r="K27" s="20">
        <v>88</v>
      </c>
      <c r="L27" s="20">
        <v>138</v>
      </c>
      <c r="M27" s="20">
        <v>50</v>
      </c>
      <c r="N27" s="146">
        <f>O28/L28</f>
        <v>0.61672473867595823</v>
      </c>
      <c r="O27" s="21">
        <f t="shared" si="0"/>
        <v>88</v>
      </c>
      <c r="P27" s="27">
        <v>60</v>
      </c>
      <c r="Q27" s="99">
        <f>+L28-P28</f>
        <v>167</v>
      </c>
      <c r="R27" s="108"/>
      <c r="S27" s="149">
        <v>6</v>
      </c>
      <c r="T27" s="149">
        <v>9</v>
      </c>
      <c r="U27" s="149">
        <v>7</v>
      </c>
      <c r="V27" s="149"/>
      <c r="W27" s="149"/>
      <c r="X27" s="149">
        <v>1</v>
      </c>
      <c r="Y27" s="149">
        <v>1</v>
      </c>
      <c r="Z27" s="149"/>
      <c r="AA27" s="149"/>
      <c r="AB27" s="149"/>
      <c r="AC27" s="149">
        <v>17</v>
      </c>
      <c r="AD27" s="149"/>
      <c r="AE27" s="149">
        <v>5</v>
      </c>
      <c r="AF27" s="149">
        <v>6</v>
      </c>
      <c r="AG27" s="149">
        <v>9</v>
      </c>
      <c r="AH27" s="149">
        <v>11</v>
      </c>
      <c r="AI27" s="149"/>
      <c r="AJ27" s="149"/>
      <c r="AK27" s="149"/>
      <c r="AL27" s="149">
        <v>16</v>
      </c>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149+124+88</f>
        <v>361</v>
      </c>
      <c r="L28" s="18">
        <f>149+138</f>
        <v>287</v>
      </c>
      <c r="M28" s="18">
        <f>60+50</f>
        <v>110</v>
      </c>
      <c r="N28" s="147"/>
      <c r="O28" s="19">
        <f t="shared" si="0"/>
        <v>177</v>
      </c>
      <c r="P28" s="22">
        <f>60+60</f>
        <v>120</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45274</v>
      </c>
      <c r="B29" s="87" t="s">
        <v>37</v>
      </c>
      <c r="C29" s="89">
        <v>1</v>
      </c>
      <c r="D29" s="91" t="s">
        <v>38</v>
      </c>
      <c r="E29" s="89">
        <v>84426</v>
      </c>
      <c r="F29" s="89" t="s">
        <v>49</v>
      </c>
      <c r="G29" s="93" t="s">
        <v>55</v>
      </c>
      <c r="H29" s="90" t="s">
        <v>58</v>
      </c>
      <c r="I29" s="90">
        <v>549</v>
      </c>
      <c r="J29" s="90">
        <v>549</v>
      </c>
      <c r="K29" s="20">
        <v>0</v>
      </c>
      <c r="L29" s="20">
        <v>0</v>
      </c>
      <c r="M29" s="20">
        <v>0</v>
      </c>
      <c r="N29" s="97">
        <f>O30/L30</f>
        <v>0.81238615664845171</v>
      </c>
      <c r="O29" s="21">
        <f t="shared" si="0"/>
        <v>0</v>
      </c>
      <c r="P29" s="27">
        <v>0</v>
      </c>
      <c r="Q29" s="99">
        <f>+L30-P30</f>
        <v>3</v>
      </c>
      <c r="R29" s="108"/>
      <c r="S29" s="96"/>
      <c r="T29" s="96"/>
      <c r="U29" s="96"/>
      <c r="V29" s="96"/>
      <c r="W29" s="96"/>
      <c r="X29" s="96"/>
      <c r="Y29" s="96"/>
      <c r="Z29" s="96"/>
      <c r="AA29" s="96"/>
      <c r="AB29" s="96"/>
      <c r="AC29" s="96"/>
      <c r="AD29" s="96"/>
      <c r="AE29" s="96"/>
      <c r="AF29" s="96"/>
      <c r="AG29" s="96"/>
      <c r="AH29" s="96"/>
      <c r="AI29" s="96"/>
      <c r="AJ29" s="96"/>
      <c r="AK29" s="96"/>
      <c r="AL29" s="96"/>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5"/>
      <c r="B30" s="88"/>
      <c r="C30" s="90"/>
      <c r="D30" s="92"/>
      <c r="E30" s="90"/>
      <c r="F30" s="90"/>
      <c r="G30" s="94"/>
      <c r="H30" s="95"/>
      <c r="I30" s="95"/>
      <c r="J30" s="95"/>
      <c r="K30" s="49">
        <f>483+66</f>
        <v>549</v>
      </c>
      <c r="L30" s="18">
        <f>483+66</f>
        <v>549</v>
      </c>
      <c r="M30" s="18">
        <f>86+17</f>
        <v>103</v>
      </c>
      <c r="N30" s="98"/>
      <c r="O30" s="19">
        <f t="shared" si="0"/>
        <v>446</v>
      </c>
      <c r="P30" s="22">
        <f>453+80+11+2</f>
        <v>546</v>
      </c>
      <c r="Q30" s="100"/>
      <c r="R30" s="85"/>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108">
        <v>45274</v>
      </c>
      <c r="B31" s="87" t="s">
        <v>37</v>
      </c>
      <c r="C31" s="89">
        <v>1</v>
      </c>
      <c r="D31" s="91" t="s">
        <v>38</v>
      </c>
      <c r="E31" s="89">
        <v>84352</v>
      </c>
      <c r="F31" s="89" t="s">
        <v>49</v>
      </c>
      <c r="G31" s="93" t="s">
        <v>55</v>
      </c>
      <c r="H31" s="109" t="s">
        <v>39</v>
      </c>
      <c r="I31" s="90">
        <v>1050</v>
      </c>
      <c r="J31" s="170">
        <v>1053</v>
      </c>
      <c r="K31" s="43">
        <v>0</v>
      </c>
      <c r="L31" s="48">
        <v>0</v>
      </c>
      <c r="M31" s="20">
        <v>0</v>
      </c>
      <c r="N31" s="97">
        <f>O32/L32</f>
        <v>0.64411764705882357</v>
      </c>
      <c r="O31" s="21">
        <f t="shared" si="0"/>
        <v>0</v>
      </c>
      <c r="P31" s="27">
        <v>46</v>
      </c>
      <c r="Q31" s="99">
        <f>+L32-P32</f>
        <v>20</v>
      </c>
      <c r="R31" s="85"/>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171"/>
      <c r="K32" s="47">
        <f>320+108+237+109+43+100+35+68</f>
        <v>1020</v>
      </c>
      <c r="L32" s="46">
        <f>10+10+10+235+60+10+150+85+185+102+40+95+28</f>
        <v>1020</v>
      </c>
      <c r="M32" s="18">
        <f>75+30+45+42+80+30+8+40+13</f>
        <v>363</v>
      </c>
      <c r="N32" s="98"/>
      <c r="O32" s="19">
        <f t="shared" si="0"/>
        <v>657</v>
      </c>
      <c r="P32" s="22">
        <f>105+70+80+92+96+70+74+165+91+21+40+50+46</f>
        <v>1000</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45274</v>
      </c>
      <c r="B33" s="87" t="s">
        <v>37</v>
      </c>
      <c r="C33" s="89">
        <v>1</v>
      </c>
      <c r="D33" s="91" t="s">
        <v>38</v>
      </c>
      <c r="E33" s="89">
        <v>84352</v>
      </c>
      <c r="F33" s="89" t="s">
        <v>49</v>
      </c>
      <c r="G33" s="93" t="s">
        <v>55</v>
      </c>
      <c r="H33" s="109" t="s">
        <v>57</v>
      </c>
      <c r="I33" s="90">
        <v>525</v>
      </c>
      <c r="J33" s="90">
        <v>525</v>
      </c>
      <c r="K33" s="20">
        <v>75</v>
      </c>
      <c r="L33" s="20">
        <v>125</v>
      </c>
      <c r="M33" s="20">
        <f>60+5</f>
        <v>65</v>
      </c>
      <c r="N33" s="97">
        <f>O34/L34</f>
        <v>0.67079207920792083</v>
      </c>
      <c r="O33" s="21">
        <f t="shared" si="0"/>
        <v>60</v>
      </c>
      <c r="P33" s="27">
        <f>60+30</f>
        <v>90</v>
      </c>
      <c r="Q33" s="99">
        <f>+L34-P34</f>
        <v>235</v>
      </c>
      <c r="R33" s="85"/>
      <c r="S33" s="96"/>
      <c r="T33" s="96">
        <v>6</v>
      </c>
      <c r="U33" s="96"/>
      <c r="V33" s="96"/>
      <c r="W33" s="96"/>
      <c r="X33" s="96">
        <v>2</v>
      </c>
      <c r="Y33" s="96"/>
      <c r="Z33" s="96"/>
      <c r="AA33" s="96"/>
      <c r="AB33" s="96"/>
      <c r="AC33" s="96">
        <v>4</v>
      </c>
      <c r="AD33" s="96"/>
      <c r="AE33" s="96">
        <v>8</v>
      </c>
      <c r="AF33" s="96">
        <v>9</v>
      </c>
      <c r="AG33" s="96">
        <v>6</v>
      </c>
      <c r="AH33" s="96">
        <v>3</v>
      </c>
      <c r="AI33" s="96"/>
      <c r="AJ33" s="96"/>
      <c r="AK33" s="96"/>
      <c r="AL33" s="96">
        <f>13+9</f>
        <v>22</v>
      </c>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41">
        <f>70+50+122+102+35+75</f>
        <v>454</v>
      </c>
      <c r="L34" s="18">
        <f>20+60+162+37+125</f>
        <v>404</v>
      </c>
      <c r="M34" s="18">
        <f>9+30+22+7+65</f>
        <v>133</v>
      </c>
      <c r="N34" s="98"/>
      <c r="O34" s="19">
        <f t="shared" si="0"/>
        <v>271</v>
      </c>
      <c r="P34" s="22">
        <f>9+30+32+8+90</f>
        <v>169</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45274</v>
      </c>
      <c r="B35" s="87" t="s">
        <v>37</v>
      </c>
      <c r="C35" s="89">
        <v>1</v>
      </c>
      <c r="D35" s="91" t="s">
        <v>38</v>
      </c>
      <c r="E35" s="89">
        <v>84031</v>
      </c>
      <c r="F35" s="89" t="s">
        <v>49</v>
      </c>
      <c r="G35" s="93" t="s">
        <v>53</v>
      </c>
      <c r="H35" s="90" t="s">
        <v>57</v>
      </c>
      <c r="I35" s="90">
        <v>563</v>
      </c>
      <c r="J35" s="90">
        <v>563</v>
      </c>
      <c r="K35" s="43">
        <v>0</v>
      </c>
      <c r="L35" s="20">
        <v>0</v>
      </c>
      <c r="M35" s="20">
        <v>0</v>
      </c>
      <c r="N35" s="97">
        <f>O36/L36</f>
        <v>0.85343228200371057</v>
      </c>
      <c r="O35" s="21">
        <f t="shared" si="0"/>
        <v>0</v>
      </c>
      <c r="P35" s="27">
        <v>0</v>
      </c>
      <c r="Q35" s="99">
        <f>+L36-P36</f>
        <v>0</v>
      </c>
      <c r="R35" s="85" t="s">
        <v>86</v>
      </c>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516+20+3</f>
        <v>539</v>
      </c>
      <c r="L36" s="18">
        <f>516+20+3</f>
        <v>539</v>
      </c>
      <c r="M36" s="18">
        <f>74+2+3</f>
        <v>79</v>
      </c>
      <c r="N36" s="98"/>
      <c r="O36" s="19">
        <f t="shared" si="0"/>
        <v>460</v>
      </c>
      <c r="P36" s="22">
        <f>516+20+3</f>
        <v>539</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45274</v>
      </c>
      <c r="B37" s="87" t="s">
        <v>37</v>
      </c>
      <c r="C37" s="89">
        <v>1</v>
      </c>
      <c r="D37" s="91" t="s">
        <v>38</v>
      </c>
      <c r="E37" s="89">
        <v>84031</v>
      </c>
      <c r="F37" s="89" t="s">
        <v>49</v>
      </c>
      <c r="G37" s="93" t="s">
        <v>53</v>
      </c>
      <c r="H37" s="90" t="s">
        <v>39</v>
      </c>
      <c r="I37" s="90">
        <v>623</v>
      </c>
      <c r="J37" s="90">
        <v>623</v>
      </c>
      <c r="K37" s="20">
        <v>0</v>
      </c>
      <c r="L37" s="20">
        <v>0</v>
      </c>
      <c r="M37" s="20">
        <v>0</v>
      </c>
      <c r="N37" s="97">
        <f>O38/L38</f>
        <v>0.79710144927536231</v>
      </c>
      <c r="O37" s="21">
        <f t="shared" si="0"/>
        <v>0</v>
      </c>
      <c r="P37" s="27">
        <v>0</v>
      </c>
      <c r="Q37" s="99">
        <f>+L38-P38</f>
        <v>0</v>
      </c>
      <c r="R37" s="85" t="s">
        <v>86</v>
      </c>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574+9+30+5+3</f>
        <v>621</v>
      </c>
      <c r="L38" s="18">
        <f>574+9+30+5+3</f>
        <v>621</v>
      </c>
      <c r="M38" s="18">
        <f>109+9+5+3</f>
        <v>126</v>
      </c>
      <c r="N38" s="98"/>
      <c r="O38" s="19">
        <f t="shared" si="0"/>
        <v>495</v>
      </c>
      <c r="P38" s="22">
        <f>574+9+30+5+3</f>
        <v>621</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45274</v>
      </c>
      <c r="B39" s="87" t="s">
        <v>37</v>
      </c>
      <c r="C39" s="89">
        <v>1</v>
      </c>
      <c r="D39" s="91" t="s">
        <v>77</v>
      </c>
      <c r="E39" s="89">
        <v>20785</v>
      </c>
      <c r="F39" s="89" t="s">
        <v>76</v>
      </c>
      <c r="G39" s="93" t="s">
        <v>71</v>
      </c>
      <c r="H39" s="90" t="s">
        <v>70</v>
      </c>
      <c r="I39" s="90">
        <v>1475</v>
      </c>
      <c r="J39" s="90">
        <v>1475</v>
      </c>
      <c r="K39" s="20">
        <v>0</v>
      </c>
      <c r="L39" s="20">
        <v>0</v>
      </c>
      <c r="M39" s="20">
        <v>0</v>
      </c>
      <c r="N39" s="97">
        <f>O40/L40</f>
        <v>1</v>
      </c>
      <c r="O39" s="21">
        <f t="shared" si="0"/>
        <v>0</v>
      </c>
      <c r="P39" s="27">
        <v>0</v>
      </c>
      <c r="Q39" s="99">
        <f>+L40-P40</f>
        <v>16</v>
      </c>
      <c r="R39" s="85"/>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26+20+20+15+15</f>
        <v>96</v>
      </c>
      <c r="L40" s="18">
        <f>26+10+30+15+15</f>
        <v>96</v>
      </c>
      <c r="M40" s="18">
        <v>0</v>
      </c>
      <c r="N40" s="98"/>
      <c r="O40" s="19">
        <f t="shared" si="0"/>
        <v>96</v>
      </c>
      <c r="P40" s="22">
        <f>10+10+6+5+20+15+14</f>
        <v>80</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45274</v>
      </c>
      <c r="B41" s="87" t="s">
        <v>37</v>
      </c>
      <c r="C41" s="89">
        <v>1</v>
      </c>
      <c r="D41" s="91" t="s">
        <v>77</v>
      </c>
      <c r="E41" s="89">
        <v>20785</v>
      </c>
      <c r="F41" s="89" t="s">
        <v>76</v>
      </c>
      <c r="G41" s="93" t="s">
        <v>71</v>
      </c>
      <c r="H41" s="90" t="s">
        <v>75</v>
      </c>
      <c r="I41" s="90">
        <v>501</v>
      </c>
      <c r="J41" s="90">
        <v>501</v>
      </c>
      <c r="K41" s="20">
        <v>0</v>
      </c>
      <c r="L41" s="20">
        <v>0</v>
      </c>
      <c r="M41" s="20">
        <v>0</v>
      </c>
      <c r="N41" s="97">
        <f>O42/L42</f>
        <v>0.9358974358974359</v>
      </c>
      <c r="O41" s="21">
        <f t="shared" si="0"/>
        <v>0</v>
      </c>
      <c r="P41" s="27">
        <v>0</v>
      </c>
      <c r="Q41" s="99">
        <f>+L42-P42</f>
        <v>0</v>
      </c>
      <c r="R41" s="85"/>
      <c r="S41" s="96"/>
      <c r="T41" s="96"/>
      <c r="U41" s="96"/>
      <c r="V41" s="96"/>
      <c r="W41" s="96"/>
      <c r="X41" s="96"/>
      <c r="Y41" s="96"/>
      <c r="Z41" s="96"/>
      <c r="AA41" s="96"/>
      <c r="AB41" s="96"/>
      <c r="AC41" s="96"/>
      <c r="AD41" s="96"/>
      <c r="AE41" s="96"/>
      <c r="AF41" s="96"/>
      <c r="AG41" s="96"/>
      <c r="AH41" s="96"/>
      <c r="AI41" s="96"/>
      <c r="AJ41" s="96"/>
      <c r="AK41" s="96"/>
      <c r="AL41" s="96"/>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24+31+23</f>
        <v>78</v>
      </c>
      <c r="L42" s="18">
        <f>10+45+5+18</f>
        <v>78</v>
      </c>
      <c r="M42" s="18">
        <f>5</f>
        <v>5</v>
      </c>
      <c r="N42" s="98"/>
      <c r="O42" s="19">
        <f t="shared" si="0"/>
        <v>73</v>
      </c>
      <c r="P42" s="22">
        <f>5+15+58</f>
        <v>78</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s="17" customFormat="1" ht="15.75" customHeight="1">
      <c r="A43" s="108">
        <v>45274</v>
      </c>
      <c r="B43" s="87" t="s">
        <v>37</v>
      </c>
      <c r="C43" s="89">
        <v>1</v>
      </c>
      <c r="D43" s="91" t="s">
        <v>77</v>
      </c>
      <c r="E43" s="89">
        <v>20785</v>
      </c>
      <c r="F43" s="89" t="s">
        <v>76</v>
      </c>
      <c r="G43" s="93" t="s">
        <v>71</v>
      </c>
      <c r="H43" s="90" t="s">
        <v>79</v>
      </c>
      <c r="I43" s="90">
        <v>826</v>
      </c>
      <c r="J43" s="90">
        <v>826</v>
      </c>
      <c r="K43" s="20">
        <v>38</v>
      </c>
      <c r="L43" s="20">
        <v>45</v>
      </c>
      <c r="M43" s="20">
        <v>5</v>
      </c>
      <c r="N43" s="97">
        <f>O44/L44</f>
        <v>0.89830508474576276</v>
      </c>
      <c r="O43" s="21">
        <f t="shared" si="0"/>
        <v>40</v>
      </c>
      <c r="P43" s="27">
        <v>25</v>
      </c>
      <c r="Q43" s="99">
        <f>+L44-P44</f>
        <v>97</v>
      </c>
      <c r="R43" s="85"/>
      <c r="S43" s="96"/>
      <c r="T43" s="96">
        <v>10</v>
      </c>
      <c r="U43" s="96"/>
      <c r="V43" s="96"/>
      <c r="W43" s="96"/>
      <c r="X43" s="96">
        <v>2</v>
      </c>
      <c r="Y43" s="96"/>
      <c r="Z43" s="96"/>
      <c r="AA43" s="96"/>
      <c r="AB43" s="96"/>
      <c r="AC43" s="96">
        <v>6</v>
      </c>
      <c r="AD43" s="96"/>
      <c r="AE43" s="96">
        <v>2</v>
      </c>
      <c r="AF43" s="96">
        <v>7</v>
      </c>
      <c r="AG43" s="96">
        <v>9</v>
      </c>
      <c r="AH43" s="96">
        <v>4</v>
      </c>
      <c r="AI43" s="96"/>
      <c r="AJ43" s="96"/>
      <c r="AK43" s="96"/>
      <c r="AL43" s="96"/>
      <c r="AM43" s="103"/>
      <c r="AN43" s="103"/>
      <c r="AO43" s="103"/>
      <c r="AP43" s="103"/>
      <c r="AQ43" s="103"/>
      <c r="AR43" s="103"/>
      <c r="AS43" s="103"/>
      <c r="AT43" s="103"/>
      <c r="AU43" s="103"/>
      <c r="AV43" s="103"/>
      <c r="AW43" s="103"/>
      <c r="AX43" s="103"/>
      <c r="AY43" s="106"/>
      <c r="AZ43" s="106"/>
      <c r="BA43" s="106"/>
      <c r="BB43" s="106"/>
      <c r="BC43" s="106"/>
      <c r="BD43" s="106"/>
      <c r="BE43" s="103"/>
      <c r="BF43" s="104"/>
      <c r="BG43" s="104"/>
    </row>
    <row r="44" spans="1:59" s="17" customFormat="1" ht="15.75" customHeight="1">
      <c r="A44" s="85"/>
      <c r="B44" s="88"/>
      <c r="C44" s="90"/>
      <c r="D44" s="92"/>
      <c r="E44" s="90"/>
      <c r="F44" s="90"/>
      <c r="G44" s="94"/>
      <c r="H44" s="95"/>
      <c r="I44" s="95"/>
      <c r="J44" s="95"/>
      <c r="K44" s="22">
        <f>8+32+48+44+34+38</f>
        <v>204</v>
      </c>
      <c r="L44" s="18">
        <f>7+30+45+50+45</f>
        <v>177</v>
      </c>
      <c r="M44" s="18">
        <f>3+10+5</f>
        <v>18</v>
      </c>
      <c r="N44" s="98"/>
      <c r="O44" s="19">
        <f t="shared" si="0"/>
        <v>159</v>
      </c>
      <c r="P44" s="22">
        <f>3+10+12+30+25</f>
        <v>80</v>
      </c>
      <c r="Q44" s="100"/>
      <c r="R44" s="86"/>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7"/>
      <c r="AZ44" s="107"/>
      <c r="BA44" s="107"/>
      <c r="BB44" s="107"/>
      <c r="BC44" s="107"/>
      <c r="BD44" s="107"/>
      <c r="BE44" s="103"/>
      <c r="BF44" s="105"/>
      <c r="BG44" s="105"/>
    </row>
    <row r="45" spans="1:59" ht="24.75" customHeight="1">
      <c r="A45" s="111" t="s">
        <v>15</v>
      </c>
      <c r="B45" s="112"/>
      <c r="C45" s="112"/>
      <c r="D45" s="112"/>
      <c r="E45" s="112"/>
      <c r="F45" s="112"/>
      <c r="G45" s="112"/>
      <c r="H45" s="112"/>
      <c r="I45" s="113"/>
      <c r="J45" s="5">
        <f>SUM(J5:J44)</f>
        <v>21337</v>
      </c>
      <c r="K45" s="5">
        <f>+SUMPRODUCT(((MOD(ROW(K5:K44),2)=1)*(K5:K44)))</f>
        <v>965</v>
      </c>
      <c r="L45" s="5">
        <f>+SUMPRODUCT(((MOD(ROW(L5:L44),2)=1)*(L5:L44)))</f>
        <v>1174</v>
      </c>
      <c r="M45" s="5">
        <f>+SUMPRODUCT(((MOD(ROW(M5:M44),2)=1)*(M5:M44)))</f>
        <v>498</v>
      </c>
      <c r="N45" s="23">
        <f>O45/L45</f>
        <v>0.575809199318569</v>
      </c>
      <c r="O45" s="5">
        <f>+SUMPRODUCT(((MOD(ROW(O5:O44),2)=1)*(O5:O44)))</f>
        <v>676</v>
      </c>
      <c r="P45" s="5">
        <f>+SUMPRODUCT(((MOD(ROW(P5:P44),2)=1)*(P5:P44)))</f>
        <v>1369</v>
      </c>
      <c r="Q45" s="5">
        <f>+SUMPRODUCT(((MOD(ROW(Q5:Q44),2)=1)*(Q5:Q44)))</f>
        <v>2127</v>
      </c>
      <c r="R45" s="29"/>
      <c r="S45" s="5">
        <f t="shared" ref="S45:BG45" si="1">SUM(S5:S44)</f>
        <v>87</v>
      </c>
      <c r="T45" s="5">
        <f t="shared" si="1"/>
        <v>93</v>
      </c>
      <c r="U45" s="5">
        <f t="shared" si="1"/>
        <v>22</v>
      </c>
      <c r="V45" s="5">
        <f t="shared" si="1"/>
        <v>0</v>
      </c>
      <c r="W45" s="5">
        <f t="shared" si="1"/>
        <v>0</v>
      </c>
      <c r="X45" s="5">
        <f t="shared" si="1"/>
        <v>12</v>
      </c>
      <c r="Y45" s="5">
        <f t="shared" si="1"/>
        <v>1</v>
      </c>
      <c r="Z45" s="5">
        <f t="shared" si="1"/>
        <v>0</v>
      </c>
      <c r="AA45" s="5">
        <f t="shared" si="1"/>
        <v>0</v>
      </c>
      <c r="AB45" s="5">
        <f t="shared" si="1"/>
        <v>0</v>
      </c>
      <c r="AC45" s="5">
        <f t="shared" si="1"/>
        <v>126</v>
      </c>
      <c r="AD45" s="5">
        <f t="shared" si="1"/>
        <v>3</v>
      </c>
      <c r="AE45" s="5">
        <f t="shared" si="1"/>
        <v>43</v>
      </c>
      <c r="AF45" s="5">
        <f t="shared" si="1"/>
        <v>52</v>
      </c>
      <c r="AG45" s="5">
        <f t="shared" si="1"/>
        <v>73</v>
      </c>
      <c r="AH45" s="5">
        <f t="shared" si="1"/>
        <v>82</v>
      </c>
      <c r="AI45" s="5">
        <f t="shared" si="1"/>
        <v>0</v>
      </c>
      <c r="AJ45" s="5">
        <f t="shared" si="1"/>
        <v>0</v>
      </c>
      <c r="AK45" s="5">
        <f t="shared" si="1"/>
        <v>0</v>
      </c>
      <c r="AL45" s="5">
        <f t="shared" si="1"/>
        <v>82</v>
      </c>
      <c r="AM45" s="5">
        <f t="shared" si="1"/>
        <v>0</v>
      </c>
      <c r="AN45" s="5">
        <f t="shared" si="1"/>
        <v>0</v>
      </c>
      <c r="AO45" s="5">
        <f t="shared" si="1"/>
        <v>0</v>
      </c>
      <c r="AP45" s="5">
        <f t="shared" si="1"/>
        <v>0</v>
      </c>
      <c r="AQ45" s="5">
        <f t="shared" si="1"/>
        <v>0</v>
      </c>
      <c r="AR45" s="5">
        <f t="shared" si="1"/>
        <v>0</v>
      </c>
      <c r="AS45" s="5">
        <f t="shared" si="1"/>
        <v>0</v>
      </c>
      <c r="AT45" s="5">
        <f t="shared" si="1"/>
        <v>0</v>
      </c>
      <c r="AU45" s="5">
        <f t="shared" si="1"/>
        <v>0</v>
      </c>
      <c r="AV45" s="5">
        <f t="shared" si="1"/>
        <v>0</v>
      </c>
      <c r="AW45" s="5">
        <f t="shared" si="1"/>
        <v>0</v>
      </c>
      <c r="AX45" s="5">
        <f t="shared" si="1"/>
        <v>0</v>
      </c>
      <c r="AY45" s="5">
        <f t="shared" si="1"/>
        <v>0</v>
      </c>
      <c r="AZ45" s="5">
        <f t="shared" si="1"/>
        <v>0</v>
      </c>
      <c r="BA45" s="5">
        <f t="shared" si="1"/>
        <v>0</v>
      </c>
      <c r="BB45" s="5">
        <f t="shared" si="1"/>
        <v>0</v>
      </c>
      <c r="BC45" s="5">
        <f t="shared" si="1"/>
        <v>0</v>
      </c>
      <c r="BD45" s="5">
        <f t="shared" si="1"/>
        <v>0</v>
      </c>
      <c r="BE45" s="5">
        <f t="shared" si="1"/>
        <v>0</v>
      </c>
      <c r="BF45" s="5">
        <f t="shared" si="1"/>
        <v>0</v>
      </c>
      <c r="BG45" s="5">
        <f t="shared" si="1"/>
        <v>0</v>
      </c>
    </row>
    <row r="46" spans="1:59" s="17" customFormat="1" ht="15.75" customHeight="1">
      <c r="A46" s="108">
        <v>45274</v>
      </c>
      <c r="B46" s="87" t="s">
        <v>37</v>
      </c>
      <c r="C46" s="89">
        <v>1</v>
      </c>
      <c r="D46" s="91" t="s">
        <v>85</v>
      </c>
      <c r="E46" s="91" t="s">
        <v>84</v>
      </c>
      <c r="F46" s="89" t="s">
        <v>83</v>
      </c>
      <c r="G46" s="93" t="s">
        <v>71</v>
      </c>
      <c r="H46" s="90" t="s">
        <v>82</v>
      </c>
      <c r="I46" s="90">
        <v>13712</v>
      </c>
      <c r="J46" s="90">
        <v>505</v>
      </c>
      <c r="K46" s="20">
        <v>150</v>
      </c>
      <c r="L46" s="20">
        <v>150</v>
      </c>
      <c r="M46" s="20">
        <v>60</v>
      </c>
      <c r="N46" s="97">
        <f>O47/L47</f>
        <v>0.6</v>
      </c>
      <c r="O46" s="21">
        <f>+L46-M46</f>
        <v>90</v>
      </c>
      <c r="P46" s="27">
        <v>100</v>
      </c>
      <c r="Q46" s="99">
        <f>+L47-P47</f>
        <v>50</v>
      </c>
      <c r="R46" s="169" t="s">
        <v>81</v>
      </c>
      <c r="S46" s="96">
        <v>39</v>
      </c>
      <c r="T46" s="96"/>
      <c r="U46" s="96"/>
      <c r="V46" s="96"/>
      <c r="W46" s="96"/>
      <c r="X46" s="96">
        <v>5</v>
      </c>
      <c r="Y46" s="96"/>
      <c r="Z46" s="96"/>
      <c r="AA46" s="96"/>
      <c r="AB46" s="96"/>
      <c r="AC46" s="96"/>
      <c r="AD46" s="96"/>
      <c r="AE46" s="96">
        <v>10</v>
      </c>
      <c r="AF46" s="96"/>
      <c r="AG46" s="96"/>
      <c r="AH46" s="96">
        <v>16</v>
      </c>
      <c r="AI46" s="96"/>
      <c r="AJ46" s="96"/>
      <c r="AK46" s="96"/>
      <c r="AL46" s="96">
        <v>20</v>
      </c>
      <c r="AM46" s="103"/>
      <c r="AN46" s="103"/>
      <c r="AO46" s="103"/>
      <c r="AP46" s="103"/>
      <c r="AQ46" s="103"/>
      <c r="AR46" s="103"/>
      <c r="AS46" s="103"/>
      <c r="AT46" s="103"/>
      <c r="AU46" s="103"/>
      <c r="AV46" s="103"/>
      <c r="AW46" s="103"/>
      <c r="AX46" s="103"/>
      <c r="AY46" s="106"/>
      <c r="AZ46" s="106"/>
      <c r="BA46" s="106"/>
      <c r="BB46" s="106"/>
      <c r="BC46" s="106"/>
      <c r="BD46" s="106"/>
      <c r="BE46" s="103"/>
      <c r="BF46" s="104"/>
      <c r="BG46" s="104"/>
    </row>
    <row r="47" spans="1:59" s="17" customFormat="1" ht="15.75" customHeight="1">
      <c r="A47" s="85"/>
      <c r="B47" s="88"/>
      <c r="C47" s="90"/>
      <c r="D47" s="92"/>
      <c r="E47" s="92"/>
      <c r="F47" s="90"/>
      <c r="G47" s="94"/>
      <c r="H47" s="95"/>
      <c r="I47" s="95"/>
      <c r="J47" s="95"/>
      <c r="K47" s="22">
        <v>150</v>
      </c>
      <c r="L47" s="18">
        <v>150</v>
      </c>
      <c r="M47" s="18">
        <v>60</v>
      </c>
      <c r="N47" s="98"/>
      <c r="O47" s="19">
        <f>+L47-M47</f>
        <v>90</v>
      </c>
      <c r="P47" s="22">
        <v>100</v>
      </c>
      <c r="Q47" s="100"/>
      <c r="R47" s="86"/>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7"/>
      <c r="AZ47" s="107"/>
      <c r="BA47" s="107"/>
      <c r="BB47" s="107"/>
      <c r="BC47" s="107"/>
      <c r="BD47" s="107"/>
      <c r="BE47" s="103"/>
      <c r="BF47" s="105"/>
      <c r="BG47" s="105"/>
    </row>
    <row r="48" spans="1:59" s="17" customFormat="1" ht="15.75" hidden="1" customHeight="1">
      <c r="A48" s="101"/>
      <c r="B48" s="114"/>
      <c r="C48" s="116"/>
      <c r="D48" s="118"/>
      <c r="E48" s="116"/>
      <c r="F48" s="116"/>
      <c r="G48" s="120"/>
      <c r="H48" s="90"/>
      <c r="I48" s="90"/>
      <c r="J48" s="90"/>
      <c r="K48" s="20"/>
      <c r="L48" s="20"/>
      <c r="M48" s="20"/>
      <c r="N48" s="97"/>
      <c r="O48" s="21"/>
      <c r="P48" s="27"/>
      <c r="Q48" s="99"/>
      <c r="R48" s="110"/>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6"/>
      <c r="AZ48" s="106"/>
      <c r="BA48" s="106"/>
      <c r="BB48" s="106"/>
      <c r="BC48" s="106"/>
      <c r="BD48" s="106"/>
      <c r="BE48" s="103"/>
      <c r="BF48" s="104"/>
      <c r="BG48" s="104"/>
    </row>
    <row r="49" spans="1:59" s="17" customFormat="1" ht="15.75" hidden="1" customHeight="1">
      <c r="A49" s="102"/>
      <c r="B49" s="115"/>
      <c r="C49" s="117"/>
      <c r="D49" s="119"/>
      <c r="E49" s="117"/>
      <c r="F49" s="117"/>
      <c r="G49" s="121"/>
      <c r="H49" s="95"/>
      <c r="I49" s="95"/>
      <c r="J49" s="95"/>
      <c r="K49" s="22"/>
      <c r="L49" s="18"/>
      <c r="M49" s="18"/>
      <c r="N49" s="98"/>
      <c r="O49" s="19"/>
      <c r="P49" s="22"/>
      <c r="Q49" s="100"/>
      <c r="R49" s="102"/>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7"/>
      <c r="AZ49" s="107"/>
      <c r="BA49" s="107"/>
      <c r="BB49" s="107"/>
      <c r="BC49" s="107"/>
      <c r="BD49" s="107"/>
      <c r="BE49" s="103"/>
      <c r="BF49" s="105"/>
      <c r="BG49" s="105"/>
    </row>
    <row r="50" spans="1:59" s="17" customFormat="1" ht="15.75" hidden="1" customHeight="1">
      <c r="A50" s="101"/>
      <c r="B50" s="114"/>
      <c r="C50" s="116"/>
      <c r="D50" s="118"/>
      <c r="E50" s="116"/>
      <c r="F50" s="116"/>
      <c r="G50" s="120"/>
      <c r="H50" s="90"/>
      <c r="I50" s="90"/>
      <c r="J50" s="90"/>
      <c r="K50" s="20"/>
      <c r="L50" s="20"/>
      <c r="M50" s="20"/>
      <c r="N50" s="97"/>
      <c r="O50" s="21"/>
      <c r="P50" s="27"/>
      <c r="Q50" s="99"/>
      <c r="R50" s="110"/>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6"/>
      <c r="AZ50" s="106"/>
      <c r="BA50" s="106"/>
      <c r="BB50" s="106"/>
      <c r="BC50" s="106"/>
      <c r="BD50" s="106"/>
      <c r="BE50" s="103"/>
      <c r="BF50" s="104"/>
      <c r="BG50" s="104"/>
    </row>
    <row r="51" spans="1:59" s="17" customFormat="1" ht="15.75" hidden="1" customHeight="1">
      <c r="A51" s="102"/>
      <c r="B51" s="115"/>
      <c r="C51" s="117"/>
      <c r="D51" s="119"/>
      <c r="E51" s="117"/>
      <c r="F51" s="117"/>
      <c r="G51" s="121"/>
      <c r="H51" s="95"/>
      <c r="I51" s="95"/>
      <c r="J51" s="95"/>
      <c r="K51" s="22"/>
      <c r="L51" s="18"/>
      <c r="M51" s="18"/>
      <c r="N51" s="98"/>
      <c r="O51" s="19"/>
      <c r="P51" s="22"/>
      <c r="Q51" s="100"/>
      <c r="R51" s="102"/>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7"/>
      <c r="AZ51" s="107"/>
      <c r="BA51" s="107"/>
      <c r="BB51" s="107"/>
      <c r="BC51" s="107"/>
      <c r="BD51" s="107"/>
      <c r="BE51" s="103"/>
      <c r="BF51" s="105"/>
      <c r="BG51" s="105"/>
    </row>
    <row r="52" spans="1:59" ht="24.75" customHeight="1">
      <c r="A52" s="111" t="s">
        <v>46</v>
      </c>
      <c r="B52" s="112"/>
      <c r="C52" s="112"/>
      <c r="D52" s="112"/>
      <c r="E52" s="112"/>
      <c r="F52" s="112"/>
      <c r="G52" s="112"/>
      <c r="H52" s="112"/>
      <c r="I52" s="113"/>
      <c r="J52" s="5">
        <f>SUM(J46:J51)</f>
        <v>505</v>
      </c>
      <c r="K52" s="5">
        <f>+SUMPRODUCT(((MOD(ROW(K46:K51),2)=0)*(K46:K51)))</f>
        <v>150</v>
      </c>
      <c r="L52" s="5">
        <f>+SUMPRODUCT(((MOD(ROW(L46:L51),2)=0)*(L46:L51)))</f>
        <v>150</v>
      </c>
      <c r="M52" s="5">
        <f>+SUMPRODUCT(((MOD(ROW(M46:M51),2)=0)*(M46:M51)))</f>
        <v>60</v>
      </c>
      <c r="N52" s="23">
        <f>O52/L52</f>
        <v>0.6</v>
      </c>
      <c r="O52" s="5">
        <f>+SUMPRODUCT(((MOD(ROW(O46:O51),2)=0)*(O46:O51)))</f>
        <v>90</v>
      </c>
      <c r="P52" s="5">
        <f>+SUMPRODUCT(((MOD(ROW(P46:P51),2)=0)*(P46:P51)))</f>
        <v>100</v>
      </c>
      <c r="Q52" s="29">
        <f>SUM(Q46:Q51)</f>
        <v>50</v>
      </c>
      <c r="R52" s="29"/>
      <c r="S52" s="5">
        <f t="shared" ref="S52:BG52" si="2">SUM(S46:S51)</f>
        <v>39</v>
      </c>
      <c r="T52" s="5">
        <f t="shared" si="2"/>
        <v>0</v>
      </c>
      <c r="U52" s="5">
        <f t="shared" si="2"/>
        <v>0</v>
      </c>
      <c r="V52" s="5">
        <f t="shared" si="2"/>
        <v>0</v>
      </c>
      <c r="W52" s="5">
        <f t="shared" si="2"/>
        <v>0</v>
      </c>
      <c r="X52" s="5">
        <f t="shared" si="2"/>
        <v>5</v>
      </c>
      <c r="Y52" s="5">
        <f t="shared" si="2"/>
        <v>0</v>
      </c>
      <c r="Z52" s="5">
        <f t="shared" si="2"/>
        <v>0</v>
      </c>
      <c r="AA52" s="5">
        <f t="shared" si="2"/>
        <v>0</v>
      </c>
      <c r="AB52" s="5">
        <f t="shared" si="2"/>
        <v>0</v>
      </c>
      <c r="AC52" s="5">
        <f t="shared" si="2"/>
        <v>0</v>
      </c>
      <c r="AD52" s="5">
        <f t="shared" si="2"/>
        <v>0</v>
      </c>
      <c r="AE52" s="5">
        <f t="shared" si="2"/>
        <v>10</v>
      </c>
      <c r="AF52" s="5">
        <f t="shared" si="2"/>
        <v>0</v>
      </c>
      <c r="AG52" s="5">
        <f t="shared" si="2"/>
        <v>0</v>
      </c>
      <c r="AH52" s="5">
        <f t="shared" si="2"/>
        <v>16</v>
      </c>
      <c r="AI52" s="5">
        <f t="shared" si="2"/>
        <v>0</v>
      </c>
      <c r="AJ52" s="5">
        <f t="shared" si="2"/>
        <v>0</v>
      </c>
      <c r="AK52" s="5">
        <f t="shared" si="2"/>
        <v>0</v>
      </c>
      <c r="AL52" s="5">
        <f t="shared" si="2"/>
        <v>20</v>
      </c>
      <c r="AM52" s="5">
        <f t="shared" si="2"/>
        <v>0</v>
      </c>
      <c r="AN52" s="5">
        <f t="shared" si="2"/>
        <v>0</v>
      </c>
      <c r="AO52" s="5">
        <f t="shared" si="2"/>
        <v>0</v>
      </c>
      <c r="AP52" s="5">
        <f t="shared" si="2"/>
        <v>0</v>
      </c>
      <c r="AQ52" s="5">
        <f t="shared" si="2"/>
        <v>0</v>
      </c>
      <c r="AR52" s="5">
        <f t="shared" si="2"/>
        <v>0</v>
      </c>
      <c r="AS52" s="5">
        <f t="shared" si="2"/>
        <v>0</v>
      </c>
      <c r="AT52" s="5">
        <f t="shared" si="2"/>
        <v>0</v>
      </c>
      <c r="AU52" s="5">
        <f t="shared" si="2"/>
        <v>0</v>
      </c>
      <c r="AV52" s="5">
        <f t="shared" si="2"/>
        <v>0</v>
      </c>
      <c r="AW52" s="5">
        <f t="shared" si="2"/>
        <v>0</v>
      </c>
      <c r="AX52" s="5">
        <f t="shared" si="2"/>
        <v>0</v>
      </c>
      <c r="AY52" s="5">
        <f t="shared" si="2"/>
        <v>0</v>
      </c>
      <c r="AZ52" s="5">
        <f t="shared" si="2"/>
        <v>0</v>
      </c>
      <c r="BA52" s="5">
        <f t="shared" si="2"/>
        <v>0</v>
      </c>
      <c r="BB52" s="5">
        <f t="shared" si="2"/>
        <v>0</v>
      </c>
      <c r="BC52" s="5">
        <f t="shared" si="2"/>
        <v>0</v>
      </c>
      <c r="BD52" s="5">
        <f t="shared" si="2"/>
        <v>0</v>
      </c>
      <c r="BE52" s="5">
        <f t="shared" si="2"/>
        <v>0</v>
      </c>
      <c r="BF52" s="5">
        <f t="shared" si="2"/>
        <v>0</v>
      </c>
      <c r="BG52" s="5">
        <f t="shared" si="2"/>
        <v>0</v>
      </c>
    </row>
    <row r="53" spans="1:59" s="17" customFormat="1" ht="15.75" hidden="1" customHeight="1">
      <c r="A53" s="85"/>
      <c r="B53" s="87"/>
      <c r="C53" s="89"/>
      <c r="D53" s="91"/>
      <c r="E53" s="89"/>
      <c r="F53" s="89"/>
      <c r="G53" s="93"/>
      <c r="H53" s="90"/>
      <c r="I53" s="90"/>
      <c r="J53" s="90"/>
      <c r="K53" s="20"/>
      <c r="L53" s="20"/>
      <c r="M53" s="20"/>
      <c r="N53" s="97"/>
      <c r="O53" s="21"/>
      <c r="P53" s="27"/>
      <c r="Q53" s="99"/>
      <c r="R53" s="110"/>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5.75" hidden="1" customHeight="1">
      <c r="A54" s="86"/>
      <c r="B54" s="88"/>
      <c r="C54" s="90"/>
      <c r="D54" s="92"/>
      <c r="E54" s="90"/>
      <c r="F54" s="90"/>
      <c r="G54" s="94"/>
      <c r="H54" s="95"/>
      <c r="I54" s="95"/>
      <c r="J54" s="95"/>
      <c r="K54" s="22"/>
      <c r="L54" s="18"/>
      <c r="M54" s="18"/>
      <c r="N54" s="98"/>
      <c r="O54" s="19"/>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5.75" hidden="1" customHeight="1">
      <c r="A55" s="101"/>
      <c r="B55" s="114"/>
      <c r="C55" s="116"/>
      <c r="D55" s="118"/>
      <c r="E55" s="118"/>
      <c r="F55" s="116"/>
      <c r="G55" s="120"/>
      <c r="H55" s="90"/>
      <c r="I55" s="90"/>
      <c r="J55" s="90"/>
      <c r="K55" s="20"/>
      <c r="L55" s="20"/>
      <c r="M55" s="20"/>
      <c r="N55" s="97" t="e">
        <f>O56/L56</f>
        <v>#DIV/0!</v>
      </c>
      <c r="O55" s="21">
        <f t="shared" ref="O55:O62" si="3">L55-M55</f>
        <v>0</v>
      </c>
      <c r="P55" s="27"/>
      <c r="Q55" s="99">
        <f>+L56-P56</f>
        <v>0</v>
      </c>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102"/>
      <c r="B56" s="115"/>
      <c r="C56" s="117"/>
      <c r="D56" s="119"/>
      <c r="E56" s="119"/>
      <c r="F56" s="117"/>
      <c r="G56" s="121"/>
      <c r="H56" s="95"/>
      <c r="I56" s="95"/>
      <c r="J56" s="95"/>
      <c r="K56" s="22"/>
      <c r="L56" s="18"/>
      <c r="M56" s="18"/>
      <c r="N56" s="98"/>
      <c r="O56" s="19">
        <f t="shared" si="3"/>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si="3"/>
        <v>0</v>
      </c>
      <c r="P57" s="27"/>
      <c r="Q57" s="99">
        <f>+L58-P58</f>
        <v>0</v>
      </c>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90"/>
      <c r="I59" s="90"/>
      <c r="J59" s="90"/>
      <c r="K59" s="20"/>
      <c r="L59" s="20"/>
      <c r="M59" s="20"/>
      <c r="N59" s="97" t="e">
        <f>O60/L60</f>
        <v>#DIV/0!</v>
      </c>
      <c r="O59" s="21">
        <f t="shared" si="3"/>
        <v>0</v>
      </c>
      <c r="P59" s="27"/>
      <c r="Q59" s="99">
        <f>+L60-P60</f>
        <v>0</v>
      </c>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8"/>
      <c r="F61" s="116"/>
      <c r="G61" s="120"/>
      <c r="H61" s="109"/>
      <c r="I61" s="90"/>
      <c r="J61" s="90"/>
      <c r="K61" s="20"/>
      <c r="L61" s="20"/>
      <c r="M61" s="20"/>
      <c r="N61" s="97" t="e">
        <f>O62/L62</f>
        <v>#DIV/0!</v>
      </c>
      <c r="O61" s="21">
        <f t="shared" si="3"/>
        <v>0</v>
      </c>
      <c r="P61" s="27"/>
      <c r="Q61" s="99">
        <f>+L62-P62</f>
        <v>0</v>
      </c>
      <c r="R61" s="110"/>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9"/>
      <c r="F62" s="117"/>
      <c r="G62" s="121"/>
      <c r="H62" s="95"/>
      <c r="I62" s="95"/>
      <c r="J62" s="95"/>
      <c r="K62" s="22"/>
      <c r="L62" s="18"/>
      <c r="M62" s="18"/>
      <c r="N62" s="98"/>
      <c r="O62" s="19">
        <f t="shared" si="3"/>
        <v>0</v>
      </c>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s="17" customFormat="1" ht="15.75" hidden="1" customHeight="1">
      <c r="A63" s="101"/>
      <c r="B63" s="114"/>
      <c r="C63" s="116"/>
      <c r="D63" s="118"/>
      <c r="E63" s="116"/>
      <c r="F63" s="116"/>
      <c r="G63" s="120"/>
      <c r="H63" s="90"/>
      <c r="I63" s="90"/>
      <c r="J63" s="90"/>
      <c r="K63" s="20"/>
      <c r="L63" s="20"/>
      <c r="M63" s="20"/>
      <c r="N63" s="97" t="e">
        <f>O64/L64</f>
        <v>#DIV/0!</v>
      </c>
      <c r="O63" s="21"/>
      <c r="P63" s="27"/>
      <c r="Q63" s="99"/>
      <c r="R63" s="110"/>
      <c r="S63" s="96"/>
      <c r="T63" s="96"/>
      <c r="U63" s="96"/>
      <c r="V63" s="96"/>
      <c r="W63" s="96"/>
      <c r="X63" s="96"/>
      <c r="Y63" s="96"/>
      <c r="Z63" s="96"/>
      <c r="AA63" s="96"/>
      <c r="AB63" s="96"/>
      <c r="AC63" s="96"/>
      <c r="AD63" s="96"/>
      <c r="AE63" s="96"/>
      <c r="AF63" s="96"/>
      <c r="AG63" s="96"/>
      <c r="AH63" s="96"/>
      <c r="AI63" s="96"/>
      <c r="AJ63" s="96"/>
      <c r="AK63" s="96"/>
      <c r="AL63" s="96"/>
      <c r="AM63" s="103"/>
      <c r="AN63" s="103"/>
      <c r="AO63" s="103"/>
      <c r="AP63" s="103"/>
      <c r="AQ63" s="103"/>
      <c r="AR63" s="103"/>
      <c r="AS63" s="103"/>
      <c r="AT63" s="103"/>
      <c r="AU63" s="103"/>
      <c r="AV63" s="103"/>
      <c r="AW63" s="103"/>
      <c r="AX63" s="103"/>
      <c r="AY63" s="106"/>
      <c r="AZ63" s="106"/>
      <c r="BA63" s="106"/>
      <c r="BB63" s="106"/>
      <c r="BC63" s="106"/>
      <c r="BD63" s="106"/>
      <c r="BE63" s="103"/>
      <c r="BF63" s="104"/>
      <c r="BG63" s="104"/>
    </row>
    <row r="64" spans="1:59" s="17" customFormat="1" ht="15.75" hidden="1" customHeight="1">
      <c r="A64" s="102"/>
      <c r="B64" s="115"/>
      <c r="C64" s="117"/>
      <c r="D64" s="119"/>
      <c r="E64" s="117"/>
      <c r="F64" s="117"/>
      <c r="G64" s="121"/>
      <c r="H64" s="95"/>
      <c r="I64" s="95"/>
      <c r="J64" s="95"/>
      <c r="K64" s="22"/>
      <c r="L64" s="18"/>
      <c r="M64" s="18"/>
      <c r="N64" s="98"/>
      <c r="O64" s="19"/>
      <c r="P64" s="22"/>
      <c r="Q64" s="100"/>
      <c r="R64" s="102"/>
      <c r="S64" s="96"/>
      <c r="T64" s="96"/>
      <c r="U64" s="96"/>
      <c r="V64" s="96"/>
      <c r="W64" s="96"/>
      <c r="X64" s="96"/>
      <c r="Y64" s="96"/>
      <c r="Z64" s="96"/>
      <c r="AA64" s="96"/>
      <c r="AB64" s="96"/>
      <c r="AC64" s="96"/>
      <c r="AD64" s="96"/>
      <c r="AE64" s="96"/>
      <c r="AF64" s="96"/>
      <c r="AG64" s="96"/>
      <c r="AH64" s="96"/>
      <c r="AI64" s="96"/>
      <c r="AJ64" s="96"/>
      <c r="AK64" s="96"/>
      <c r="AL64" s="96"/>
      <c r="AM64" s="103"/>
      <c r="AN64" s="103"/>
      <c r="AO64" s="103"/>
      <c r="AP64" s="103"/>
      <c r="AQ64" s="103"/>
      <c r="AR64" s="103"/>
      <c r="AS64" s="103"/>
      <c r="AT64" s="103"/>
      <c r="AU64" s="103"/>
      <c r="AV64" s="103"/>
      <c r="AW64" s="103"/>
      <c r="AX64" s="103"/>
      <c r="AY64" s="107"/>
      <c r="AZ64" s="107"/>
      <c r="BA64" s="107"/>
      <c r="BB64" s="107"/>
      <c r="BC64" s="107"/>
      <c r="BD64" s="107"/>
      <c r="BE64" s="103"/>
      <c r="BF64" s="105"/>
      <c r="BG64" s="105"/>
    </row>
    <row r="65" spans="1:59" ht="24.75" hidden="1" customHeight="1">
      <c r="A65" s="111" t="s">
        <v>74</v>
      </c>
      <c r="B65" s="112"/>
      <c r="C65" s="112"/>
      <c r="D65" s="112"/>
      <c r="E65" s="112"/>
      <c r="F65" s="112"/>
      <c r="G65" s="112"/>
      <c r="H65" s="112"/>
      <c r="I65" s="113"/>
      <c r="J65" s="5">
        <f>+SUMPRODUCT(((MOD(ROW(J53:J64),2)=1)*(J53:J64)))</f>
        <v>0</v>
      </c>
      <c r="K65" s="5">
        <f>+SUMPRODUCT(((MOD(ROW(K53:K64),2)=1)*(K53:K64)))</f>
        <v>0</v>
      </c>
      <c r="L65" s="5">
        <f>+SUMPRODUCT(((MOD(ROW(L53:L64),2)=1)*(L53:L64)))</f>
        <v>0</v>
      </c>
      <c r="M65" s="5">
        <f>+SUMPRODUCT(((MOD(ROW(M53:M64),2)=1)*(M53:M64)))</f>
        <v>0</v>
      </c>
      <c r="N65" s="23" t="e">
        <f>O65/L65</f>
        <v>#DIV/0!</v>
      </c>
      <c r="O65" s="5">
        <f>+SUMPRODUCT(((MOD(ROW(O53:O64),2)=1)*(O53:O64)))</f>
        <v>0</v>
      </c>
      <c r="P65" s="5">
        <f>+SUMPRODUCT(((MOD(ROW(P53:P64),2)=1)*(P53:P64)))</f>
        <v>0</v>
      </c>
      <c r="Q65" s="29">
        <f>SUM(Q53:Q64)</f>
        <v>0</v>
      </c>
      <c r="R65" s="29"/>
      <c r="S65" s="5">
        <f t="shared" ref="S65:BG65" si="4">SUM(S53:S64)</f>
        <v>0</v>
      </c>
      <c r="T65" s="5">
        <f t="shared" si="4"/>
        <v>0</v>
      </c>
      <c r="U65" s="5">
        <f t="shared" si="4"/>
        <v>0</v>
      </c>
      <c r="V65" s="5">
        <f t="shared" si="4"/>
        <v>0</v>
      </c>
      <c r="W65" s="5">
        <f t="shared" si="4"/>
        <v>0</v>
      </c>
      <c r="X65" s="5">
        <f t="shared" si="4"/>
        <v>0</v>
      </c>
      <c r="Y65" s="5">
        <f t="shared" si="4"/>
        <v>0</v>
      </c>
      <c r="Z65" s="5">
        <f t="shared" si="4"/>
        <v>0</v>
      </c>
      <c r="AA65" s="5">
        <f t="shared" si="4"/>
        <v>0</v>
      </c>
      <c r="AB65" s="5">
        <f t="shared" si="4"/>
        <v>0</v>
      </c>
      <c r="AC65" s="5">
        <f t="shared" si="4"/>
        <v>0</v>
      </c>
      <c r="AD65" s="5">
        <f t="shared" si="4"/>
        <v>0</v>
      </c>
      <c r="AE65" s="5">
        <f t="shared" si="4"/>
        <v>0</v>
      </c>
      <c r="AF65" s="5">
        <f t="shared" si="4"/>
        <v>0</v>
      </c>
      <c r="AG65" s="5">
        <f t="shared" si="4"/>
        <v>0</v>
      </c>
      <c r="AH65" s="5">
        <f t="shared" si="4"/>
        <v>0</v>
      </c>
      <c r="AI65" s="5">
        <f t="shared" si="4"/>
        <v>0</v>
      </c>
      <c r="AJ65" s="5">
        <f t="shared" si="4"/>
        <v>0</v>
      </c>
      <c r="AK65" s="5">
        <f t="shared" si="4"/>
        <v>0</v>
      </c>
      <c r="AL65" s="5">
        <f t="shared" si="4"/>
        <v>0</v>
      </c>
      <c r="AM65" s="5">
        <f t="shared" si="4"/>
        <v>0</v>
      </c>
      <c r="AN65" s="5">
        <f t="shared" si="4"/>
        <v>0</v>
      </c>
      <c r="AO65" s="5">
        <f t="shared" si="4"/>
        <v>0</v>
      </c>
      <c r="AP65" s="5">
        <f t="shared" si="4"/>
        <v>0</v>
      </c>
      <c r="AQ65" s="5">
        <f t="shared" si="4"/>
        <v>0</v>
      </c>
      <c r="AR65" s="5">
        <f t="shared" si="4"/>
        <v>0</v>
      </c>
      <c r="AS65" s="5">
        <f t="shared" si="4"/>
        <v>0</v>
      </c>
      <c r="AT65" s="5">
        <f t="shared" si="4"/>
        <v>0</v>
      </c>
      <c r="AU65" s="5">
        <f t="shared" si="4"/>
        <v>0</v>
      </c>
      <c r="AV65" s="5">
        <f t="shared" si="4"/>
        <v>0</v>
      </c>
      <c r="AW65" s="5">
        <f t="shared" si="4"/>
        <v>0</v>
      </c>
      <c r="AX65" s="5">
        <f t="shared" si="4"/>
        <v>0</v>
      </c>
      <c r="AY65" s="5">
        <f t="shared" si="4"/>
        <v>0</v>
      </c>
      <c r="AZ65" s="5">
        <f t="shared" si="4"/>
        <v>0</v>
      </c>
      <c r="BA65" s="5">
        <f t="shared" si="4"/>
        <v>0</v>
      </c>
      <c r="BB65" s="5">
        <f t="shared" si="4"/>
        <v>0</v>
      </c>
      <c r="BC65" s="5">
        <f t="shared" si="4"/>
        <v>0</v>
      </c>
      <c r="BD65" s="5">
        <f t="shared" si="4"/>
        <v>0</v>
      </c>
      <c r="BE65" s="5">
        <f t="shared" si="4"/>
        <v>0</v>
      </c>
      <c r="BF65" s="5">
        <f t="shared" si="4"/>
        <v>0</v>
      </c>
      <c r="BG65" s="5">
        <f t="shared" si="4"/>
        <v>0</v>
      </c>
    </row>
    <row r="66" spans="1:59" ht="24.75" customHeight="1">
      <c r="A66" s="122" t="s">
        <v>5</v>
      </c>
      <c r="B66" s="122"/>
      <c r="C66" s="122"/>
      <c r="D66" s="122"/>
      <c r="E66" s="122"/>
      <c r="F66" s="122"/>
      <c r="G66" s="122"/>
      <c r="H66" s="122"/>
      <c r="I66" s="122"/>
      <c r="J66" s="30">
        <f>J45+J65+J52</f>
        <v>21842</v>
      </c>
      <c r="K66" s="53">
        <f>K45+K52+K65</f>
        <v>1115</v>
      </c>
      <c r="L66" s="53">
        <f>L45+L52+L65</f>
        <v>1324</v>
      </c>
      <c r="M66" s="53">
        <f>M45+M52+M65</f>
        <v>558</v>
      </c>
      <c r="N66" s="32">
        <f>O66/L66</f>
        <v>0.5785498489425982</v>
      </c>
      <c r="O66" s="53">
        <f>O45+O52+O65</f>
        <v>766</v>
      </c>
      <c r="P66" s="53">
        <f>P45+P52+P65</f>
        <v>1469</v>
      </c>
      <c r="Q66" s="53">
        <f>Q45+Q52+Q65</f>
        <v>2177</v>
      </c>
      <c r="R66" s="53"/>
      <c r="S66" s="53">
        <f t="shared" ref="S66:BG66" si="5">S45+S52+S65</f>
        <v>126</v>
      </c>
      <c r="T66" s="53">
        <f t="shared" si="5"/>
        <v>93</v>
      </c>
      <c r="U66" s="53">
        <f t="shared" si="5"/>
        <v>22</v>
      </c>
      <c r="V66" s="53">
        <f t="shared" si="5"/>
        <v>0</v>
      </c>
      <c r="W66" s="53">
        <f t="shared" si="5"/>
        <v>0</v>
      </c>
      <c r="X66" s="53">
        <f t="shared" si="5"/>
        <v>17</v>
      </c>
      <c r="Y66" s="53">
        <f t="shared" si="5"/>
        <v>1</v>
      </c>
      <c r="Z66" s="53">
        <f t="shared" si="5"/>
        <v>0</v>
      </c>
      <c r="AA66" s="53">
        <f t="shared" si="5"/>
        <v>0</v>
      </c>
      <c r="AB66" s="53">
        <f t="shared" si="5"/>
        <v>0</v>
      </c>
      <c r="AC66" s="53">
        <f t="shared" si="5"/>
        <v>126</v>
      </c>
      <c r="AD66" s="53">
        <f t="shared" si="5"/>
        <v>3</v>
      </c>
      <c r="AE66" s="53">
        <f t="shared" si="5"/>
        <v>53</v>
      </c>
      <c r="AF66" s="53">
        <f t="shared" si="5"/>
        <v>52</v>
      </c>
      <c r="AG66" s="53">
        <f t="shared" si="5"/>
        <v>73</v>
      </c>
      <c r="AH66" s="53">
        <f t="shared" si="5"/>
        <v>98</v>
      </c>
      <c r="AI66" s="53">
        <f t="shared" si="5"/>
        <v>0</v>
      </c>
      <c r="AJ66" s="53">
        <f t="shared" si="5"/>
        <v>0</v>
      </c>
      <c r="AK66" s="53">
        <f t="shared" si="5"/>
        <v>0</v>
      </c>
      <c r="AL66" s="53">
        <f t="shared" si="5"/>
        <v>102</v>
      </c>
      <c r="AM66" s="53">
        <f t="shared" si="5"/>
        <v>0</v>
      </c>
      <c r="AN66" s="53">
        <f t="shared" si="5"/>
        <v>0</v>
      </c>
      <c r="AO66" s="53">
        <f t="shared" si="5"/>
        <v>0</v>
      </c>
      <c r="AP66" s="53">
        <f t="shared" si="5"/>
        <v>0</v>
      </c>
      <c r="AQ66" s="53">
        <f t="shared" si="5"/>
        <v>0</v>
      </c>
      <c r="AR66" s="53">
        <f t="shared" si="5"/>
        <v>0</v>
      </c>
      <c r="AS66" s="53">
        <f t="shared" si="5"/>
        <v>0</v>
      </c>
      <c r="AT66" s="53">
        <f t="shared" si="5"/>
        <v>0</v>
      </c>
      <c r="AU66" s="53">
        <f t="shared" si="5"/>
        <v>0</v>
      </c>
      <c r="AV66" s="53">
        <f t="shared" si="5"/>
        <v>0</v>
      </c>
      <c r="AW66" s="53">
        <f t="shared" si="5"/>
        <v>0</v>
      </c>
      <c r="AX66" s="53">
        <f t="shared" si="5"/>
        <v>0</v>
      </c>
      <c r="AY66" s="53">
        <f t="shared" si="5"/>
        <v>0</v>
      </c>
      <c r="AZ66" s="53">
        <f t="shared" si="5"/>
        <v>0</v>
      </c>
      <c r="BA66" s="53">
        <f t="shared" si="5"/>
        <v>0</v>
      </c>
      <c r="BB66" s="53">
        <f t="shared" si="5"/>
        <v>0</v>
      </c>
      <c r="BC66" s="53">
        <f t="shared" si="5"/>
        <v>0</v>
      </c>
      <c r="BD66" s="53">
        <f t="shared" si="5"/>
        <v>0</v>
      </c>
      <c r="BE66" s="53">
        <f t="shared" si="5"/>
        <v>0</v>
      </c>
      <c r="BF66" s="53">
        <f t="shared" si="5"/>
        <v>0</v>
      </c>
      <c r="BG66" s="53">
        <f t="shared" si="5"/>
        <v>0</v>
      </c>
    </row>
    <row r="67" spans="1:59" ht="31.8">
      <c r="A67" s="81" t="s">
        <v>36</v>
      </c>
      <c r="B67" s="81"/>
      <c r="C67" s="81"/>
      <c r="D67" s="81"/>
      <c r="E67" s="81"/>
      <c r="F67" s="81"/>
      <c r="G67" s="81"/>
      <c r="H67" s="81"/>
      <c r="I67" s="81"/>
      <c r="J67" s="81"/>
      <c r="K67" s="81"/>
      <c r="L67" s="81"/>
      <c r="M67" s="81"/>
      <c r="N67" s="81"/>
      <c r="O67" s="81"/>
      <c r="P67" s="24"/>
      <c r="Q67" s="24"/>
      <c r="R67" s="24"/>
      <c r="AM67" s="34"/>
      <c r="AN67" s="34"/>
      <c r="AO67" s="34"/>
      <c r="AP67" s="34"/>
      <c r="AQ67" s="34"/>
      <c r="AR67" s="34"/>
      <c r="AS67" s="34"/>
      <c r="AT67" s="34"/>
      <c r="AU67" s="34"/>
      <c r="AV67" s="34"/>
      <c r="AW67" s="34"/>
      <c r="AX67" s="34"/>
      <c r="AY67" s="34"/>
      <c r="AZ67" s="34"/>
      <c r="BA67" s="34"/>
      <c r="BB67" s="34"/>
      <c r="BC67" s="34"/>
      <c r="BD67" s="34"/>
      <c r="BE67" s="34"/>
      <c r="BF67" s="34"/>
      <c r="BG67" s="34"/>
    </row>
    <row r="68" spans="1:59" ht="33.75" customHeight="1">
      <c r="A68" s="82" t="s">
        <v>13</v>
      </c>
      <c r="B68" s="82"/>
      <c r="C68" s="82"/>
      <c r="D68" s="82"/>
      <c r="E68" s="82"/>
      <c r="F68" s="82"/>
      <c r="G68" s="82"/>
      <c r="H68" s="82"/>
      <c r="I68" s="82"/>
      <c r="J68" s="82"/>
      <c r="K68" s="82"/>
      <c r="L68" s="82"/>
      <c r="M68" s="82"/>
      <c r="N68" s="82"/>
      <c r="O68" s="82"/>
      <c r="AM68" s="34"/>
      <c r="AN68" s="34"/>
      <c r="AO68" s="34"/>
      <c r="AP68" s="34"/>
      <c r="AQ68" s="34"/>
      <c r="AR68" s="34"/>
      <c r="AS68" s="34"/>
      <c r="AT68" s="34"/>
      <c r="AU68" s="34"/>
      <c r="AV68" s="34"/>
      <c r="AW68" s="34"/>
      <c r="AX68" s="34"/>
      <c r="AY68" s="34"/>
      <c r="AZ68" s="34"/>
      <c r="BA68" s="34"/>
      <c r="BB68" s="34"/>
      <c r="BC68" s="34"/>
      <c r="BD68" s="34"/>
      <c r="BE68" s="34"/>
      <c r="BF68" s="34"/>
      <c r="BG68" s="34"/>
    </row>
    <row r="69" spans="1:59" ht="62.4">
      <c r="A69" s="9" t="s">
        <v>0</v>
      </c>
      <c r="B69" s="10" t="s">
        <v>34</v>
      </c>
      <c r="C69" s="11" t="s">
        <v>7</v>
      </c>
      <c r="D69" s="12" t="s">
        <v>1</v>
      </c>
      <c r="E69" s="13" t="s">
        <v>4</v>
      </c>
      <c r="F69" s="13" t="s">
        <v>2</v>
      </c>
      <c r="G69" s="13" t="s">
        <v>3</v>
      </c>
      <c r="H69" s="11" t="s">
        <v>6</v>
      </c>
      <c r="I69" s="14" t="s">
        <v>8</v>
      </c>
      <c r="J69" s="14" t="s">
        <v>17</v>
      </c>
      <c r="K69" s="12" t="s">
        <v>9</v>
      </c>
      <c r="L69" s="15" t="s">
        <v>10</v>
      </c>
      <c r="M69" s="15" t="s">
        <v>11</v>
      </c>
      <c r="N69" s="15" t="s">
        <v>12</v>
      </c>
      <c r="O69" s="15" t="s">
        <v>14</v>
      </c>
      <c r="P69" s="26" t="s">
        <v>16</v>
      </c>
      <c r="Q69" s="15" t="s">
        <v>42</v>
      </c>
      <c r="R69" s="15" t="s">
        <v>44</v>
      </c>
      <c r="S69" s="83">
        <v>101</v>
      </c>
      <c r="T69" s="83">
        <v>102</v>
      </c>
      <c r="U69" s="80">
        <v>106</v>
      </c>
      <c r="V69" s="80">
        <v>108</v>
      </c>
      <c r="W69" s="80">
        <v>109</v>
      </c>
      <c r="X69" s="80">
        <v>113</v>
      </c>
      <c r="Y69" s="80">
        <v>114</v>
      </c>
      <c r="Z69" s="80">
        <v>115</v>
      </c>
      <c r="AA69" s="80">
        <v>116</v>
      </c>
      <c r="AB69" s="80">
        <v>199</v>
      </c>
      <c r="AC69" s="80">
        <v>201</v>
      </c>
      <c r="AD69" s="80">
        <v>202</v>
      </c>
      <c r="AE69" s="80">
        <v>203</v>
      </c>
      <c r="AF69" s="80">
        <v>205</v>
      </c>
      <c r="AG69" s="80">
        <v>206</v>
      </c>
      <c r="AH69" s="79">
        <v>209</v>
      </c>
      <c r="AI69" s="79">
        <v>212</v>
      </c>
      <c r="AJ69" s="79">
        <v>216</v>
      </c>
      <c r="AK69" s="79">
        <v>217</v>
      </c>
      <c r="AL69" s="79">
        <v>299</v>
      </c>
      <c r="AM69" s="79">
        <v>301</v>
      </c>
      <c r="AN69" s="79">
        <v>302</v>
      </c>
      <c r="AO69" s="79">
        <v>399</v>
      </c>
      <c r="AP69" s="79">
        <v>401</v>
      </c>
      <c r="AQ69" s="79">
        <v>402</v>
      </c>
      <c r="AR69" s="79">
        <v>411</v>
      </c>
      <c r="AS69" s="79">
        <v>412</v>
      </c>
      <c r="AT69" s="79">
        <v>413</v>
      </c>
      <c r="AU69" s="79">
        <v>499</v>
      </c>
      <c r="AV69" s="79">
        <v>501</v>
      </c>
      <c r="AW69" s="79">
        <v>502</v>
      </c>
      <c r="AX69" s="79">
        <v>599</v>
      </c>
      <c r="AY69" s="79">
        <v>604</v>
      </c>
      <c r="AZ69" s="79">
        <v>605</v>
      </c>
      <c r="BA69" s="79">
        <v>699</v>
      </c>
      <c r="BB69" s="79">
        <v>701</v>
      </c>
      <c r="BC69" s="79">
        <v>702</v>
      </c>
      <c r="BD69" s="79">
        <v>703</v>
      </c>
      <c r="BE69" s="79">
        <v>704</v>
      </c>
      <c r="BF69" s="79">
        <v>799</v>
      </c>
      <c r="BG69" s="84">
        <v>999</v>
      </c>
    </row>
    <row r="70" spans="1:59" ht="62.25" customHeight="1">
      <c r="A70" s="10" t="s">
        <v>18</v>
      </c>
      <c r="B70" s="10" t="s">
        <v>19</v>
      </c>
      <c r="C70" s="13" t="s">
        <v>20</v>
      </c>
      <c r="D70" s="12" t="s">
        <v>21</v>
      </c>
      <c r="E70" s="13" t="s">
        <v>22</v>
      </c>
      <c r="F70" s="13" t="s">
        <v>23</v>
      </c>
      <c r="G70" s="13" t="s">
        <v>25</v>
      </c>
      <c r="H70" s="13" t="s">
        <v>24</v>
      </c>
      <c r="I70" s="14" t="s">
        <v>26</v>
      </c>
      <c r="J70" s="14" t="s">
        <v>27</v>
      </c>
      <c r="K70" s="15" t="s">
        <v>28</v>
      </c>
      <c r="L70" s="15" t="s">
        <v>29</v>
      </c>
      <c r="M70" s="15" t="s">
        <v>30</v>
      </c>
      <c r="N70" s="15" t="s">
        <v>32</v>
      </c>
      <c r="O70" s="15" t="s">
        <v>31</v>
      </c>
      <c r="P70" s="26" t="s">
        <v>33</v>
      </c>
      <c r="Q70" s="15" t="s">
        <v>43</v>
      </c>
      <c r="R70" s="15" t="s">
        <v>45</v>
      </c>
      <c r="S70" s="83"/>
      <c r="T70" s="83"/>
      <c r="U70" s="80"/>
      <c r="V70" s="80"/>
      <c r="W70" s="80"/>
      <c r="X70" s="80"/>
      <c r="Y70" s="80"/>
      <c r="Z70" s="80"/>
      <c r="AA70" s="80"/>
      <c r="AB70" s="80"/>
      <c r="AC70" s="80"/>
      <c r="AD70" s="80"/>
      <c r="AE70" s="80"/>
      <c r="AF70" s="80"/>
      <c r="AG70" s="80"/>
      <c r="AH70" s="79"/>
      <c r="AI70" s="79"/>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84"/>
    </row>
    <row r="71" spans="1:59" s="17" customFormat="1" ht="15.75" hidden="1" customHeight="1">
      <c r="A71" s="108"/>
      <c r="B71" s="87"/>
      <c r="C71" s="89"/>
      <c r="D71" s="91"/>
      <c r="E71" s="89"/>
      <c r="F71" s="89"/>
      <c r="G71" s="93"/>
      <c r="H71" s="89"/>
      <c r="I71" s="89"/>
      <c r="J71" s="89"/>
      <c r="K71" s="20"/>
      <c r="L71" s="20"/>
      <c r="M71" s="20"/>
      <c r="N71" s="146" t="e">
        <f>O72/L72</f>
        <v>#DIV/0!</v>
      </c>
      <c r="O71" s="21">
        <f t="shared" ref="O71:O76" si="6">L71-M71</f>
        <v>0</v>
      </c>
      <c r="P71" s="27"/>
      <c r="Q71" s="99">
        <f>+L72-P72</f>
        <v>0</v>
      </c>
      <c r="R71" s="108"/>
      <c r="S71" s="149"/>
      <c r="T71" s="149"/>
      <c r="U71" s="149"/>
      <c r="V71" s="149"/>
      <c r="W71" s="149"/>
      <c r="X71" s="149"/>
      <c r="Y71" s="149"/>
      <c r="Z71" s="149"/>
      <c r="AA71" s="149"/>
      <c r="AB71" s="149"/>
      <c r="AC71" s="149"/>
      <c r="AD71" s="149"/>
      <c r="AE71" s="149"/>
      <c r="AF71" s="149"/>
      <c r="AG71" s="149"/>
      <c r="AH71" s="149"/>
      <c r="AI71" s="149"/>
      <c r="AJ71" s="149"/>
      <c r="AK71" s="149"/>
      <c r="AL71" s="149"/>
      <c r="AM71" s="163"/>
      <c r="AN71" s="163"/>
      <c r="AO71" s="163"/>
      <c r="AP71" s="163"/>
      <c r="AQ71" s="163"/>
      <c r="AR71" s="163"/>
      <c r="AS71" s="163"/>
      <c r="AT71" s="163"/>
      <c r="AU71" s="163"/>
      <c r="AV71" s="163"/>
      <c r="AW71" s="163"/>
      <c r="AX71" s="163"/>
      <c r="AY71" s="167"/>
      <c r="AZ71" s="167"/>
      <c r="BA71" s="167"/>
      <c r="BB71" s="167"/>
      <c r="BC71" s="167"/>
      <c r="BD71" s="161"/>
      <c r="BE71" s="163"/>
      <c r="BF71" s="165"/>
      <c r="BG71" s="165"/>
    </row>
    <row r="72" spans="1:59" s="17" customFormat="1" ht="15.75" hidden="1" customHeight="1">
      <c r="A72" s="85"/>
      <c r="B72" s="88"/>
      <c r="C72" s="90"/>
      <c r="D72" s="92"/>
      <c r="E72" s="90"/>
      <c r="F72" s="90"/>
      <c r="G72" s="94"/>
      <c r="H72" s="90"/>
      <c r="I72" s="90"/>
      <c r="J72" s="90"/>
      <c r="K72" s="22"/>
      <c r="L72" s="18"/>
      <c r="M72" s="18"/>
      <c r="N72" s="147"/>
      <c r="O72" s="19">
        <f t="shared" si="6"/>
        <v>0</v>
      </c>
      <c r="P72" s="22"/>
      <c r="Q72" s="100"/>
      <c r="R72" s="85"/>
      <c r="S72" s="150"/>
      <c r="T72" s="150"/>
      <c r="U72" s="150"/>
      <c r="V72" s="150"/>
      <c r="W72" s="150"/>
      <c r="X72" s="150"/>
      <c r="Y72" s="150"/>
      <c r="Z72" s="150"/>
      <c r="AA72" s="150"/>
      <c r="AB72" s="150"/>
      <c r="AC72" s="150"/>
      <c r="AD72" s="150"/>
      <c r="AE72" s="150"/>
      <c r="AF72" s="150"/>
      <c r="AG72" s="150"/>
      <c r="AH72" s="150"/>
      <c r="AI72" s="150"/>
      <c r="AJ72" s="150"/>
      <c r="AK72" s="150"/>
      <c r="AL72" s="150"/>
      <c r="AM72" s="164"/>
      <c r="AN72" s="164"/>
      <c r="AO72" s="164"/>
      <c r="AP72" s="164"/>
      <c r="AQ72" s="164"/>
      <c r="AR72" s="164"/>
      <c r="AS72" s="164"/>
      <c r="AT72" s="164"/>
      <c r="AU72" s="164"/>
      <c r="AV72" s="164"/>
      <c r="AW72" s="164"/>
      <c r="AX72" s="164"/>
      <c r="AY72" s="168"/>
      <c r="AZ72" s="168"/>
      <c r="BA72" s="168"/>
      <c r="BB72" s="168"/>
      <c r="BC72" s="168"/>
      <c r="BD72" s="162"/>
      <c r="BE72" s="164"/>
      <c r="BF72" s="166"/>
      <c r="BG72" s="166"/>
    </row>
    <row r="73" spans="1:59" s="17" customFormat="1" ht="18" customHeight="1">
      <c r="A73" s="108">
        <v>45274</v>
      </c>
      <c r="B73" s="138" t="s">
        <v>37</v>
      </c>
      <c r="C73" s="90" t="s">
        <v>56</v>
      </c>
      <c r="D73" s="91" t="s">
        <v>38</v>
      </c>
      <c r="E73" s="89">
        <v>84217</v>
      </c>
      <c r="F73" s="89" t="s">
        <v>49</v>
      </c>
      <c r="G73" s="137" t="s">
        <v>61</v>
      </c>
      <c r="H73" s="95" t="s">
        <v>39</v>
      </c>
      <c r="I73" s="90">
        <v>4497</v>
      </c>
      <c r="J73" s="90">
        <v>4097</v>
      </c>
      <c r="K73" s="20">
        <f>180+65</f>
        <v>245</v>
      </c>
      <c r="L73" s="20">
        <f>290+100</f>
        <v>390</v>
      </c>
      <c r="M73" s="20">
        <f>145+35</f>
        <v>180</v>
      </c>
      <c r="N73" s="97">
        <f>O74/L74</f>
        <v>0.60132978723404251</v>
      </c>
      <c r="O73" s="21">
        <f t="shared" si="6"/>
        <v>210</v>
      </c>
      <c r="P73" s="27">
        <f>172+140</f>
        <v>312</v>
      </c>
      <c r="Q73" s="99">
        <f>+L74-P74</f>
        <v>522</v>
      </c>
      <c r="R73" s="85"/>
      <c r="S73" s="96">
        <v>20</v>
      </c>
      <c r="T73" s="96">
        <v>4</v>
      </c>
      <c r="U73" s="96">
        <v>45</v>
      </c>
      <c r="V73" s="96"/>
      <c r="W73" s="96"/>
      <c r="X73" s="96"/>
      <c r="Y73" s="96"/>
      <c r="Z73" s="96"/>
      <c r="AA73" s="96"/>
      <c r="AB73" s="96"/>
      <c r="AC73" s="96">
        <v>71</v>
      </c>
      <c r="AD73" s="96"/>
      <c r="AE73" s="96">
        <v>2</v>
      </c>
      <c r="AF73" s="96">
        <v>10</v>
      </c>
      <c r="AG73" s="96">
        <v>10</v>
      </c>
      <c r="AH73" s="96">
        <v>10</v>
      </c>
      <c r="AI73" s="96"/>
      <c r="AJ73" s="96"/>
      <c r="AK73" s="96"/>
      <c r="AL73" s="96">
        <v>18</v>
      </c>
      <c r="AM73" s="103"/>
      <c r="AN73" s="103"/>
      <c r="AO73" s="103"/>
      <c r="AP73" s="103"/>
      <c r="AQ73" s="103"/>
      <c r="AR73" s="103"/>
      <c r="AS73" s="103"/>
      <c r="AT73" s="103"/>
      <c r="AU73" s="103"/>
      <c r="AV73" s="103"/>
      <c r="AW73" s="103"/>
      <c r="AX73" s="103"/>
      <c r="AY73" s="106"/>
      <c r="AZ73" s="106"/>
      <c r="BA73" s="106"/>
      <c r="BB73" s="106"/>
      <c r="BC73" s="106"/>
      <c r="BD73" s="106"/>
      <c r="BE73" s="103">
        <v>20</v>
      </c>
      <c r="BF73" s="104"/>
      <c r="BG73" s="104"/>
    </row>
    <row r="74" spans="1:59" s="17" customFormat="1" ht="17.25" customHeight="1">
      <c r="A74" s="85"/>
      <c r="B74" s="139"/>
      <c r="C74" s="95"/>
      <c r="D74" s="92"/>
      <c r="E74" s="90"/>
      <c r="F74" s="90"/>
      <c r="G74" s="95"/>
      <c r="H74" s="95"/>
      <c r="I74" s="95"/>
      <c r="J74" s="95"/>
      <c r="K74" s="18">
        <f>260+160+50+100+100+240+349+166+150+60+120+30+30+230+80+125+115+200+209+115+50+371+435+245</f>
        <v>3990</v>
      </c>
      <c r="L74" s="18">
        <f>260+160+50+100+140+100+240+150+60+370+60+150+75+245+185+200+450+375+390</f>
        <v>3760</v>
      </c>
      <c r="M74" s="18">
        <f>120+55+27+40+30+60+87+45+34+74+40+100+40+75+74+73+199+146+180</f>
        <v>1499</v>
      </c>
      <c r="N74" s="98"/>
      <c r="O74" s="19">
        <f t="shared" si="6"/>
        <v>2261</v>
      </c>
      <c r="P74" s="22">
        <f>170+70+15+112+30+30+83+50+100+127+218+53+42+60+34+200+66+100+130+190+144+20+151+307+424+312</f>
        <v>3238</v>
      </c>
      <c r="Q74" s="100"/>
      <c r="R74" s="86"/>
      <c r="S74" s="96"/>
      <c r="T74" s="96"/>
      <c r="U74" s="96"/>
      <c r="V74" s="96"/>
      <c r="W74" s="96"/>
      <c r="X74" s="96"/>
      <c r="Y74" s="96"/>
      <c r="Z74" s="96"/>
      <c r="AA74" s="96"/>
      <c r="AB74" s="96"/>
      <c r="AC74" s="96"/>
      <c r="AD74" s="96"/>
      <c r="AE74" s="96"/>
      <c r="AF74" s="96"/>
      <c r="AG74" s="96"/>
      <c r="AH74" s="96"/>
      <c r="AI74" s="96"/>
      <c r="AJ74" s="96"/>
      <c r="AK74" s="96"/>
      <c r="AL74" s="96"/>
      <c r="AM74" s="103"/>
      <c r="AN74" s="103"/>
      <c r="AO74" s="103"/>
      <c r="AP74" s="103"/>
      <c r="AQ74" s="103"/>
      <c r="AR74" s="103"/>
      <c r="AS74" s="103"/>
      <c r="AT74" s="103"/>
      <c r="AU74" s="103"/>
      <c r="AV74" s="103"/>
      <c r="AW74" s="103"/>
      <c r="AX74" s="103"/>
      <c r="AY74" s="107"/>
      <c r="AZ74" s="107"/>
      <c r="BA74" s="107"/>
      <c r="BB74" s="107"/>
      <c r="BC74" s="107"/>
      <c r="BD74" s="107"/>
      <c r="BE74" s="103"/>
      <c r="BF74" s="105"/>
      <c r="BG74" s="105"/>
    </row>
    <row r="75" spans="1:59" s="17" customFormat="1" ht="18" hidden="1" customHeight="1">
      <c r="A75" s="101">
        <v>45217</v>
      </c>
      <c r="B75" s="132" t="s">
        <v>37</v>
      </c>
      <c r="C75" s="117"/>
      <c r="D75" s="118" t="s">
        <v>38</v>
      </c>
      <c r="E75" s="116">
        <v>84217</v>
      </c>
      <c r="F75" s="116" t="s">
        <v>49</v>
      </c>
      <c r="G75" s="141"/>
      <c r="H75" s="95"/>
      <c r="I75" s="90"/>
      <c r="J75" s="90"/>
      <c r="K75" s="20"/>
      <c r="L75" s="20"/>
      <c r="M75" s="20"/>
      <c r="N75" s="143" t="e">
        <f>O76/L76</f>
        <v>#DIV/0!</v>
      </c>
      <c r="O75" s="21">
        <f t="shared" si="6"/>
        <v>0</v>
      </c>
      <c r="P75" s="27"/>
      <c r="Q75" s="99">
        <f>+L76-P76</f>
        <v>0</v>
      </c>
      <c r="R75" s="101">
        <v>45023</v>
      </c>
      <c r="S75" s="96"/>
      <c r="T75" s="96"/>
      <c r="U75" s="96"/>
      <c r="V75" s="96"/>
      <c r="W75" s="96"/>
      <c r="X75" s="96"/>
      <c r="Y75" s="96"/>
      <c r="Z75" s="96"/>
      <c r="AA75" s="96"/>
      <c r="AB75" s="96"/>
      <c r="AC75" s="140"/>
      <c r="AD75" s="96"/>
      <c r="AE75" s="96"/>
      <c r="AF75" s="96"/>
      <c r="AG75" s="96"/>
      <c r="AH75" s="96"/>
      <c r="AI75" s="96"/>
      <c r="AJ75" s="96"/>
      <c r="AK75" s="96"/>
      <c r="AL75" s="96"/>
      <c r="AM75" s="96"/>
      <c r="AN75" s="96"/>
      <c r="AO75" s="96"/>
      <c r="AP75" s="96"/>
      <c r="AQ75" s="96"/>
      <c r="AR75" s="96"/>
      <c r="AS75" s="96"/>
      <c r="AT75" s="96"/>
      <c r="AU75" s="96"/>
      <c r="AV75" s="96"/>
      <c r="AW75" s="96"/>
      <c r="AX75" s="96"/>
      <c r="AY75" s="124"/>
      <c r="AZ75" s="123"/>
      <c r="BA75" s="123"/>
      <c r="BB75" s="123"/>
      <c r="BC75" s="123"/>
      <c r="BD75" s="123"/>
      <c r="BE75" s="123"/>
      <c r="BF75" s="123"/>
      <c r="BG75" s="123"/>
    </row>
    <row r="76" spans="1:59" s="17" customFormat="1" ht="17.25" hidden="1" customHeight="1">
      <c r="A76" s="102"/>
      <c r="B76" s="145"/>
      <c r="C76" s="142"/>
      <c r="D76" s="119"/>
      <c r="E76" s="117"/>
      <c r="F76" s="117"/>
      <c r="G76" s="142"/>
      <c r="H76" s="95"/>
      <c r="I76" s="95"/>
      <c r="J76" s="95"/>
      <c r="K76" s="3"/>
      <c r="L76" s="3"/>
      <c r="M76" s="3"/>
      <c r="N76" s="144"/>
      <c r="O76" s="7">
        <f t="shared" si="6"/>
        <v>0</v>
      </c>
      <c r="P76" s="28"/>
      <c r="Q76" s="100"/>
      <c r="R76" s="102"/>
      <c r="S76" s="96"/>
      <c r="T76" s="96"/>
      <c r="U76" s="96"/>
      <c r="V76" s="96"/>
      <c r="W76" s="96"/>
      <c r="X76" s="96"/>
      <c r="Y76" s="96"/>
      <c r="Z76" s="96"/>
      <c r="AA76" s="96"/>
      <c r="AB76" s="96"/>
      <c r="AC76" s="140"/>
      <c r="AD76" s="96"/>
      <c r="AE76" s="96"/>
      <c r="AF76" s="96"/>
      <c r="AG76" s="96"/>
      <c r="AH76" s="96"/>
      <c r="AI76" s="96"/>
      <c r="AJ76" s="96"/>
      <c r="AK76" s="96"/>
      <c r="AL76" s="96"/>
      <c r="AM76" s="96"/>
      <c r="AN76" s="96"/>
      <c r="AO76" s="96"/>
      <c r="AP76" s="96"/>
      <c r="AQ76" s="96"/>
      <c r="AR76" s="96"/>
      <c r="AS76" s="96"/>
      <c r="AT76" s="96"/>
      <c r="AU76" s="96"/>
      <c r="AV76" s="96"/>
      <c r="AW76" s="96"/>
      <c r="AX76" s="96"/>
      <c r="AY76" s="124"/>
      <c r="AZ76" s="124"/>
      <c r="BA76" s="124"/>
      <c r="BB76" s="124"/>
      <c r="BC76" s="124"/>
      <c r="BD76" s="124"/>
      <c r="BE76" s="124"/>
      <c r="BF76" s="124"/>
      <c r="BG76" s="124"/>
    </row>
    <row r="77" spans="1:59" ht="24.75" customHeight="1">
      <c r="A77" s="111" t="s">
        <v>15</v>
      </c>
      <c r="B77" s="112"/>
      <c r="C77" s="112"/>
      <c r="D77" s="112"/>
      <c r="E77" s="112"/>
      <c r="F77" s="112"/>
      <c r="G77" s="112"/>
      <c r="H77" s="112"/>
      <c r="I77" s="113"/>
      <c r="J77" s="5">
        <f>SUM(J71:J76)</f>
        <v>4097</v>
      </c>
      <c r="K77" s="5">
        <f>+K71++K73</f>
        <v>245</v>
      </c>
      <c r="L77" s="5">
        <f>+SUMPRODUCT(((MOD(ROW(L71:L76),2)=1)*(L71:L76)))</f>
        <v>390</v>
      </c>
      <c r="M77" s="5">
        <f>+SUMPRODUCT(((MOD(ROW(M71:M76),2)=1)*(M71:M76)))</f>
        <v>180</v>
      </c>
      <c r="N77" s="23">
        <f>O77/L77</f>
        <v>0.53846153846153844</v>
      </c>
      <c r="O77" s="5">
        <f>+SUMPRODUCT(((MOD(ROW(O71:O76),2)=1)*(O71:O76)))</f>
        <v>210</v>
      </c>
      <c r="P77" s="5">
        <f>+SUMPRODUCT(((MOD(ROW(P71:P76),2)=1)*(P71:P76)))</f>
        <v>312</v>
      </c>
      <c r="Q77" s="5">
        <f>+SUMPRODUCT(((MOD(ROW(Q71:Q76),2)=1)*(Q71:Q76)))</f>
        <v>522</v>
      </c>
      <c r="R77" s="5"/>
      <c r="S77" s="5">
        <f t="shared" ref="S77:BG77" si="7">SUM(S71:S76)</f>
        <v>20</v>
      </c>
      <c r="T77" s="5">
        <f t="shared" si="7"/>
        <v>4</v>
      </c>
      <c r="U77" s="5">
        <f t="shared" si="7"/>
        <v>45</v>
      </c>
      <c r="V77" s="5">
        <f t="shared" si="7"/>
        <v>0</v>
      </c>
      <c r="W77" s="5">
        <f t="shared" si="7"/>
        <v>0</v>
      </c>
      <c r="X77" s="5">
        <f t="shared" si="7"/>
        <v>0</v>
      </c>
      <c r="Y77" s="5">
        <f t="shared" si="7"/>
        <v>0</v>
      </c>
      <c r="Z77" s="5">
        <f t="shared" si="7"/>
        <v>0</v>
      </c>
      <c r="AA77" s="5">
        <f t="shared" si="7"/>
        <v>0</v>
      </c>
      <c r="AB77" s="5">
        <f t="shared" si="7"/>
        <v>0</v>
      </c>
      <c r="AC77" s="5">
        <f t="shared" si="7"/>
        <v>71</v>
      </c>
      <c r="AD77" s="5">
        <f t="shared" si="7"/>
        <v>0</v>
      </c>
      <c r="AE77" s="5">
        <f t="shared" si="7"/>
        <v>2</v>
      </c>
      <c r="AF77" s="5">
        <f t="shared" si="7"/>
        <v>10</v>
      </c>
      <c r="AG77" s="5">
        <f t="shared" si="7"/>
        <v>10</v>
      </c>
      <c r="AH77" s="5">
        <f t="shared" si="7"/>
        <v>10</v>
      </c>
      <c r="AI77" s="5">
        <f t="shared" si="7"/>
        <v>0</v>
      </c>
      <c r="AJ77" s="5">
        <f t="shared" si="7"/>
        <v>0</v>
      </c>
      <c r="AK77" s="5">
        <f t="shared" si="7"/>
        <v>0</v>
      </c>
      <c r="AL77" s="5">
        <f t="shared" si="7"/>
        <v>18</v>
      </c>
      <c r="AM77" s="5">
        <f t="shared" si="7"/>
        <v>0</v>
      </c>
      <c r="AN77" s="5">
        <f t="shared" si="7"/>
        <v>0</v>
      </c>
      <c r="AO77" s="5">
        <f t="shared" si="7"/>
        <v>0</v>
      </c>
      <c r="AP77" s="5">
        <f t="shared" si="7"/>
        <v>0</v>
      </c>
      <c r="AQ77" s="5">
        <f t="shared" si="7"/>
        <v>0</v>
      </c>
      <c r="AR77" s="5">
        <f t="shared" si="7"/>
        <v>0</v>
      </c>
      <c r="AS77" s="5">
        <f t="shared" si="7"/>
        <v>0</v>
      </c>
      <c r="AT77" s="5">
        <f t="shared" si="7"/>
        <v>0</v>
      </c>
      <c r="AU77" s="5">
        <f t="shared" si="7"/>
        <v>0</v>
      </c>
      <c r="AV77" s="5">
        <f t="shared" si="7"/>
        <v>0</v>
      </c>
      <c r="AW77" s="5">
        <f t="shared" si="7"/>
        <v>0</v>
      </c>
      <c r="AX77" s="5">
        <f t="shared" si="7"/>
        <v>0</v>
      </c>
      <c r="AY77" s="5">
        <f t="shared" si="7"/>
        <v>0</v>
      </c>
      <c r="AZ77" s="5">
        <f t="shared" si="7"/>
        <v>0</v>
      </c>
      <c r="BA77" s="5">
        <f t="shared" si="7"/>
        <v>0</v>
      </c>
      <c r="BB77" s="5">
        <f t="shared" si="7"/>
        <v>0</v>
      </c>
      <c r="BC77" s="5">
        <f t="shared" si="7"/>
        <v>0</v>
      </c>
      <c r="BD77" s="5">
        <f t="shared" si="7"/>
        <v>0</v>
      </c>
      <c r="BE77" s="5">
        <f t="shared" si="7"/>
        <v>20</v>
      </c>
      <c r="BF77" s="5">
        <f t="shared" si="7"/>
        <v>0</v>
      </c>
      <c r="BG77" s="5">
        <f t="shared" si="7"/>
        <v>0</v>
      </c>
    </row>
    <row r="78" spans="1:59" s="17" customFormat="1" ht="15.75" hidden="1" customHeight="1">
      <c r="A78" s="101"/>
      <c r="B78" s="114"/>
      <c r="C78" s="116"/>
      <c r="D78" s="118"/>
      <c r="E78" s="116"/>
      <c r="F78" s="116"/>
      <c r="G78" s="120"/>
      <c r="H78" s="151"/>
      <c r="I78" s="89"/>
      <c r="J78" s="89"/>
      <c r="K78" s="20"/>
      <c r="L78" s="20"/>
      <c r="M78" s="20"/>
      <c r="N78" s="146"/>
      <c r="O78" s="21"/>
      <c r="P78" s="27"/>
      <c r="Q78" s="99"/>
      <c r="R78" s="148"/>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52"/>
      <c r="AZ78" s="152"/>
      <c r="BA78" s="152"/>
      <c r="BB78" s="152"/>
      <c r="BC78" s="152"/>
      <c r="BD78" s="152"/>
      <c r="BE78" s="149"/>
      <c r="BF78" s="152"/>
      <c r="BG78" s="152"/>
    </row>
    <row r="79" spans="1:59" s="17" customFormat="1" ht="15.75" hidden="1" customHeight="1">
      <c r="A79" s="102"/>
      <c r="B79" s="115"/>
      <c r="C79" s="117"/>
      <c r="D79" s="119"/>
      <c r="E79" s="117"/>
      <c r="F79" s="117"/>
      <c r="G79" s="121"/>
      <c r="H79" s="90"/>
      <c r="I79" s="90"/>
      <c r="J79" s="90"/>
      <c r="K79" s="22"/>
      <c r="L79" s="18"/>
      <c r="M79" s="18"/>
      <c r="N79" s="147"/>
      <c r="O79" s="19"/>
      <c r="P79" s="22"/>
      <c r="Q79" s="100"/>
      <c r="R79" s="101"/>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3"/>
      <c r="AZ79" s="153"/>
      <c r="BA79" s="153"/>
      <c r="BB79" s="153"/>
      <c r="BC79" s="153"/>
      <c r="BD79" s="153"/>
      <c r="BE79" s="150"/>
      <c r="BF79" s="153"/>
      <c r="BG79" s="153"/>
    </row>
    <row r="80" spans="1:59" s="17" customFormat="1" ht="15.75" hidden="1" customHeight="1">
      <c r="A80" s="101"/>
      <c r="B80" s="114"/>
      <c r="C80" s="116"/>
      <c r="D80" s="118"/>
      <c r="E80" s="116"/>
      <c r="F80" s="116"/>
      <c r="G80" s="120"/>
      <c r="H80" s="151"/>
      <c r="I80" s="89"/>
      <c r="J80" s="89"/>
      <c r="K80" s="20"/>
      <c r="L80" s="20"/>
      <c r="M80" s="20"/>
      <c r="N80" s="146"/>
      <c r="O80" s="21"/>
      <c r="P80" s="27"/>
      <c r="Q80" s="99"/>
      <c r="R80" s="148"/>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52"/>
      <c r="AZ80" s="152"/>
      <c r="BA80" s="152"/>
      <c r="BB80" s="152"/>
      <c r="BC80" s="152"/>
      <c r="BD80" s="152"/>
      <c r="BE80" s="149"/>
      <c r="BF80" s="152"/>
      <c r="BG80" s="152"/>
    </row>
    <row r="81" spans="1:61" s="17" customFormat="1" ht="15.75" hidden="1" customHeight="1">
      <c r="A81" s="102"/>
      <c r="B81" s="115"/>
      <c r="C81" s="117"/>
      <c r="D81" s="119"/>
      <c r="E81" s="117"/>
      <c r="F81" s="117"/>
      <c r="G81" s="121"/>
      <c r="H81" s="90"/>
      <c r="I81" s="90"/>
      <c r="J81" s="90"/>
      <c r="K81" s="22"/>
      <c r="L81" s="18"/>
      <c r="M81" s="18"/>
      <c r="N81" s="147"/>
      <c r="O81" s="19"/>
      <c r="P81" s="22"/>
      <c r="Q81" s="100"/>
      <c r="R81" s="101"/>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3"/>
      <c r="AZ81" s="153"/>
      <c r="BA81" s="153"/>
      <c r="BB81" s="153"/>
      <c r="BC81" s="153"/>
      <c r="BD81" s="153"/>
      <c r="BE81" s="150"/>
      <c r="BF81" s="153"/>
      <c r="BG81" s="153"/>
    </row>
    <row r="82" spans="1:61" s="17" customFormat="1" ht="15.75" hidden="1" customHeight="1">
      <c r="A82" s="101"/>
      <c r="B82" s="114"/>
      <c r="C82" s="116"/>
      <c r="D82" s="118"/>
      <c r="E82" s="116"/>
      <c r="F82" s="116"/>
      <c r="G82" s="120"/>
      <c r="H82" s="109"/>
      <c r="I82" s="90"/>
      <c r="J82" s="90"/>
      <c r="K82" s="20"/>
      <c r="L82" s="20"/>
      <c r="M82" s="20"/>
      <c r="N82" s="97"/>
      <c r="O82" s="21"/>
      <c r="P82" s="27"/>
      <c r="Q82" s="99"/>
      <c r="R82" s="154"/>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5"/>
      <c r="AZ82" s="155"/>
      <c r="BA82" s="155"/>
      <c r="BB82" s="155"/>
      <c r="BC82" s="155"/>
      <c r="BD82" s="155"/>
      <c r="BE82" s="96"/>
      <c r="BF82" s="155"/>
      <c r="BG82" s="155"/>
    </row>
    <row r="83" spans="1:61" s="17" customFormat="1" ht="15.75" hidden="1" customHeight="1">
      <c r="A83" s="102"/>
      <c r="B83" s="115"/>
      <c r="C83" s="117"/>
      <c r="D83" s="119"/>
      <c r="E83" s="117"/>
      <c r="F83" s="117"/>
      <c r="G83" s="121"/>
      <c r="H83" s="95"/>
      <c r="I83" s="95"/>
      <c r="J83" s="95"/>
      <c r="K83" s="22"/>
      <c r="L83" s="18"/>
      <c r="M83" s="18"/>
      <c r="N83" s="98"/>
      <c r="O83" s="19"/>
      <c r="P83" s="22"/>
      <c r="Q83" s="100"/>
      <c r="R83" s="101"/>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6"/>
      <c r="AZ83" s="156"/>
      <c r="BA83" s="156"/>
      <c r="BB83" s="156"/>
      <c r="BC83" s="156"/>
      <c r="BD83" s="156"/>
      <c r="BE83" s="96"/>
      <c r="BF83" s="156"/>
      <c r="BG83" s="156"/>
    </row>
    <row r="84" spans="1:61" s="17" customFormat="1" ht="15.75" hidden="1" customHeight="1">
      <c r="A84" s="101"/>
      <c r="B84" s="114"/>
      <c r="C84" s="116"/>
      <c r="D84" s="118"/>
      <c r="E84" s="116"/>
      <c r="F84" s="116"/>
      <c r="G84" s="120"/>
      <c r="H84" s="109"/>
      <c r="I84" s="90"/>
      <c r="J84" s="90"/>
      <c r="K84" s="20"/>
      <c r="L84" s="20"/>
      <c r="M84" s="20"/>
      <c r="N84" s="97"/>
      <c r="O84" s="21"/>
      <c r="P84" s="27"/>
      <c r="Q84" s="99"/>
      <c r="R84" s="148"/>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1"/>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s="17" customFormat="1" ht="15.75" hidden="1" customHeight="1">
      <c r="A86" s="101">
        <v>45084</v>
      </c>
      <c r="B86" s="114" t="s">
        <v>37</v>
      </c>
      <c r="C86" s="116"/>
      <c r="D86" s="118"/>
      <c r="E86" s="116"/>
      <c r="F86" s="116"/>
      <c r="G86" s="120"/>
      <c r="H86" s="109"/>
      <c r="I86" s="90"/>
      <c r="J86" s="90"/>
      <c r="K86" s="20"/>
      <c r="L86" s="20"/>
      <c r="M86" s="20"/>
      <c r="N86" s="97" t="e">
        <f>O87/L87</f>
        <v>#DIV/0!</v>
      </c>
      <c r="O86" s="21"/>
      <c r="P86" s="27"/>
      <c r="Q86" s="99">
        <f>+L87-P87</f>
        <v>0</v>
      </c>
      <c r="R86" s="101"/>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2"/>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ht="24.75" hidden="1" customHeight="1">
      <c r="A88" s="111" t="s">
        <v>40</v>
      </c>
      <c r="B88" s="112"/>
      <c r="C88" s="112"/>
      <c r="D88" s="112"/>
      <c r="E88" s="112"/>
      <c r="F88" s="112"/>
      <c r="G88" s="112"/>
      <c r="H88" s="112"/>
      <c r="I88" s="113"/>
      <c r="J88" s="5">
        <f>SUM(J78:J87)</f>
        <v>0</v>
      </c>
      <c r="K88" s="5">
        <f>+SUMPRODUCT(((MOD(ROW(K78:K85),2)=0)*(K78:K85)))</f>
        <v>0</v>
      </c>
      <c r="L88" s="5">
        <f>+SUMPRODUCT(((MOD(ROW(L78:L85),2)=0)*(L78:L85)))</f>
        <v>0</v>
      </c>
      <c r="M88" s="5">
        <f>+SUMPRODUCT(((MOD(ROW(M78:M85),2)=0)*(M78:M85)))</f>
        <v>0</v>
      </c>
      <c r="N88" s="6" t="e">
        <f>O88/L88</f>
        <v>#DIV/0!</v>
      </c>
      <c r="O88" s="5">
        <f>+SUMPRODUCT(((MOD(ROW(O78:O85),2)=0)*(O78:O85)))</f>
        <v>0</v>
      </c>
      <c r="P88" s="5">
        <f>+SUMPRODUCT(((MOD(ROW(P78:P85),2)=0)*(P78:P85)))</f>
        <v>0</v>
      </c>
      <c r="Q88" s="29">
        <f>SUM(Q78:Q87)</f>
        <v>0</v>
      </c>
      <c r="R88" s="29"/>
      <c r="S88" s="29">
        <f t="shared" ref="S88:BG88" si="8">SUM(S78:S87)</f>
        <v>0</v>
      </c>
      <c r="T88" s="29">
        <f t="shared" si="8"/>
        <v>0</v>
      </c>
      <c r="U88" s="29">
        <f t="shared" si="8"/>
        <v>0</v>
      </c>
      <c r="V88" s="29">
        <f t="shared" si="8"/>
        <v>0</v>
      </c>
      <c r="W88" s="29">
        <f t="shared" si="8"/>
        <v>0</v>
      </c>
      <c r="X88" s="29">
        <f t="shared" si="8"/>
        <v>0</v>
      </c>
      <c r="Y88" s="29">
        <f t="shared" si="8"/>
        <v>0</v>
      </c>
      <c r="Z88" s="29">
        <f t="shared" si="8"/>
        <v>0</v>
      </c>
      <c r="AA88" s="29">
        <f t="shared" si="8"/>
        <v>0</v>
      </c>
      <c r="AB88" s="29">
        <f t="shared" si="8"/>
        <v>0</v>
      </c>
      <c r="AC88" s="29">
        <f t="shared" si="8"/>
        <v>0</v>
      </c>
      <c r="AD88" s="29">
        <f t="shared" si="8"/>
        <v>0</v>
      </c>
      <c r="AE88" s="29">
        <f t="shared" si="8"/>
        <v>0</v>
      </c>
      <c r="AF88" s="29">
        <f t="shared" si="8"/>
        <v>0</v>
      </c>
      <c r="AG88" s="29">
        <f t="shared" si="8"/>
        <v>0</v>
      </c>
      <c r="AH88" s="29">
        <f t="shared" si="8"/>
        <v>0</v>
      </c>
      <c r="AI88" s="29">
        <f t="shared" si="8"/>
        <v>0</v>
      </c>
      <c r="AJ88" s="29">
        <f t="shared" si="8"/>
        <v>0</v>
      </c>
      <c r="AK88" s="29">
        <f t="shared" si="8"/>
        <v>0</v>
      </c>
      <c r="AL88" s="29">
        <f t="shared" si="8"/>
        <v>0</v>
      </c>
      <c r="AM88" s="29">
        <f t="shared" si="8"/>
        <v>0</v>
      </c>
      <c r="AN88" s="29">
        <f t="shared" si="8"/>
        <v>0</v>
      </c>
      <c r="AO88" s="29">
        <f t="shared" si="8"/>
        <v>0</v>
      </c>
      <c r="AP88" s="29">
        <f t="shared" si="8"/>
        <v>0</v>
      </c>
      <c r="AQ88" s="29">
        <f t="shared" si="8"/>
        <v>0</v>
      </c>
      <c r="AR88" s="29">
        <f t="shared" si="8"/>
        <v>0</v>
      </c>
      <c r="AS88" s="29">
        <f t="shared" si="8"/>
        <v>0</v>
      </c>
      <c r="AT88" s="29">
        <f t="shared" si="8"/>
        <v>0</v>
      </c>
      <c r="AU88" s="29">
        <f t="shared" si="8"/>
        <v>0</v>
      </c>
      <c r="AV88" s="29">
        <f t="shared" si="8"/>
        <v>0</v>
      </c>
      <c r="AW88" s="29">
        <f t="shared" si="8"/>
        <v>0</v>
      </c>
      <c r="AX88" s="29">
        <f t="shared" si="8"/>
        <v>0</v>
      </c>
      <c r="AY88" s="29">
        <f t="shared" si="8"/>
        <v>0</v>
      </c>
      <c r="AZ88" s="29">
        <f t="shared" si="8"/>
        <v>0</v>
      </c>
      <c r="BA88" s="29">
        <f t="shared" si="8"/>
        <v>0</v>
      </c>
      <c r="BB88" s="29">
        <f t="shared" si="8"/>
        <v>0</v>
      </c>
      <c r="BC88" s="29">
        <f t="shared" si="8"/>
        <v>0</v>
      </c>
      <c r="BD88" s="29">
        <f t="shared" si="8"/>
        <v>0</v>
      </c>
      <c r="BE88" s="29">
        <f t="shared" si="8"/>
        <v>0</v>
      </c>
      <c r="BF88" s="29">
        <f t="shared" si="8"/>
        <v>0</v>
      </c>
      <c r="BG88" s="29">
        <f t="shared" si="8"/>
        <v>0</v>
      </c>
      <c r="BH88" s="17"/>
      <c r="BI88" s="17"/>
    </row>
    <row r="89" spans="1:61" s="17" customFormat="1" ht="15.75" hidden="1" customHeight="1">
      <c r="A89" s="101"/>
      <c r="B89" s="114"/>
      <c r="C89" s="116"/>
      <c r="D89" s="118"/>
      <c r="E89" s="116"/>
      <c r="F89" s="116"/>
      <c r="G89" s="120"/>
      <c r="H89" s="109"/>
      <c r="I89" s="90"/>
      <c r="J89" s="90"/>
      <c r="K89" s="20"/>
      <c r="L89" s="20"/>
      <c r="M89" s="20"/>
      <c r="N89" s="97"/>
      <c r="O89" s="21"/>
      <c r="P89" s="27"/>
      <c r="Q89" s="99"/>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row>
    <row r="91" spans="1:61" s="17" customFormat="1" ht="15.75" hidden="1" customHeight="1">
      <c r="A91" s="101"/>
      <c r="B91" s="114"/>
      <c r="C91" s="116"/>
      <c r="D91" s="118"/>
      <c r="E91" s="116"/>
      <c r="F91" s="116"/>
      <c r="G91" s="120"/>
      <c r="H91" s="90"/>
      <c r="I91" s="90"/>
      <c r="J91" s="90"/>
      <c r="K91" s="20"/>
      <c r="L91" s="20"/>
      <c r="M91" s="20"/>
      <c r="N91" s="97"/>
      <c r="O91" s="21"/>
      <c r="P91" s="27"/>
      <c r="Q91" s="99"/>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v>45163</v>
      </c>
      <c r="B93" s="114" t="s">
        <v>37</v>
      </c>
      <c r="C93" s="116"/>
      <c r="D93" s="118"/>
      <c r="E93" s="116"/>
      <c r="F93" s="116"/>
      <c r="G93" s="120"/>
      <c r="H93" s="90"/>
      <c r="I93" s="90"/>
      <c r="J93" s="90"/>
      <c r="K93" s="20"/>
      <c r="L93" s="20"/>
      <c r="M93" s="20"/>
      <c r="N93" s="97" t="e">
        <f>O94/L94</f>
        <v>#DIV/0!</v>
      </c>
      <c r="O93" s="21">
        <f>L93-M93</f>
        <v>0</v>
      </c>
      <c r="P93" s="27"/>
      <c r="Q93" s="99">
        <f>+L94-P94</f>
        <v>0</v>
      </c>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f>L94-M94</f>
        <v>0</v>
      </c>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v>45163</v>
      </c>
      <c r="B95" s="114" t="s">
        <v>37</v>
      </c>
      <c r="C95" s="116"/>
      <c r="D95" s="118"/>
      <c r="E95" s="116"/>
      <c r="F95" s="116"/>
      <c r="G95" s="120"/>
      <c r="H95" s="90"/>
      <c r="I95" s="90"/>
      <c r="J95" s="90"/>
      <c r="K95" s="20"/>
      <c r="L95" s="20"/>
      <c r="M95" s="20"/>
      <c r="N95" s="97" t="e">
        <f>O96/L96</f>
        <v>#DIV/0!</v>
      </c>
      <c r="O95" s="21">
        <f>L95-M95</f>
        <v>0</v>
      </c>
      <c r="P95" s="27"/>
      <c r="Q95" s="99">
        <f>+L96-P96</f>
        <v>0</v>
      </c>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f>L96-M96</f>
        <v>0</v>
      </c>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c r="BH96" s="1"/>
      <c r="BI96" s="1"/>
    </row>
    <row r="97" spans="1:61" ht="24.75" hidden="1" customHeight="1">
      <c r="A97" s="111" t="s">
        <v>48</v>
      </c>
      <c r="B97" s="112"/>
      <c r="C97" s="112"/>
      <c r="D97" s="112"/>
      <c r="E97" s="112"/>
      <c r="F97" s="112"/>
      <c r="G97" s="112"/>
      <c r="H97" s="112"/>
      <c r="I97" s="113"/>
      <c r="J97" s="5">
        <f>SUM(J89:J96)</f>
        <v>0</v>
      </c>
      <c r="K97" s="5">
        <f>+SUMPRODUCT(((MOD(ROW(K89:K96),2)=0)*(K89:K96)))</f>
        <v>0</v>
      </c>
      <c r="L97" s="5">
        <f>+SUMPRODUCT(((MOD(ROW(L89:L96),2)=0)*(L89:L96)))</f>
        <v>0</v>
      </c>
      <c r="M97" s="5">
        <f>+SUMPRODUCT(((MOD(ROW(M89:M96),2)=0)*(M89:M96)))</f>
        <v>0</v>
      </c>
      <c r="N97" s="6" t="e">
        <f>O97/L97</f>
        <v>#DIV/0!</v>
      </c>
      <c r="O97" s="5">
        <f>+SUMPRODUCT(((MOD(ROW(O89:O96),2)=0)*(O89:O96)))</f>
        <v>0</v>
      </c>
      <c r="P97" s="5">
        <f>+SUMPRODUCT(((MOD(ROW(P89:P96),2)=0)*(P89:P96)))</f>
        <v>0</v>
      </c>
      <c r="Q97" s="29">
        <f>SUM(Q89:Q96)</f>
        <v>0</v>
      </c>
      <c r="R97" s="29"/>
      <c r="S97" s="29">
        <f t="shared" ref="S97:BG97" si="9">SUM(S89:S96)</f>
        <v>0</v>
      </c>
      <c r="T97" s="29">
        <f t="shared" si="9"/>
        <v>0</v>
      </c>
      <c r="U97" s="29">
        <f t="shared" si="9"/>
        <v>0</v>
      </c>
      <c r="V97" s="29">
        <f t="shared" si="9"/>
        <v>0</v>
      </c>
      <c r="W97" s="29">
        <f t="shared" si="9"/>
        <v>0</v>
      </c>
      <c r="X97" s="29">
        <f t="shared" si="9"/>
        <v>0</v>
      </c>
      <c r="Y97" s="29">
        <f t="shared" si="9"/>
        <v>0</v>
      </c>
      <c r="Z97" s="29">
        <f t="shared" si="9"/>
        <v>0</v>
      </c>
      <c r="AA97" s="29">
        <f t="shared" si="9"/>
        <v>0</v>
      </c>
      <c r="AB97" s="29">
        <f t="shared" si="9"/>
        <v>0</v>
      </c>
      <c r="AC97" s="29">
        <f t="shared" si="9"/>
        <v>0</v>
      </c>
      <c r="AD97" s="29">
        <f t="shared" si="9"/>
        <v>0</v>
      </c>
      <c r="AE97" s="29">
        <f t="shared" si="9"/>
        <v>0</v>
      </c>
      <c r="AF97" s="29">
        <f t="shared" si="9"/>
        <v>0</v>
      </c>
      <c r="AG97" s="29">
        <f t="shared" si="9"/>
        <v>0</v>
      </c>
      <c r="AH97" s="29">
        <f t="shared" si="9"/>
        <v>0</v>
      </c>
      <c r="AI97" s="29">
        <f t="shared" si="9"/>
        <v>0</v>
      </c>
      <c r="AJ97" s="29">
        <f t="shared" si="9"/>
        <v>0</v>
      </c>
      <c r="AK97" s="29">
        <f t="shared" si="9"/>
        <v>0</v>
      </c>
      <c r="AL97" s="29">
        <f t="shared" si="9"/>
        <v>0</v>
      </c>
      <c r="AM97" s="29">
        <f t="shared" si="9"/>
        <v>0</v>
      </c>
      <c r="AN97" s="29">
        <f t="shared" si="9"/>
        <v>0</v>
      </c>
      <c r="AO97" s="29">
        <f t="shared" si="9"/>
        <v>0</v>
      </c>
      <c r="AP97" s="29">
        <f t="shared" si="9"/>
        <v>0</v>
      </c>
      <c r="AQ97" s="29">
        <f t="shared" si="9"/>
        <v>0</v>
      </c>
      <c r="AR97" s="29">
        <f t="shared" si="9"/>
        <v>0</v>
      </c>
      <c r="AS97" s="29">
        <f t="shared" si="9"/>
        <v>0</v>
      </c>
      <c r="AT97" s="29">
        <f t="shared" si="9"/>
        <v>0</v>
      </c>
      <c r="AU97" s="29">
        <f t="shared" si="9"/>
        <v>0</v>
      </c>
      <c r="AV97" s="29">
        <f t="shared" si="9"/>
        <v>0</v>
      </c>
      <c r="AW97" s="29">
        <f t="shared" si="9"/>
        <v>0</v>
      </c>
      <c r="AX97" s="29">
        <f t="shared" si="9"/>
        <v>0</v>
      </c>
      <c r="AY97" s="29">
        <f t="shared" si="9"/>
        <v>0</v>
      </c>
      <c r="AZ97" s="29">
        <f t="shared" si="9"/>
        <v>0</v>
      </c>
      <c r="BA97" s="29">
        <f t="shared" si="9"/>
        <v>0</v>
      </c>
      <c r="BB97" s="29">
        <f t="shared" si="9"/>
        <v>0</v>
      </c>
      <c r="BC97" s="29">
        <f t="shared" si="9"/>
        <v>0</v>
      </c>
      <c r="BD97" s="29">
        <f t="shared" si="9"/>
        <v>0</v>
      </c>
      <c r="BE97" s="29">
        <f t="shared" si="9"/>
        <v>0</v>
      </c>
      <c r="BF97" s="29">
        <f t="shared" si="9"/>
        <v>0</v>
      </c>
      <c r="BG97" s="29">
        <f t="shared" si="9"/>
        <v>0</v>
      </c>
      <c r="BH97" s="17"/>
      <c r="BI97" s="17"/>
    </row>
    <row r="98" spans="1:61" s="17" customFormat="1" ht="15.75" hidden="1" customHeight="1">
      <c r="A98" s="101"/>
      <c r="B98" s="114"/>
      <c r="C98" s="116"/>
      <c r="D98" s="118"/>
      <c r="E98" s="157"/>
      <c r="F98" s="116"/>
      <c r="G98" s="120"/>
      <c r="H98" s="109"/>
      <c r="I98" s="90"/>
      <c r="J98" s="90"/>
      <c r="K98" s="20"/>
      <c r="L98" s="20"/>
      <c r="M98" s="20"/>
      <c r="N98" s="97"/>
      <c r="O98" s="21"/>
      <c r="P98" s="27"/>
      <c r="Q98" s="99"/>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row>
    <row r="100" spans="1:61" s="17" customFormat="1" ht="15.75" hidden="1" customHeight="1">
      <c r="A100" s="101">
        <v>45061</v>
      </c>
      <c r="B100" s="114" t="s">
        <v>37</v>
      </c>
      <c r="C100" s="116"/>
      <c r="D100" s="118"/>
      <c r="E100" s="157"/>
      <c r="F100" s="116"/>
      <c r="G100" s="120"/>
      <c r="H100" s="90"/>
      <c r="I100" s="90"/>
      <c r="J100" s="90"/>
      <c r="K100" s="20"/>
      <c r="L100" s="20"/>
      <c r="M100" s="20"/>
      <c r="N100" s="97" t="e">
        <f>O101/L101</f>
        <v>#DIV/0!</v>
      </c>
      <c r="O100" s="21">
        <f t="shared" ref="O100:O105" si="10">L100-M100</f>
        <v>0</v>
      </c>
      <c r="P100" s="27"/>
      <c r="Q100" s="99">
        <f>+L101-P101</f>
        <v>0</v>
      </c>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f t="shared" si="10"/>
        <v>0</v>
      </c>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44990</v>
      </c>
      <c r="B102" s="114" t="s">
        <v>37</v>
      </c>
      <c r="C102" s="116"/>
      <c r="D102" s="118"/>
      <c r="E102" s="116"/>
      <c r="F102" s="116"/>
      <c r="G102" s="120"/>
      <c r="H102" s="90"/>
      <c r="I102" s="90"/>
      <c r="J102" s="90"/>
      <c r="K102" s="20"/>
      <c r="L102" s="20"/>
      <c r="M102" s="20"/>
      <c r="N102" s="97" t="e">
        <f>O103/L103</f>
        <v>#DIV/0!</v>
      </c>
      <c r="O102" s="21">
        <f t="shared" si="10"/>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44990</v>
      </c>
      <c r="B104" s="114" t="s">
        <v>37</v>
      </c>
      <c r="C104" s="116"/>
      <c r="D104" s="118"/>
      <c r="E104" s="116"/>
      <c r="F104" s="116"/>
      <c r="G104" s="120"/>
      <c r="H104" s="90"/>
      <c r="I104" s="90"/>
      <c r="J104" s="90"/>
      <c r="K104" s="20"/>
      <c r="L104" s="20"/>
      <c r="M104" s="20"/>
      <c r="N104" s="97" t="e">
        <f>O105/L105</f>
        <v>#DIV/0!</v>
      </c>
      <c r="O104" s="21">
        <f t="shared" si="10"/>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10"/>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c r="BH105" s="1"/>
      <c r="BI105" s="1"/>
    </row>
    <row r="106" spans="1:61" ht="24.75" hidden="1" customHeight="1">
      <c r="A106" s="111" t="s">
        <v>46</v>
      </c>
      <c r="B106" s="112"/>
      <c r="C106" s="112"/>
      <c r="D106" s="112"/>
      <c r="E106" s="112"/>
      <c r="F106" s="112"/>
      <c r="G106" s="112"/>
      <c r="H106" s="112"/>
      <c r="I106" s="113"/>
      <c r="J106" s="5">
        <f>SUM(J98:J105)</f>
        <v>0</v>
      </c>
      <c r="K106" s="5">
        <f>+SUMPRODUCT(((MOD(ROW(K98:K105),2)=0)*(K98:K105)))</f>
        <v>0</v>
      </c>
      <c r="L106" s="5">
        <f>+SUMPRODUCT(((MOD(ROW(L98:L105),2)=0)*(L98:L105)))</f>
        <v>0</v>
      </c>
      <c r="M106" s="5">
        <f>+SUMPRODUCT(((MOD(ROW(M98:M105),2)=0)*(M98:M105)))</f>
        <v>0</v>
      </c>
      <c r="N106" s="6" t="e">
        <f>O106/L106</f>
        <v>#DIV/0!</v>
      </c>
      <c r="O106" s="5">
        <f>+SUMPRODUCT(((MOD(ROW(O98:O105),2)=0)*(O98:O105)))</f>
        <v>0</v>
      </c>
      <c r="P106" s="5">
        <f>+SUMPRODUCT(((MOD(ROW(P98:P105),2)=0)*(P98:P105)))</f>
        <v>0</v>
      </c>
      <c r="Q106" s="29">
        <f>SUM(Q98:Q105)</f>
        <v>0</v>
      </c>
      <c r="R106" s="29"/>
      <c r="S106" s="29">
        <f t="shared" ref="S106:BG106" si="11">SUM(S98:S105)</f>
        <v>0</v>
      </c>
      <c r="T106" s="29">
        <f t="shared" si="11"/>
        <v>0</v>
      </c>
      <c r="U106" s="29">
        <f t="shared" si="11"/>
        <v>0</v>
      </c>
      <c r="V106" s="29">
        <f t="shared" si="11"/>
        <v>0</v>
      </c>
      <c r="W106" s="29">
        <f t="shared" si="11"/>
        <v>0</v>
      </c>
      <c r="X106" s="29">
        <f t="shared" si="11"/>
        <v>0</v>
      </c>
      <c r="Y106" s="29">
        <f t="shared" si="11"/>
        <v>0</v>
      </c>
      <c r="Z106" s="29">
        <f t="shared" si="11"/>
        <v>0</v>
      </c>
      <c r="AA106" s="29">
        <f t="shared" si="11"/>
        <v>0</v>
      </c>
      <c r="AB106" s="29">
        <f t="shared" si="11"/>
        <v>0</v>
      </c>
      <c r="AC106" s="29">
        <f t="shared" si="11"/>
        <v>0</v>
      </c>
      <c r="AD106" s="29">
        <f t="shared" si="11"/>
        <v>0</v>
      </c>
      <c r="AE106" s="29">
        <f t="shared" si="11"/>
        <v>0</v>
      </c>
      <c r="AF106" s="29">
        <f t="shared" si="11"/>
        <v>0</v>
      </c>
      <c r="AG106" s="29">
        <f t="shared" si="11"/>
        <v>0</v>
      </c>
      <c r="AH106" s="29">
        <f t="shared" si="11"/>
        <v>0</v>
      </c>
      <c r="AI106" s="29">
        <f t="shared" si="11"/>
        <v>0</v>
      </c>
      <c r="AJ106" s="29">
        <f t="shared" si="11"/>
        <v>0</v>
      </c>
      <c r="AK106" s="29">
        <f t="shared" si="11"/>
        <v>0</v>
      </c>
      <c r="AL106" s="29">
        <f t="shared" si="11"/>
        <v>0</v>
      </c>
      <c r="AM106" s="29">
        <f t="shared" si="11"/>
        <v>0</v>
      </c>
      <c r="AN106" s="29">
        <f t="shared" si="11"/>
        <v>0</v>
      </c>
      <c r="AO106" s="29">
        <f t="shared" si="11"/>
        <v>0</v>
      </c>
      <c r="AP106" s="29">
        <f t="shared" si="11"/>
        <v>0</v>
      </c>
      <c r="AQ106" s="29">
        <f t="shared" si="11"/>
        <v>0</v>
      </c>
      <c r="AR106" s="29">
        <f t="shared" si="11"/>
        <v>0</v>
      </c>
      <c r="AS106" s="29">
        <f t="shared" si="11"/>
        <v>0</v>
      </c>
      <c r="AT106" s="29">
        <f t="shared" si="11"/>
        <v>0</v>
      </c>
      <c r="AU106" s="29">
        <f t="shared" si="11"/>
        <v>0</v>
      </c>
      <c r="AV106" s="29">
        <f t="shared" si="11"/>
        <v>0</v>
      </c>
      <c r="AW106" s="29">
        <f t="shared" si="11"/>
        <v>0</v>
      </c>
      <c r="AX106" s="29">
        <f t="shared" si="11"/>
        <v>0</v>
      </c>
      <c r="AY106" s="29">
        <f t="shared" si="11"/>
        <v>0</v>
      </c>
      <c r="AZ106" s="29">
        <f t="shared" si="11"/>
        <v>0</v>
      </c>
      <c r="BA106" s="29">
        <f t="shared" si="11"/>
        <v>0</v>
      </c>
      <c r="BB106" s="29">
        <f t="shared" si="11"/>
        <v>0</v>
      </c>
      <c r="BC106" s="29">
        <f t="shared" si="11"/>
        <v>0</v>
      </c>
      <c r="BD106" s="29">
        <f t="shared" si="11"/>
        <v>0</v>
      </c>
      <c r="BE106" s="29">
        <f t="shared" si="11"/>
        <v>0</v>
      </c>
      <c r="BF106" s="29">
        <f t="shared" si="11"/>
        <v>0</v>
      </c>
      <c r="BG106" s="29">
        <f t="shared" si="11"/>
        <v>0</v>
      </c>
    </row>
    <row r="107" spans="1:61" ht="24.75" customHeight="1">
      <c r="A107" s="122" t="s">
        <v>5</v>
      </c>
      <c r="B107" s="122"/>
      <c r="C107" s="122"/>
      <c r="D107" s="122"/>
      <c r="E107" s="122"/>
      <c r="F107" s="122"/>
      <c r="G107" s="122"/>
      <c r="H107" s="122"/>
      <c r="I107" s="122"/>
      <c r="J107" s="4">
        <f>J77+J88+J97+J106</f>
        <v>4097</v>
      </c>
      <c r="K107" s="4">
        <f>K77+K88+K97+K106</f>
        <v>245</v>
      </c>
      <c r="L107" s="4">
        <f>L77+L88+L97+L106</f>
        <v>390</v>
      </c>
      <c r="M107" s="4">
        <f>M77+M88+M97+M106</f>
        <v>180</v>
      </c>
      <c r="N107" s="33">
        <f>O107/L107</f>
        <v>0.53846153846153844</v>
      </c>
      <c r="O107" s="4">
        <f>O77+O88+O97+O106</f>
        <v>210</v>
      </c>
      <c r="P107" s="31">
        <f>P77+P88+P97+P106</f>
        <v>312</v>
      </c>
      <c r="Q107" s="31">
        <f>Q77+Q88+Q97+Q106</f>
        <v>522</v>
      </c>
      <c r="R107" s="4"/>
      <c r="S107" s="31">
        <f t="shared" ref="S107:BG107" si="12">S77+S88+S97+S106</f>
        <v>20</v>
      </c>
      <c r="T107" s="31">
        <f t="shared" si="12"/>
        <v>4</v>
      </c>
      <c r="U107" s="31">
        <f t="shared" si="12"/>
        <v>45</v>
      </c>
      <c r="V107" s="31">
        <f t="shared" si="12"/>
        <v>0</v>
      </c>
      <c r="W107" s="31">
        <f t="shared" si="12"/>
        <v>0</v>
      </c>
      <c r="X107" s="31">
        <f t="shared" si="12"/>
        <v>0</v>
      </c>
      <c r="Y107" s="31">
        <f t="shared" si="12"/>
        <v>0</v>
      </c>
      <c r="Z107" s="31">
        <f t="shared" si="12"/>
        <v>0</v>
      </c>
      <c r="AA107" s="31">
        <f t="shared" si="12"/>
        <v>0</v>
      </c>
      <c r="AB107" s="31">
        <f t="shared" si="12"/>
        <v>0</v>
      </c>
      <c r="AC107" s="31">
        <f t="shared" si="12"/>
        <v>71</v>
      </c>
      <c r="AD107" s="31">
        <f t="shared" si="12"/>
        <v>0</v>
      </c>
      <c r="AE107" s="31">
        <f t="shared" si="12"/>
        <v>2</v>
      </c>
      <c r="AF107" s="31">
        <f t="shared" si="12"/>
        <v>10</v>
      </c>
      <c r="AG107" s="31">
        <f t="shared" si="12"/>
        <v>10</v>
      </c>
      <c r="AH107" s="31">
        <f t="shared" si="12"/>
        <v>10</v>
      </c>
      <c r="AI107" s="31">
        <f t="shared" si="12"/>
        <v>0</v>
      </c>
      <c r="AJ107" s="31">
        <f t="shared" si="12"/>
        <v>0</v>
      </c>
      <c r="AK107" s="31">
        <f t="shared" si="12"/>
        <v>0</v>
      </c>
      <c r="AL107" s="31">
        <f t="shared" si="12"/>
        <v>18</v>
      </c>
      <c r="AM107" s="31">
        <f t="shared" si="12"/>
        <v>0</v>
      </c>
      <c r="AN107" s="31">
        <f t="shared" si="12"/>
        <v>0</v>
      </c>
      <c r="AO107" s="31">
        <f t="shared" si="12"/>
        <v>0</v>
      </c>
      <c r="AP107" s="31">
        <f t="shared" si="12"/>
        <v>0</v>
      </c>
      <c r="AQ107" s="31">
        <f t="shared" si="12"/>
        <v>0</v>
      </c>
      <c r="AR107" s="31">
        <f t="shared" si="12"/>
        <v>0</v>
      </c>
      <c r="AS107" s="31">
        <f t="shared" si="12"/>
        <v>0</v>
      </c>
      <c r="AT107" s="31">
        <f t="shared" si="12"/>
        <v>0</v>
      </c>
      <c r="AU107" s="31">
        <f t="shared" si="12"/>
        <v>0</v>
      </c>
      <c r="AV107" s="31">
        <f t="shared" si="12"/>
        <v>0</v>
      </c>
      <c r="AW107" s="31">
        <f t="shared" si="12"/>
        <v>0</v>
      </c>
      <c r="AX107" s="31">
        <f t="shared" si="12"/>
        <v>0</v>
      </c>
      <c r="AY107" s="31">
        <f t="shared" si="12"/>
        <v>0</v>
      </c>
      <c r="AZ107" s="31">
        <f t="shared" si="12"/>
        <v>0</v>
      </c>
      <c r="BA107" s="31">
        <f t="shared" si="12"/>
        <v>0</v>
      </c>
      <c r="BB107" s="31">
        <f t="shared" si="12"/>
        <v>0</v>
      </c>
      <c r="BC107" s="31">
        <f t="shared" si="12"/>
        <v>0</v>
      </c>
      <c r="BD107" s="31">
        <f t="shared" si="12"/>
        <v>0</v>
      </c>
      <c r="BE107" s="31">
        <f t="shared" si="12"/>
        <v>20</v>
      </c>
      <c r="BF107" s="31">
        <f t="shared" si="12"/>
        <v>0</v>
      </c>
      <c r="BG107" s="31">
        <f t="shared" si="12"/>
        <v>0</v>
      </c>
    </row>
    <row r="110" spans="1:61" s="25" customFormat="1" ht="35.25" customHeight="1">
      <c r="A110" s="2"/>
      <c r="B110" s="2"/>
      <c r="C110" s="2"/>
      <c r="D110" s="1"/>
      <c r="E110" s="1"/>
      <c r="F110" s="1"/>
      <c r="G110" s="1"/>
      <c r="H110" s="1"/>
      <c r="I110" s="1"/>
      <c r="J110" s="1"/>
      <c r="K110" s="35"/>
      <c r="L110" s="35"/>
      <c r="M110" s="35"/>
      <c r="N110" s="35"/>
      <c r="O110" s="35"/>
      <c r="P110" s="35"/>
      <c r="Q110" s="36"/>
      <c r="S110" s="8"/>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row>
    <row r="113" spans="1:61" s="25" customFormat="1" ht="33" customHeight="1">
      <c r="A113" s="2"/>
      <c r="B113" s="2"/>
      <c r="C113" s="2"/>
      <c r="D113" s="1"/>
      <c r="E113" s="1"/>
      <c r="F113" s="1"/>
      <c r="G113" s="1"/>
      <c r="H113" s="1"/>
      <c r="I113" s="1"/>
      <c r="J113" s="1"/>
      <c r="K113" s="1"/>
      <c r="L113" s="1"/>
      <c r="M113" s="1"/>
      <c r="N113" s="1"/>
      <c r="O113" s="1"/>
      <c r="S113" s="8"/>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row>
  </sheetData>
  <mergeCells count="2525">
    <mergeCell ref="AX3:AX4"/>
    <mergeCell ref="A1:O1"/>
    <mergeCell ref="A2:O2"/>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A5:AA6"/>
    <mergeCell ref="AH3:AH4"/>
    <mergeCell ref="AI3:AI4"/>
    <mergeCell ref="AJ3:AJ4"/>
    <mergeCell ref="AK3:AK4"/>
    <mergeCell ref="AL3:AL4"/>
    <mergeCell ref="AM3:AM4"/>
    <mergeCell ref="AN3:AN4"/>
    <mergeCell ref="AO3:AO4"/>
    <mergeCell ref="AP3:AP4"/>
    <mergeCell ref="AQ3:AQ4"/>
    <mergeCell ref="AR3:AR4"/>
    <mergeCell ref="AS3:AS4"/>
    <mergeCell ref="AT3:AT4"/>
    <mergeCell ref="AU3:AU4"/>
    <mergeCell ref="AV3:AV4"/>
    <mergeCell ref="AW3:AW4"/>
    <mergeCell ref="AY5:AY6"/>
    <mergeCell ref="AY3:AY4"/>
    <mergeCell ref="AZ3:AZ4"/>
    <mergeCell ref="BA3:BA4"/>
    <mergeCell ref="BB3:BB4"/>
    <mergeCell ref="BC3:BC4"/>
    <mergeCell ref="BD3:BD4"/>
    <mergeCell ref="BE3:BE4"/>
    <mergeCell ref="BF3:BF4"/>
    <mergeCell ref="BG3:BG4"/>
    <mergeCell ref="A5:A6"/>
    <mergeCell ref="B5:B6"/>
    <mergeCell ref="C5:C6"/>
    <mergeCell ref="D5:D6"/>
    <mergeCell ref="E5:E6"/>
    <mergeCell ref="F5:F6"/>
    <mergeCell ref="G5:G6"/>
    <mergeCell ref="H5:H6"/>
    <mergeCell ref="I5:I6"/>
    <mergeCell ref="J5:J6"/>
    <mergeCell ref="N5:N6"/>
    <mergeCell ref="Q5:Q6"/>
    <mergeCell ref="R5:R6"/>
    <mergeCell ref="S5:S6"/>
    <mergeCell ref="T5:T6"/>
    <mergeCell ref="U5:U6"/>
    <mergeCell ref="V5:V6"/>
    <mergeCell ref="W5:W6"/>
    <mergeCell ref="X5:X6"/>
    <mergeCell ref="Y5:Y6"/>
    <mergeCell ref="Z5:Z6"/>
    <mergeCell ref="AL5:AL6"/>
    <mergeCell ref="BA5:BA6"/>
    <mergeCell ref="BB5:BB6"/>
    <mergeCell ref="BC5:BC6"/>
    <mergeCell ref="AS5:AS6"/>
    <mergeCell ref="AT5:AT6"/>
    <mergeCell ref="AU5:AU6"/>
    <mergeCell ref="AV5:AV6"/>
    <mergeCell ref="A7:A8"/>
    <mergeCell ref="B7:B8"/>
    <mergeCell ref="C7:C8"/>
    <mergeCell ref="D7:D8"/>
    <mergeCell ref="E7:E8"/>
    <mergeCell ref="F7:F8"/>
    <mergeCell ref="Y7:Y8"/>
    <mergeCell ref="Z7:Z8"/>
    <mergeCell ref="AA7:AA8"/>
    <mergeCell ref="AB5:AB6"/>
    <mergeCell ref="AC5:AC6"/>
    <mergeCell ref="AD5:AD6"/>
    <mergeCell ref="AE5:AE6"/>
    <mergeCell ref="AF5:AF6"/>
    <mergeCell ref="AN5:AN6"/>
    <mergeCell ref="AO5:AO6"/>
    <mergeCell ref="AP5:AP6"/>
    <mergeCell ref="AQ5:AQ6"/>
    <mergeCell ref="AR5:AR6"/>
    <mergeCell ref="AG5:AG6"/>
    <mergeCell ref="AH5:AH6"/>
    <mergeCell ref="AI5:AI6"/>
    <mergeCell ref="AJ5:AJ6"/>
    <mergeCell ref="AK5:AK6"/>
    <mergeCell ref="G7:G8"/>
    <mergeCell ref="BE5:BE6"/>
    <mergeCell ref="BF5:BF6"/>
    <mergeCell ref="BG5:BG6"/>
    <mergeCell ref="BD5:BD6"/>
    <mergeCell ref="AW5:AW6"/>
    <mergeCell ref="AX5:AX6"/>
    <mergeCell ref="AM5:AM6"/>
    <mergeCell ref="AO7:AO8"/>
    <mergeCell ref="AP7:AP8"/>
    <mergeCell ref="AE7:AE8"/>
    <mergeCell ref="AF7:AF8"/>
    <mergeCell ref="AG7:AG8"/>
    <mergeCell ref="AH7:AH8"/>
    <mergeCell ref="AI7:AI8"/>
    <mergeCell ref="AJ7:AJ8"/>
    <mergeCell ref="AZ7:AZ8"/>
    <mergeCell ref="BA7:BA8"/>
    <mergeCell ref="BB7:BB8"/>
    <mergeCell ref="AQ7:AQ8"/>
    <mergeCell ref="AR7:AR8"/>
    <mergeCell ref="AS7:AS8"/>
    <mergeCell ref="AT7:AT8"/>
    <mergeCell ref="AU7:AU8"/>
    <mergeCell ref="AV7:AV8"/>
    <mergeCell ref="BC7:BC8"/>
    <mergeCell ref="BD7:BD8"/>
    <mergeCell ref="BE7:BE8"/>
    <mergeCell ref="BF7:BF8"/>
    <mergeCell ref="BG7:BG8"/>
    <mergeCell ref="AX7:AX8"/>
    <mergeCell ref="AY7:AY8"/>
    <mergeCell ref="AZ5:AZ6"/>
    <mergeCell ref="A9:A10"/>
    <mergeCell ref="B9:B10"/>
    <mergeCell ref="C9:C10"/>
    <mergeCell ref="D9:D10"/>
    <mergeCell ref="E9:E10"/>
    <mergeCell ref="AW7:AW8"/>
    <mergeCell ref="AK7:AK8"/>
    <mergeCell ref="AL7:AL8"/>
    <mergeCell ref="AM7:AM8"/>
    <mergeCell ref="AN7:AN8"/>
    <mergeCell ref="H7:H8"/>
    <mergeCell ref="I7:I8"/>
    <mergeCell ref="J7:J8"/>
    <mergeCell ref="N7:N8"/>
    <mergeCell ref="Q7:Q8"/>
    <mergeCell ref="R7:R8"/>
    <mergeCell ref="S7:S8"/>
    <mergeCell ref="T7:T8"/>
    <mergeCell ref="U7:U8"/>
    <mergeCell ref="V7:V8"/>
    <mergeCell ref="W7:W8"/>
    <mergeCell ref="X7:X8"/>
    <mergeCell ref="AB7:AB8"/>
    <mergeCell ref="AC7:AC8"/>
    <mergeCell ref="AD7:AD8"/>
    <mergeCell ref="F9:F10"/>
    <mergeCell ref="G9:G10"/>
    <mergeCell ref="H9:H10"/>
    <mergeCell ref="I9:I10"/>
    <mergeCell ref="J9:J10"/>
    <mergeCell ref="N9:N10"/>
    <mergeCell ref="Q9:Q10"/>
    <mergeCell ref="BF9:BF10"/>
    <mergeCell ref="AU9:AU10"/>
    <mergeCell ref="AV9:AV10"/>
    <mergeCell ref="AW9:AW10"/>
    <mergeCell ref="AX9:AX10"/>
    <mergeCell ref="AY9:AY10"/>
    <mergeCell ref="AZ9:AZ10"/>
    <mergeCell ref="R9:R10"/>
    <mergeCell ref="S9:S10"/>
    <mergeCell ref="T9:T10"/>
    <mergeCell ref="U9:U10"/>
    <mergeCell ref="V9:V10"/>
    <mergeCell ref="W9:W10"/>
    <mergeCell ref="X9:X10"/>
    <mergeCell ref="Y9:Y10"/>
    <mergeCell ref="Z9:Z10"/>
    <mergeCell ref="AA9:AA10"/>
    <mergeCell ref="AB9:AB10"/>
    <mergeCell ref="AC9:AC10"/>
    <mergeCell ref="AD9:AD10"/>
    <mergeCell ref="AE9:AE10"/>
    <mergeCell ref="AF9:AF10"/>
    <mergeCell ref="AG9:AG10"/>
    <mergeCell ref="AH9:AH10"/>
    <mergeCell ref="AI11:AI12"/>
    <mergeCell ref="AJ11:AJ12"/>
    <mergeCell ref="AX11:AX12"/>
    <mergeCell ref="AN11:AN12"/>
    <mergeCell ref="AY11:AY12"/>
    <mergeCell ref="AZ11:AZ12"/>
    <mergeCell ref="BA11:BA12"/>
    <mergeCell ref="BB11:BB12"/>
    <mergeCell ref="BC11:BC12"/>
    <mergeCell ref="BD11:BD12"/>
    <mergeCell ref="BE11:BE12"/>
    <mergeCell ref="AI9:AI10"/>
    <mergeCell ref="AJ9:AJ10"/>
    <mergeCell ref="AK9:AK10"/>
    <mergeCell ref="AL9:AL10"/>
    <mergeCell ref="AM9:AM10"/>
    <mergeCell ref="AN9:AN10"/>
    <mergeCell ref="AO9:AO10"/>
    <mergeCell ref="AP9:AP10"/>
    <mergeCell ref="AQ9:AQ10"/>
    <mergeCell ref="AR9:AR10"/>
    <mergeCell ref="AS9:AS10"/>
    <mergeCell ref="AT9:AT10"/>
    <mergeCell ref="BE9:BE10"/>
    <mergeCell ref="AQ11:AQ12"/>
    <mergeCell ref="AR11:AR12"/>
    <mergeCell ref="AS11:AS12"/>
    <mergeCell ref="AT11:AT12"/>
    <mergeCell ref="AU11:AU12"/>
    <mergeCell ref="AV11:AV12"/>
    <mergeCell ref="AW11:AW12"/>
    <mergeCell ref="AK11:AK12"/>
    <mergeCell ref="N11:N12"/>
    <mergeCell ref="Q11:Q12"/>
    <mergeCell ref="R11:R12"/>
    <mergeCell ref="A11:A12"/>
    <mergeCell ref="B11:B12"/>
    <mergeCell ref="C11:C12"/>
    <mergeCell ref="D11:D12"/>
    <mergeCell ref="E11:E12"/>
    <mergeCell ref="F11:F12"/>
    <mergeCell ref="G11:G12"/>
    <mergeCell ref="S11:S12"/>
    <mergeCell ref="T11:T12"/>
    <mergeCell ref="U11:U12"/>
    <mergeCell ref="V11:V12"/>
    <mergeCell ref="W11:W12"/>
    <mergeCell ref="BG9:BG10"/>
    <mergeCell ref="BA9:BA10"/>
    <mergeCell ref="BB9:BB10"/>
    <mergeCell ref="BC9:BC10"/>
    <mergeCell ref="BD9:BD10"/>
    <mergeCell ref="Y11:Y12"/>
    <mergeCell ref="Z11:Z12"/>
    <mergeCell ref="AA11:AA12"/>
    <mergeCell ref="AB11:AB12"/>
    <mergeCell ref="AC11:AC12"/>
    <mergeCell ref="AD11:AD12"/>
    <mergeCell ref="AO11:AO12"/>
    <mergeCell ref="AP11:AP12"/>
    <mergeCell ref="AE11:AE12"/>
    <mergeCell ref="AF11:AF12"/>
    <mergeCell ref="AG11:AG12"/>
    <mergeCell ref="AH11:AH12"/>
    <mergeCell ref="AL11:AL12"/>
    <mergeCell ref="AM11:AM12"/>
    <mergeCell ref="AO13:AO14"/>
    <mergeCell ref="AP13:AP14"/>
    <mergeCell ref="AQ13:AQ14"/>
    <mergeCell ref="AR13:AR14"/>
    <mergeCell ref="BF11:BF12"/>
    <mergeCell ref="BG11:BG12"/>
    <mergeCell ref="A13:A14"/>
    <mergeCell ref="B13:B14"/>
    <mergeCell ref="C13:C14"/>
    <mergeCell ref="D13:D14"/>
    <mergeCell ref="E13:E14"/>
    <mergeCell ref="X11:X12"/>
    <mergeCell ref="F13:F14"/>
    <mergeCell ref="G13:G14"/>
    <mergeCell ref="H13:H14"/>
    <mergeCell ref="I13:I14"/>
    <mergeCell ref="J13:J14"/>
    <mergeCell ref="N13:N14"/>
    <mergeCell ref="H11:H12"/>
    <mergeCell ref="I11:I12"/>
    <mergeCell ref="J11:J12"/>
    <mergeCell ref="Q13:Q14"/>
    <mergeCell ref="R13:R14"/>
    <mergeCell ref="S13:S14"/>
    <mergeCell ref="T13:T14"/>
    <mergeCell ref="U13:U14"/>
    <mergeCell ref="BC13:BC14"/>
    <mergeCell ref="Y13:Y14"/>
    <mergeCell ref="Z13:Z14"/>
    <mergeCell ref="BE13:BE14"/>
    <mergeCell ref="BF13:BF14"/>
    <mergeCell ref="BG13:BG14"/>
    <mergeCell ref="A15:A16"/>
    <mergeCell ref="B15:B16"/>
    <mergeCell ref="C15:C16"/>
    <mergeCell ref="D15:D16"/>
    <mergeCell ref="E15:E16"/>
    <mergeCell ref="F15:F16"/>
    <mergeCell ref="G15:G16"/>
    <mergeCell ref="H15:H16"/>
    <mergeCell ref="I15:I16"/>
    <mergeCell ref="J15:J16"/>
    <mergeCell ref="N15:N16"/>
    <mergeCell ref="Q15:Q16"/>
    <mergeCell ref="R15:R16"/>
    <mergeCell ref="S15:S16"/>
    <mergeCell ref="T15:T16"/>
    <mergeCell ref="U15:U16"/>
    <mergeCell ref="V15:V16"/>
    <mergeCell ref="AF13:AF14"/>
    <mergeCell ref="AG13:AG14"/>
    <mergeCell ref="AH13:AH14"/>
    <mergeCell ref="AI13:AI14"/>
    <mergeCell ref="AJ13:AJ14"/>
    <mergeCell ref="AK13:AK14"/>
    <mergeCell ref="AL13:AL14"/>
    <mergeCell ref="V13:V14"/>
    <mergeCell ref="W13:W14"/>
    <mergeCell ref="X13:X14"/>
    <mergeCell ref="AQ15:AQ16"/>
    <mergeCell ref="AM13:AM14"/>
    <mergeCell ref="AK15:AK16"/>
    <mergeCell ref="AS13:AS14"/>
    <mergeCell ref="AT13:AT14"/>
    <mergeCell ref="AU13:AU14"/>
    <mergeCell ref="AV13:AV14"/>
    <mergeCell ref="AW13:AW14"/>
    <mergeCell ref="AX13:AX14"/>
    <mergeCell ref="AY13:AY14"/>
    <mergeCell ref="AZ13:AZ14"/>
    <mergeCell ref="BA13:BA14"/>
    <mergeCell ref="BB13:BB14"/>
    <mergeCell ref="G17:G18"/>
    <mergeCell ref="AY15:AY16"/>
    <mergeCell ref="AZ15:AZ16"/>
    <mergeCell ref="BA15:BA16"/>
    <mergeCell ref="BB15:BB16"/>
    <mergeCell ref="BD13:BD14"/>
    <mergeCell ref="AN13:AN14"/>
    <mergeCell ref="AA13:AA14"/>
    <mergeCell ref="AB13:AB14"/>
    <mergeCell ref="AC13:AC14"/>
    <mergeCell ref="AD13:AD14"/>
    <mergeCell ref="AE13:AE14"/>
    <mergeCell ref="BC15:BC16"/>
    <mergeCell ref="AS15:AS16"/>
    <mergeCell ref="AT15:AT16"/>
    <mergeCell ref="AU15:AU16"/>
    <mergeCell ref="AV15:AV16"/>
    <mergeCell ref="AN15:AN16"/>
    <mergeCell ref="AO15:AO16"/>
    <mergeCell ref="AR15:AR16"/>
    <mergeCell ref="A17:A18"/>
    <mergeCell ref="B17:B18"/>
    <mergeCell ref="C17:C18"/>
    <mergeCell ref="D17:D18"/>
    <mergeCell ref="E17:E18"/>
    <mergeCell ref="F17:F18"/>
    <mergeCell ref="Y17:Y18"/>
    <mergeCell ref="Z17:Z18"/>
    <mergeCell ref="AA17:AA18"/>
    <mergeCell ref="W15:W16"/>
    <mergeCell ref="X15:X16"/>
    <mergeCell ref="Y15:Y16"/>
    <mergeCell ref="Z15:Z16"/>
    <mergeCell ref="AL15:AL16"/>
    <mergeCell ref="AA15:AA16"/>
    <mergeCell ref="AB15:AB16"/>
    <mergeCell ref="AC15:AC16"/>
    <mergeCell ref="AD15:AD16"/>
    <mergeCell ref="AE15:AE16"/>
    <mergeCell ref="AF15:AF16"/>
    <mergeCell ref="AG15:AG16"/>
    <mergeCell ref="AH15:AH16"/>
    <mergeCell ref="AI15:AI16"/>
    <mergeCell ref="AJ15:AJ16"/>
    <mergeCell ref="BE15:BE16"/>
    <mergeCell ref="BF15:BF16"/>
    <mergeCell ref="BG15:BG16"/>
    <mergeCell ref="BD15:BD16"/>
    <mergeCell ref="AW15:AW16"/>
    <mergeCell ref="AX15:AX16"/>
    <mergeCell ref="AM15:AM16"/>
    <mergeCell ref="AO17:AO18"/>
    <mergeCell ref="AP17:AP18"/>
    <mergeCell ref="AE17:AE18"/>
    <mergeCell ref="AF17:AF18"/>
    <mergeCell ref="AG17:AG18"/>
    <mergeCell ref="AH17:AH18"/>
    <mergeCell ref="AI17:AI18"/>
    <mergeCell ref="AJ17:AJ18"/>
    <mergeCell ref="AZ17:AZ18"/>
    <mergeCell ref="BA17:BA18"/>
    <mergeCell ref="BB17:BB18"/>
    <mergeCell ref="AQ17:AQ18"/>
    <mergeCell ref="AR17:AR18"/>
    <mergeCell ref="AS17:AS18"/>
    <mergeCell ref="AT17:AT18"/>
    <mergeCell ref="AU17:AU18"/>
    <mergeCell ref="AV17:AV18"/>
    <mergeCell ref="BC17:BC18"/>
    <mergeCell ref="BD17:BD18"/>
    <mergeCell ref="BE17:BE18"/>
    <mergeCell ref="BF17:BF18"/>
    <mergeCell ref="BG17:BG18"/>
    <mergeCell ref="AX17:AX18"/>
    <mergeCell ref="AY17:AY18"/>
    <mergeCell ref="AP15:AP16"/>
    <mergeCell ref="A19:A20"/>
    <mergeCell ref="B19:B20"/>
    <mergeCell ref="C19:C20"/>
    <mergeCell ref="D19:D20"/>
    <mergeCell ref="E19:E20"/>
    <mergeCell ref="AW17:AW18"/>
    <mergeCell ref="AK17:AK18"/>
    <mergeCell ref="AL17:AL18"/>
    <mergeCell ref="AM17:AM18"/>
    <mergeCell ref="AN17:AN18"/>
    <mergeCell ref="H17:H18"/>
    <mergeCell ref="I17:I18"/>
    <mergeCell ref="J17:J18"/>
    <mergeCell ref="N17:N18"/>
    <mergeCell ref="Q17:Q18"/>
    <mergeCell ref="R17:R18"/>
    <mergeCell ref="S17:S18"/>
    <mergeCell ref="T17:T18"/>
    <mergeCell ref="U17:U18"/>
    <mergeCell ref="V17:V18"/>
    <mergeCell ref="W17:W18"/>
    <mergeCell ref="X17:X18"/>
    <mergeCell ref="AB17:AB18"/>
    <mergeCell ref="AC17:AC18"/>
    <mergeCell ref="AD17:AD18"/>
    <mergeCell ref="F19:F20"/>
    <mergeCell ref="G19:G20"/>
    <mergeCell ref="H19:H20"/>
    <mergeCell ref="I19:I20"/>
    <mergeCell ref="J19:J20"/>
    <mergeCell ref="N19:N20"/>
    <mergeCell ref="Q19:Q20"/>
    <mergeCell ref="R19:R20"/>
    <mergeCell ref="S19:S20"/>
    <mergeCell ref="T19:T20"/>
    <mergeCell ref="U19:U20"/>
    <mergeCell ref="V19:V20"/>
    <mergeCell ref="W19:W20"/>
    <mergeCell ref="X19:X20"/>
    <mergeCell ref="Y19:Y20"/>
    <mergeCell ref="Z19:Z20"/>
    <mergeCell ref="AA19:AA20"/>
    <mergeCell ref="AB19:AB20"/>
    <mergeCell ref="AC19:AC20"/>
    <mergeCell ref="AD19:AD20"/>
    <mergeCell ref="AE19:AE20"/>
    <mergeCell ref="AF19:AF20"/>
    <mergeCell ref="AG19:AG20"/>
    <mergeCell ref="AH19:AH20"/>
    <mergeCell ref="AI19:AI20"/>
    <mergeCell ref="AJ19:AJ20"/>
    <mergeCell ref="AK19:AK20"/>
    <mergeCell ref="AL19:AL20"/>
    <mergeCell ref="AM19:AM20"/>
    <mergeCell ref="AN19:AN20"/>
    <mergeCell ref="AO19:AO20"/>
    <mergeCell ref="AP19:AP20"/>
    <mergeCell ref="AQ19:AQ20"/>
    <mergeCell ref="AR19:AR20"/>
    <mergeCell ref="AS19:AS20"/>
    <mergeCell ref="AT19:AT20"/>
    <mergeCell ref="AU19:AU20"/>
    <mergeCell ref="AV19:AV20"/>
    <mergeCell ref="AW19:AW20"/>
    <mergeCell ref="AX19:AX20"/>
    <mergeCell ref="AY19:AY20"/>
    <mergeCell ref="AZ19:AZ20"/>
    <mergeCell ref="BA19:BA20"/>
    <mergeCell ref="BB19:BB20"/>
    <mergeCell ref="BC19:BC20"/>
    <mergeCell ref="BD19:BD20"/>
    <mergeCell ref="BE19:BE20"/>
    <mergeCell ref="BF19:BF20"/>
    <mergeCell ref="BG19:BG20"/>
    <mergeCell ref="A21:A22"/>
    <mergeCell ref="B21:B22"/>
    <mergeCell ref="C21:C22"/>
    <mergeCell ref="D21:D22"/>
    <mergeCell ref="E21:E22"/>
    <mergeCell ref="F21:F22"/>
    <mergeCell ref="G21:G22"/>
    <mergeCell ref="H21:H22"/>
    <mergeCell ref="I21:I22"/>
    <mergeCell ref="J21:J22"/>
    <mergeCell ref="N21:N22"/>
    <mergeCell ref="Q21:Q22"/>
    <mergeCell ref="R21:R22"/>
    <mergeCell ref="S21:S22"/>
    <mergeCell ref="T21:T22"/>
    <mergeCell ref="U21:U22"/>
    <mergeCell ref="V21:V22"/>
    <mergeCell ref="W21:W22"/>
    <mergeCell ref="X21:X22"/>
    <mergeCell ref="Y21:Y22"/>
    <mergeCell ref="Z21:Z22"/>
    <mergeCell ref="AA21:AA22"/>
    <mergeCell ref="AB21:AB22"/>
    <mergeCell ref="AC21:AC22"/>
    <mergeCell ref="AD21:AD22"/>
    <mergeCell ref="AE21:AE22"/>
    <mergeCell ref="AF21:AF22"/>
    <mergeCell ref="AG21:AG22"/>
    <mergeCell ref="AH21:AH22"/>
    <mergeCell ref="AI21:AI22"/>
    <mergeCell ref="AJ21:AJ22"/>
    <mergeCell ref="AK21:AK22"/>
    <mergeCell ref="AL21:AL22"/>
    <mergeCell ref="AM21:AM22"/>
    <mergeCell ref="AN21:AN22"/>
    <mergeCell ref="AO21:AO22"/>
    <mergeCell ref="AP21:AP22"/>
    <mergeCell ref="AQ21:AQ22"/>
    <mergeCell ref="AR21:AR22"/>
    <mergeCell ref="AS21:AS22"/>
    <mergeCell ref="AT21:AT22"/>
    <mergeCell ref="AU21:AU22"/>
    <mergeCell ref="AV21:AV22"/>
    <mergeCell ref="AW21:AW22"/>
    <mergeCell ref="AX21:AX22"/>
    <mergeCell ref="AY21:AY22"/>
    <mergeCell ref="AZ21:AZ22"/>
    <mergeCell ref="BA21:BA22"/>
    <mergeCell ref="BB21:BB22"/>
    <mergeCell ref="BC21:BC22"/>
    <mergeCell ref="BD21:BD22"/>
    <mergeCell ref="BE21:BE22"/>
    <mergeCell ref="BF21:BF22"/>
    <mergeCell ref="BG21:BG22"/>
    <mergeCell ref="A23:A24"/>
    <mergeCell ref="B23:B24"/>
    <mergeCell ref="C23:C24"/>
    <mergeCell ref="D23:D24"/>
    <mergeCell ref="E23:E24"/>
    <mergeCell ref="F23:F24"/>
    <mergeCell ref="G23:G24"/>
    <mergeCell ref="H23:H24"/>
    <mergeCell ref="I23:I24"/>
    <mergeCell ref="J23:J24"/>
    <mergeCell ref="N23:N24"/>
    <mergeCell ref="Q23:Q24"/>
    <mergeCell ref="R23:R24"/>
    <mergeCell ref="S23:S24"/>
    <mergeCell ref="T23:T24"/>
    <mergeCell ref="U23:U24"/>
    <mergeCell ref="V23:V24"/>
    <mergeCell ref="W23:W24"/>
    <mergeCell ref="X23:X24"/>
    <mergeCell ref="Y23:Y24"/>
    <mergeCell ref="Z23:Z24"/>
    <mergeCell ref="AA23:AA24"/>
    <mergeCell ref="AB23:AB24"/>
    <mergeCell ref="AC23:AC24"/>
    <mergeCell ref="AD23:AD24"/>
    <mergeCell ref="AE23:AE24"/>
    <mergeCell ref="AF23:AF24"/>
    <mergeCell ref="AG23:AG24"/>
    <mergeCell ref="AH23:AH24"/>
    <mergeCell ref="AI23:AI24"/>
    <mergeCell ref="AJ23:AJ24"/>
    <mergeCell ref="AK23:AK24"/>
    <mergeCell ref="AL23:AL24"/>
    <mergeCell ref="AM23:AM24"/>
    <mergeCell ref="AN23:AN24"/>
    <mergeCell ref="AO23:AO24"/>
    <mergeCell ref="AP23:AP24"/>
    <mergeCell ref="AQ23:AQ24"/>
    <mergeCell ref="AR23:AR24"/>
    <mergeCell ref="AS23:AS24"/>
    <mergeCell ref="AT23:AT24"/>
    <mergeCell ref="AU23:AU24"/>
    <mergeCell ref="AV23:AV24"/>
    <mergeCell ref="AW23:AW24"/>
    <mergeCell ref="AX23:AX24"/>
    <mergeCell ref="AY23:AY24"/>
    <mergeCell ref="AZ23:AZ24"/>
    <mergeCell ref="BA23:BA24"/>
    <mergeCell ref="BB23:BB24"/>
    <mergeCell ref="BC23:BC24"/>
    <mergeCell ref="BD23:BD24"/>
    <mergeCell ref="BE23:BE24"/>
    <mergeCell ref="BF23:BF24"/>
    <mergeCell ref="BG23:BG24"/>
    <mergeCell ref="A25:A26"/>
    <mergeCell ref="B25:B26"/>
    <mergeCell ref="C25:C26"/>
    <mergeCell ref="D25:D26"/>
    <mergeCell ref="E25:E26"/>
    <mergeCell ref="F25:F26"/>
    <mergeCell ref="G25:G26"/>
    <mergeCell ref="H25:H26"/>
    <mergeCell ref="I25:I26"/>
    <mergeCell ref="J25:J26"/>
    <mergeCell ref="N25:N26"/>
    <mergeCell ref="Q25:Q26"/>
    <mergeCell ref="R25:R26"/>
    <mergeCell ref="S25:S26"/>
    <mergeCell ref="T25:T26"/>
    <mergeCell ref="U25:U26"/>
    <mergeCell ref="V25:V26"/>
    <mergeCell ref="W25:W26"/>
    <mergeCell ref="X25:X26"/>
    <mergeCell ref="Y25:Y26"/>
    <mergeCell ref="Z25:Z26"/>
    <mergeCell ref="AA25:AA26"/>
    <mergeCell ref="AB25:AB26"/>
    <mergeCell ref="AC25:AC26"/>
    <mergeCell ref="AD25:AD26"/>
    <mergeCell ref="AE25:AE26"/>
    <mergeCell ref="AF25:AF26"/>
    <mergeCell ref="AG25:AG26"/>
    <mergeCell ref="AH25:AH26"/>
    <mergeCell ref="AI25:AI26"/>
    <mergeCell ref="AJ25:AJ26"/>
    <mergeCell ref="AK25:AK26"/>
    <mergeCell ref="AL25:AL26"/>
    <mergeCell ref="AM25:AM26"/>
    <mergeCell ref="AN25:AN26"/>
    <mergeCell ref="AO25:AO26"/>
    <mergeCell ref="AP25:AP26"/>
    <mergeCell ref="AQ25:AQ26"/>
    <mergeCell ref="AR25:AR26"/>
    <mergeCell ref="AS25:AS26"/>
    <mergeCell ref="AT25:AT26"/>
    <mergeCell ref="AU25:AU26"/>
    <mergeCell ref="AV25:AV26"/>
    <mergeCell ref="AW25:AW26"/>
    <mergeCell ref="AX25:AX26"/>
    <mergeCell ref="AY25:AY26"/>
    <mergeCell ref="AZ25:AZ26"/>
    <mergeCell ref="BA25:BA26"/>
    <mergeCell ref="BB25:BB26"/>
    <mergeCell ref="BC25:BC26"/>
    <mergeCell ref="BD25:BD26"/>
    <mergeCell ref="BE25:BE26"/>
    <mergeCell ref="BF25:BF26"/>
    <mergeCell ref="BG25:BG26"/>
    <mergeCell ref="A27:A28"/>
    <mergeCell ref="B27:B28"/>
    <mergeCell ref="C27:C28"/>
    <mergeCell ref="D27:D28"/>
    <mergeCell ref="E27:E28"/>
    <mergeCell ref="F27:F28"/>
    <mergeCell ref="G27:G28"/>
    <mergeCell ref="H27:H28"/>
    <mergeCell ref="I27:I28"/>
    <mergeCell ref="J27:J28"/>
    <mergeCell ref="N27:N28"/>
    <mergeCell ref="Q27:Q28"/>
    <mergeCell ref="R27:R28"/>
    <mergeCell ref="S27:S28"/>
    <mergeCell ref="T27:T28"/>
    <mergeCell ref="U27:U28"/>
    <mergeCell ref="V27:V28"/>
    <mergeCell ref="W27:W28"/>
    <mergeCell ref="X27:X28"/>
    <mergeCell ref="Y27:Y28"/>
    <mergeCell ref="Z27:Z28"/>
    <mergeCell ref="AL27:AL28"/>
    <mergeCell ref="AA27:AA28"/>
    <mergeCell ref="AB27:AB28"/>
    <mergeCell ref="AC27:AC28"/>
    <mergeCell ref="AD27:AD28"/>
    <mergeCell ref="AE27:AE28"/>
    <mergeCell ref="AF27:AF28"/>
    <mergeCell ref="AN27:AN28"/>
    <mergeCell ref="AO27:AO28"/>
    <mergeCell ref="AP27:AP28"/>
    <mergeCell ref="AQ27:AQ28"/>
    <mergeCell ref="AR27:AR28"/>
    <mergeCell ref="AG27:AG28"/>
    <mergeCell ref="AH27:AH28"/>
    <mergeCell ref="AI27:AI28"/>
    <mergeCell ref="AJ27:AJ28"/>
    <mergeCell ref="AK27:AK28"/>
    <mergeCell ref="G29:G30"/>
    <mergeCell ref="AY27:AY28"/>
    <mergeCell ref="AZ27:AZ28"/>
    <mergeCell ref="BA27:BA28"/>
    <mergeCell ref="BB27:BB28"/>
    <mergeCell ref="AQ29:AQ30"/>
    <mergeCell ref="AR29:AR30"/>
    <mergeCell ref="AS29:AS30"/>
    <mergeCell ref="AT29:AT30"/>
    <mergeCell ref="AU29:AU30"/>
    <mergeCell ref="AV29:AV30"/>
    <mergeCell ref="BC27:BC28"/>
    <mergeCell ref="AS27:AS28"/>
    <mergeCell ref="AT27:AT28"/>
    <mergeCell ref="AU27:AU28"/>
    <mergeCell ref="AV27:AV28"/>
    <mergeCell ref="A29:A30"/>
    <mergeCell ref="B29:B30"/>
    <mergeCell ref="C29:C30"/>
    <mergeCell ref="D29:D30"/>
    <mergeCell ref="E29:E30"/>
    <mergeCell ref="F29:F30"/>
    <mergeCell ref="Y29:Y30"/>
    <mergeCell ref="Z29:Z30"/>
    <mergeCell ref="AA29:AA30"/>
    <mergeCell ref="BE27:BE28"/>
    <mergeCell ref="BF27:BF28"/>
    <mergeCell ref="BG27:BG28"/>
    <mergeCell ref="BD27:BD28"/>
    <mergeCell ref="AW27:AW28"/>
    <mergeCell ref="AX27:AX28"/>
    <mergeCell ref="AM27:AM28"/>
    <mergeCell ref="AO29:AO30"/>
    <mergeCell ref="AP29:AP30"/>
    <mergeCell ref="AE29:AE30"/>
    <mergeCell ref="AF29:AF30"/>
    <mergeCell ref="AG29:AG30"/>
    <mergeCell ref="AH29:AH30"/>
    <mergeCell ref="AI29:AI30"/>
    <mergeCell ref="AJ29:AJ30"/>
    <mergeCell ref="AZ29:AZ30"/>
    <mergeCell ref="BA29:BA30"/>
    <mergeCell ref="BB29:BB30"/>
    <mergeCell ref="A31:A32"/>
    <mergeCell ref="B31:B32"/>
    <mergeCell ref="C31:C32"/>
    <mergeCell ref="D31:D32"/>
    <mergeCell ref="E31:E32"/>
    <mergeCell ref="AW29:AW30"/>
    <mergeCell ref="AK29:AK30"/>
    <mergeCell ref="AL29:AL30"/>
    <mergeCell ref="AM29:AM30"/>
    <mergeCell ref="AN29:AN30"/>
    <mergeCell ref="H29:H30"/>
    <mergeCell ref="I29:I30"/>
    <mergeCell ref="J29:J30"/>
    <mergeCell ref="N29:N30"/>
    <mergeCell ref="Q29:Q30"/>
    <mergeCell ref="R29:R30"/>
    <mergeCell ref="S29:S30"/>
    <mergeCell ref="T29:T30"/>
    <mergeCell ref="U29:U30"/>
    <mergeCell ref="V29:V30"/>
    <mergeCell ref="W29:W30"/>
    <mergeCell ref="X29:X30"/>
    <mergeCell ref="AG31:AG32"/>
    <mergeCell ref="AH31:AH32"/>
    <mergeCell ref="AI31:AI32"/>
    <mergeCell ref="AJ31:AJ32"/>
    <mergeCell ref="AK31:AK32"/>
    <mergeCell ref="AL31:AL32"/>
    <mergeCell ref="AM31:AM32"/>
    <mergeCell ref="AN31:AN32"/>
    <mergeCell ref="AO31:AO32"/>
    <mergeCell ref="AP31:AP32"/>
    <mergeCell ref="BC29:BC30"/>
    <mergeCell ref="BD29:BD30"/>
    <mergeCell ref="BE29:BE30"/>
    <mergeCell ref="BF29:BF30"/>
    <mergeCell ref="BG29:BG30"/>
    <mergeCell ref="AB29:AB30"/>
    <mergeCell ref="AC29:AC30"/>
    <mergeCell ref="AD29:AD30"/>
    <mergeCell ref="AX29:AX30"/>
    <mergeCell ref="AY29:AY30"/>
    <mergeCell ref="F31:F32"/>
    <mergeCell ref="G31:G32"/>
    <mergeCell ref="H31:H32"/>
    <mergeCell ref="I31:I32"/>
    <mergeCell ref="J31:J32"/>
    <mergeCell ref="N31:N32"/>
    <mergeCell ref="Q31:Q32"/>
    <mergeCell ref="R31:R32"/>
    <mergeCell ref="S31:S32"/>
    <mergeCell ref="T31:T32"/>
    <mergeCell ref="U31:U32"/>
    <mergeCell ref="V31:V32"/>
    <mergeCell ref="W31:W32"/>
    <mergeCell ref="X31:X32"/>
    <mergeCell ref="Y31:Y32"/>
    <mergeCell ref="Z31:Z32"/>
    <mergeCell ref="AA31:AA32"/>
    <mergeCell ref="AB31:AB32"/>
    <mergeCell ref="AC31:AC32"/>
    <mergeCell ref="AD31:AD32"/>
    <mergeCell ref="AE31:AE32"/>
    <mergeCell ref="AF31:AF32"/>
    <mergeCell ref="AQ31:AQ32"/>
    <mergeCell ref="AR31:AR32"/>
    <mergeCell ref="AS31:AS32"/>
    <mergeCell ref="AT31:AT32"/>
    <mergeCell ref="AU31:AU32"/>
    <mergeCell ref="AV31:AV32"/>
    <mergeCell ref="AW31:AW32"/>
    <mergeCell ref="AX31:AX32"/>
    <mergeCell ref="AY31:AY32"/>
    <mergeCell ref="AZ31:AZ32"/>
    <mergeCell ref="BA31:BA32"/>
    <mergeCell ref="BB31:BB32"/>
    <mergeCell ref="BC31:BC32"/>
    <mergeCell ref="BD31:BD32"/>
    <mergeCell ref="BE31:BE32"/>
    <mergeCell ref="BF31:BF32"/>
    <mergeCell ref="BG31:BG32"/>
    <mergeCell ref="A33:A34"/>
    <mergeCell ref="B33:B34"/>
    <mergeCell ref="C33:C34"/>
    <mergeCell ref="D33:D34"/>
    <mergeCell ref="E33:E34"/>
    <mergeCell ref="F33:F34"/>
    <mergeCell ref="G33:G34"/>
    <mergeCell ref="H33:H34"/>
    <mergeCell ref="I33:I34"/>
    <mergeCell ref="J33:J34"/>
    <mergeCell ref="N33:N34"/>
    <mergeCell ref="Q33:Q34"/>
    <mergeCell ref="R33:R34"/>
    <mergeCell ref="S33:S34"/>
    <mergeCell ref="T33:T34"/>
    <mergeCell ref="U33:U34"/>
    <mergeCell ref="V33:V34"/>
    <mergeCell ref="W33:W34"/>
    <mergeCell ref="X33:X34"/>
    <mergeCell ref="Y33:Y34"/>
    <mergeCell ref="Z33:Z34"/>
    <mergeCell ref="AA33:AA34"/>
    <mergeCell ref="AB33:AB34"/>
    <mergeCell ref="AC33:AC34"/>
    <mergeCell ref="AD33:AD34"/>
    <mergeCell ref="AE33:AE34"/>
    <mergeCell ref="AF33:AF34"/>
    <mergeCell ref="AG33:AG34"/>
    <mergeCell ref="AH33:AH34"/>
    <mergeCell ref="AI33:AI34"/>
    <mergeCell ref="AJ33:AJ34"/>
    <mergeCell ref="AK33:AK34"/>
    <mergeCell ref="AL33:AL34"/>
    <mergeCell ref="AM33:AM34"/>
    <mergeCell ref="AN33:AN34"/>
    <mergeCell ref="AO33:AO34"/>
    <mergeCell ref="AP33:AP34"/>
    <mergeCell ref="AQ33:AQ34"/>
    <mergeCell ref="AR33:AR34"/>
    <mergeCell ref="AS33:AS34"/>
    <mergeCell ref="AT33:AT34"/>
    <mergeCell ref="AU33:AU34"/>
    <mergeCell ref="AV33:AV34"/>
    <mergeCell ref="AW33:AW34"/>
    <mergeCell ref="AX33:AX34"/>
    <mergeCell ref="AY33:AY34"/>
    <mergeCell ref="AZ33:AZ34"/>
    <mergeCell ref="BA33:BA34"/>
    <mergeCell ref="BB33:BB34"/>
    <mergeCell ref="BC33:BC34"/>
    <mergeCell ref="BD33:BD34"/>
    <mergeCell ref="BE33:BE34"/>
    <mergeCell ref="BF33:BF34"/>
    <mergeCell ref="BG33:BG34"/>
    <mergeCell ref="A35:A36"/>
    <mergeCell ref="B35:B36"/>
    <mergeCell ref="C35:C36"/>
    <mergeCell ref="D35:D36"/>
    <mergeCell ref="E35:E36"/>
    <mergeCell ref="F35:F36"/>
    <mergeCell ref="G35:G36"/>
    <mergeCell ref="H35:H36"/>
    <mergeCell ref="I35:I36"/>
    <mergeCell ref="J35:J36"/>
    <mergeCell ref="N35:N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35:AF36"/>
    <mergeCell ref="AG35:AG36"/>
    <mergeCell ref="AH35:AH36"/>
    <mergeCell ref="AI35:AI36"/>
    <mergeCell ref="AJ35:AJ36"/>
    <mergeCell ref="AK35:AK36"/>
    <mergeCell ref="AL35:AL36"/>
    <mergeCell ref="AM35:AM36"/>
    <mergeCell ref="AN35:AN36"/>
    <mergeCell ref="AO35:AO36"/>
    <mergeCell ref="AP35:AP36"/>
    <mergeCell ref="AQ35:AQ36"/>
    <mergeCell ref="AR35:AR36"/>
    <mergeCell ref="AS35:AS36"/>
    <mergeCell ref="AT35:AT36"/>
    <mergeCell ref="AU35:AU36"/>
    <mergeCell ref="AV35:AV36"/>
    <mergeCell ref="AW35:AW36"/>
    <mergeCell ref="AX35:AX36"/>
    <mergeCell ref="AY35:AY36"/>
    <mergeCell ref="AZ35:AZ36"/>
    <mergeCell ref="BA35:BA36"/>
    <mergeCell ref="BB35:BB36"/>
    <mergeCell ref="BC35:BC36"/>
    <mergeCell ref="BD35:BD36"/>
    <mergeCell ref="BE35:BE36"/>
    <mergeCell ref="BF35:BF36"/>
    <mergeCell ref="BG35:BG36"/>
    <mergeCell ref="A37:A38"/>
    <mergeCell ref="B37:B38"/>
    <mergeCell ref="C37:C38"/>
    <mergeCell ref="D37:D38"/>
    <mergeCell ref="E37:E38"/>
    <mergeCell ref="F37:F38"/>
    <mergeCell ref="G37:G38"/>
    <mergeCell ref="H37:H38"/>
    <mergeCell ref="I37:I38"/>
    <mergeCell ref="J37:J38"/>
    <mergeCell ref="N37:N38"/>
    <mergeCell ref="Q37:Q38"/>
    <mergeCell ref="R37:R38"/>
    <mergeCell ref="S37:S38"/>
    <mergeCell ref="T37:T38"/>
    <mergeCell ref="U37:U38"/>
    <mergeCell ref="V37:V38"/>
    <mergeCell ref="W37:W38"/>
    <mergeCell ref="X37:X38"/>
    <mergeCell ref="Y37:Y38"/>
    <mergeCell ref="Z37:Z38"/>
    <mergeCell ref="AA37:AA38"/>
    <mergeCell ref="AB37:AB38"/>
    <mergeCell ref="AC37:AC38"/>
    <mergeCell ref="AD37:AD38"/>
    <mergeCell ref="AE37:AE38"/>
    <mergeCell ref="AF37:AF38"/>
    <mergeCell ref="AG37:AG38"/>
    <mergeCell ref="AH37:AH38"/>
    <mergeCell ref="AI37:AI38"/>
    <mergeCell ref="AJ37:AJ38"/>
    <mergeCell ref="AK37:AK38"/>
    <mergeCell ref="AL37:AL38"/>
    <mergeCell ref="AM37:AM38"/>
    <mergeCell ref="AN37:AN38"/>
    <mergeCell ref="AO37:AO38"/>
    <mergeCell ref="AP37:AP38"/>
    <mergeCell ref="AQ37:AQ38"/>
    <mergeCell ref="AR37:AR38"/>
    <mergeCell ref="AS37:AS38"/>
    <mergeCell ref="AT37:AT38"/>
    <mergeCell ref="AU37:AU38"/>
    <mergeCell ref="AV37:AV38"/>
    <mergeCell ref="AW37:AW38"/>
    <mergeCell ref="AX37:AX38"/>
    <mergeCell ref="AY37:AY38"/>
    <mergeCell ref="AZ37:AZ38"/>
    <mergeCell ref="BA37:BA38"/>
    <mergeCell ref="BB37:BB38"/>
    <mergeCell ref="BC37:BC38"/>
    <mergeCell ref="BD37:BD38"/>
    <mergeCell ref="BE37:BE38"/>
    <mergeCell ref="BF37:BF38"/>
    <mergeCell ref="BG37:BG38"/>
    <mergeCell ref="A39:A40"/>
    <mergeCell ref="B39:B40"/>
    <mergeCell ref="C39:C40"/>
    <mergeCell ref="D39:D40"/>
    <mergeCell ref="E39:E40"/>
    <mergeCell ref="F39:F40"/>
    <mergeCell ref="G39:G40"/>
    <mergeCell ref="H39:H40"/>
    <mergeCell ref="I39:I40"/>
    <mergeCell ref="J39:J40"/>
    <mergeCell ref="N39:N40"/>
    <mergeCell ref="Q39:Q40"/>
    <mergeCell ref="R39:R40"/>
    <mergeCell ref="S39:S40"/>
    <mergeCell ref="T39:T40"/>
    <mergeCell ref="U39:U40"/>
    <mergeCell ref="V39:V40"/>
    <mergeCell ref="W39:W40"/>
    <mergeCell ref="X39:X40"/>
    <mergeCell ref="Y39:Y40"/>
    <mergeCell ref="Z39:Z40"/>
    <mergeCell ref="AA39:AA40"/>
    <mergeCell ref="AB39:AB40"/>
    <mergeCell ref="AC39:AC40"/>
    <mergeCell ref="AD39:AD40"/>
    <mergeCell ref="AE39:AE40"/>
    <mergeCell ref="AF39:AF40"/>
    <mergeCell ref="AG39:AG40"/>
    <mergeCell ref="AH39:AH40"/>
    <mergeCell ref="AI39:AI40"/>
    <mergeCell ref="AJ39:AJ40"/>
    <mergeCell ref="AK39:AK40"/>
    <mergeCell ref="AL39:AL40"/>
    <mergeCell ref="AM39:AM40"/>
    <mergeCell ref="AN39:AN40"/>
    <mergeCell ref="AO39:AO40"/>
    <mergeCell ref="AP39:AP40"/>
    <mergeCell ref="AQ39:AQ40"/>
    <mergeCell ref="AR39:AR40"/>
    <mergeCell ref="AS39:AS40"/>
    <mergeCell ref="AT39:AT40"/>
    <mergeCell ref="AU39:AU40"/>
    <mergeCell ref="AV39:AV40"/>
    <mergeCell ref="AW39:AW40"/>
    <mergeCell ref="AX39:AX40"/>
    <mergeCell ref="AY39:AY40"/>
    <mergeCell ref="AZ39:AZ40"/>
    <mergeCell ref="BA39:BA40"/>
    <mergeCell ref="BB39:BB40"/>
    <mergeCell ref="BC39:BC40"/>
    <mergeCell ref="BD39:BD40"/>
    <mergeCell ref="BE39:BE40"/>
    <mergeCell ref="BF39:BF40"/>
    <mergeCell ref="BG39:BG40"/>
    <mergeCell ref="A41:A42"/>
    <mergeCell ref="B41:B42"/>
    <mergeCell ref="C41:C42"/>
    <mergeCell ref="D41:D42"/>
    <mergeCell ref="E41:E42"/>
    <mergeCell ref="F41:F42"/>
    <mergeCell ref="G41:G42"/>
    <mergeCell ref="H41:H42"/>
    <mergeCell ref="I41:I42"/>
    <mergeCell ref="J41:J42"/>
    <mergeCell ref="N41:N42"/>
    <mergeCell ref="Q41:Q42"/>
    <mergeCell ref="R41:R42"/>
    <mergeCell ref="S41:S42"/>
    <mergeCell ref="T41:T42"/>
    <mergeCell ref="U41:U42"/>
    <mergeCell ref="V41:V42"/>
    <mergeCell ref="W41:W42"/>
    <mergeCell ref="X41:X42"/>
    <mergeCell ref="Y41:Y42"/>
    <mergeCell ref="Z41:Z42"/>
    <mergeCell ref="AA41:AA42"/>
    <mergeCell ref="AB41:AB42"/>
    <mergeCell ref="AC41:AC42"/>
    <mergeCell ref="AD41:AD42"/>
    <mergeCell ref="AE41:AE42"/>
    <mergeCell ref="AF41:AF42"/>
    <mergeCell ref="AG41:AG42"/>
    <mergeCell ref="AH41:AH42"/>
    <mergeCell ref="AI41:AI42"/>
    <mergeCell ref="AJ41:AJ42"/>
    <mergeCell ref="AK41:AK42"/>
    <mergeCell ref="AL41:AL42"/>
    <mergeCell ref="AM41:AM42"/>
    <mergeCell ref="AN41:AN42"/>
    <mergeCell ref="AO41:AO42"/>
    <mergeCell ref="AP41:AP42"/>
    <mergeCell ref="AQ41:AQ42"/>
    <mergeCell ref="AR41:AR42"/>
    <mergeCell ref="AS41:AS42"/>
    <mergeCell ref="AT41:AT42"/>
    <mergeCell ref="AU41:AU42"/>
    <mergeCell ref="AV41:AV42"/>
    <mergeCell ref="AW41:AW42"/>
    <mergeCell ref="AX41:AX42"/>
    <mergeCell ref="AY41:AY42"/>
    <mergeCell ref="AZ41:AZ42"/>
    <mergeCell ref="BA41:BA42"/>
    <mergeCell ref="BB41:BB42"/>
    <mergeCell ref="BC41:BC42"/>
    <mergeCell ref="BD41:BD42"/>
    <mergeCell ref="BE41:BE42"/>
    <mergeCell ref="BF41:BF42"/>
    <mergeCell ref="BG41:BG42"/>
    <mergeCell ref="A43:A44"/>
    <mergeCell ref="B43:B44"/>
    <mergeCell ref="C43:C44"/>
    <mergeCell ref="D43:D44"/>
    <mergeCell ref="E43:E44"/>
    <mergeCell ref="F43:F44"/>
    <mergeCell ref="G43:G44"/>
    <mergeCell ref="H43:H44"/>
    <mergeCell ref="I43:I44"/>
    <mergeCell ref="J43:J44"/>
    <mergeCell ref="N43:N44"/>
    <mergeCell ref="Q43:Q44"/>
    <mergeCell ref="R43:R44"/>
    <mergeCell ref="S43:S44"/>
    <mergeCell ref="T43:T44"/>
    <mergeCell ref="U43:U44"/>
    <mergeCell ref="V43:V44"/>
    <mergeCell ref="W43:W44"/>
    <mergeCell ref="X43:X44"/>
    <mergeCell ref="Y43:Y44"/>
    <mergeCell ref="Z43:Z44"/>
    <mergeCell ref="AA43:AA44"/>
    <mergeCell ref="AB43:AB44"/>
    <mergeCell ref="AC43:AC44"/>
    <mergeCell ref="AD43:AD44"/>
    <mergeCell ref="AE43:AE44"/>
    <mergeCell ref="AF43:AF44"/>
    <mergeCell ref="AG43:AG44"/>
    <mergeCell ref="AH43:AH44"/>
    <mergeCell ref="AI43:AI44"/>
    <mergeCell ref="AJ43:AJ44"/>
    <mergeCell ref="AK43:AK44"/>
    <mergeCell ref="AL43:AL44"/>
    <mergeCell ref="AM43:AM44"/>
    <mergeCell ref="AN43:AN44"/>
    <mergeCell ref="AO43:AO44"/>
    <mergeCell ref="AP43:AP44"/>
    <mergeCell ref="AQ43:AQ44"/>
    <mergeCell ref="AR43:AR44"/>
    <mergeCell ref="AS43:AS44"/>
    <mergeCell ref="AT43:AT44"/>
    <mergeCell ref="AU43:AU44"/>
    <mergeCell ref="AV43:AV44"/>
    <mergeCell ref="AW43:AW44"/>
    <mergeCell ref="AX43:AX44"/>
    <mergeCell ref="AY43:AY44"/>
    <mergeCell ref="AZ43:AZ44"/>
    <mergeCell ref="BA43:BA44"/>
    <mergeCell ref="BB43:BB44"/>
    <mergeCell ref="BC43:BC44"/>
    <mergeCell ref="BD43:BD44"/>
    <mergeCell ref="BE43:BE44"/>
    <mergeCell ref="BF43:BF44"/>
    <mergeCell ref="BG43:BG44"/>
    <mergeCell ref="A45:I45"/>
    <mergeCell ref="A46:A47"/>
    <mergeCell ref="B46:B47"/>
    <mergeCell ref="C46:C47"/>
    <mergeCell ref="D46:D47"/>
    <mergeCell ref="E46:E47"/>
    <mergeCell ref="F46:F47"/>
    <mergeCell ref="G46:G47"/>
    <mergeCell ref="H46:H47"/>
    <mergeCell ref="I46:I47"/>
    <mergeCell ref="J46:J47"/>
    <mergeCell ref="N46:N47"/>
    <mergeCell ref="Q46:Q47"/>
    <mergeCell ref="R46:R47"/>
    <mergeCell ref="S46:S47"/>
    <mergeCell ref="T46:T47"/>
    <mergeCell ref="U46:U47"/>
    <mergeCell ref="V46:V47"/>
    <mergeCell ref="W46:W47"/>
    <mergeCell ref="X46:X47"/>
    <mergeCell ref="Y46:Y47"/>
    <mergeCell ref="Z46:Z47"/>
    <mergeCell ref="AA46:AA47"/>
    <mergeCell ref="AB46:AB47"/>
    <mergeCell ref="AC46:AC47"/>
    <mergeCell ref="AD46:AD47"/>
    <mergeCell ref="AE46:AE47"/>
    <mergeCell ref="AF46:AF47"/>
    <mergeCell ref="AG46:AG47"/>
    <mergeCell ref="AH46:AH47"/>
    <mergeCell ref="AI46:AI47"/>
    <mergeCell ref="AJ46:AJ47"/>
    <mergeCell ref="AK46:AK47"/>
    <mergeCell ref="AL46:AL47"/>
    <mergeCell ref="AM46:AM47"/>
    <mergeCell ref="AN46:AN47"/>
    <mergeCell ref="AO46:AO47"/>
    <mergeCell ref="AP46:AP47"/>
    <mergeCell ref="AQ46:AQ47"/>
    <mergeCell ref="AR46:AR47"/>
    <mergeCell ref="AS46:AS47"/>
    <mergeCell ref="AT46:AT47"/>
    <mergeCell ref="AU46:AU47"/>
    <mergeCell ref="AV46:AV47"/>
    <mergeCell ref="AW46:AW47"/>
    <mergeCell ref="AX46:AX47"/>
    <mergeCell ref="AY46:AY47"/>
    <mergeCell ref="AZ46:AZ47"/>
    <mergeCell ref="BA46:BA47"/>
    <mergeCell ref="BB46:BB47"/>
    <mergeCell ref="BC46:BC47"/>
    <mergeCell ref="BD46:BD47"/>
    <mergeCell ref="BE46:BE47"/>
    <mergeCell ref="BF46:BF47"/>
    <mergeCell ref="BG46:BG47"/>
    <mergeCell ref="A48:A49"/>
    <mergeCell ref="B48:B49"/>
    <mergeCell ref="C48:C49"/>
    <mergeCell ref="D48:D49"/>
    <mergeCell ref="E48:E49"/>
    <mergeCell ref="F48:F49"/>
    <mergeCell ref="U48:U49"/>
    <mergeCell ref="V48:V49"/>
    <mergeCell ref="W48:W49"/>
    <mergeCell ref="G48:G49"/>
    <mergeCell ref="H48:H49"/>
    <mergeCell ref="I48:I49"/>
    <mergeCell ref="J48:J49"/>
    <mergeCell ref="N48:N49"/>
    <mergeCell ref="Q48:Q49"/>
    <mergeCell ref="AJ48:AJ49"/>
    <mergeCell ref="AK48:AK49"/>
    <mergeCell ref="AD48:AD49"/>
    <mergeCell ref="AE48:AE49"/>
    <mergeCell ref="AF48:AF49"/>
    <mergeCell ref="AG48:AG49"/>
    <mergeCell ref="AH48:AH49"/>
    <mergeCell ref="AL48:AL49"/>
    <mergeCell ref="AM48:AM49"/>
    <mergeCell ref="AN48:AN49"/>
    <mergeCell ref="AO48:AO49"/>
    <mergeCell ref="AP48:AP49"/>
    <mergeCell ref="AQ48:AQ49"/>
    <mergeCell ref="AR48:AR49"/>
    <mergeCell ref="AS48:AS49"/>
    <mergeCell ref="AT48:AT49"/>
    <mergeCell ref="AU48:AU49"/>
    <mergeCell ref="R48:R49"/>
    <mergeCell ref="S48:S49"/>
    <mergeCell ref="T48:T49"/>
    <mergeCell ref="BG48:BG49"/>
    <mergeCell ref="AV48:AV49"/>
    <mergeCell ref="AW48:AW49"/>
    <mergeCell ref="AX48:AX49"/>
    <mergeCell ref="AY48:AY49"/>
    <mergeCell ref="AZ48:AZ49"/>
    <mergeCell ref="BA48:BA49"/>
    <mergeCell ref="AI48:AI49"/>
    <mergeCell ref="X48:X49"/>
    <mergeCell ref="Y48:Y49"/>
    <mergeCell ref="Z48:Z49"/>
    <mergeCell ref="AA48:AA49"/>
    <mergeCell ref="AB48:AB49"/>
    <mergeCell ref="AC48:AC49"/>
    <mergeCell ref="BB48:BB49"/>
    <mergeCell ref="BC48:BC49"/>
    <mergeCell ref="BD48:BD49"/>
    <mergeCell ref="BE48:BE49"/>
    <mergeCell ref="BF48:BF49"/>
    <mergeCell ref="A50:A51"/>
    <mergeCell ref="B50:B51"/>
    <mergeCell ref="C50:C51"/>
    <mergeCell ref="D50:D51"/>
    <mergeCell ref="E50:E51"/>
    <mergeCell ref="F50:F51"/>
    <mergeCell ref="G50:G51"/>
    <mergeCell ref="H50:H51"/>
    <mergeCell ref="I50:I51"/>
    <mergeCell ref="J50:J51"/>
    <mergeCell ref="N50:N51"/>
    <mergeCell ref="Q50:Q51"/>
    <mergeCell ref="R50:R51"/>
    <mergeCell ref="S50:S51"/>
    <mergeCell ref="T50:T51"/>
    <mergeCell ref="U50:U51"/>
    <mergeCell ref="V50:V51"/>
    <mergeCell ref="W50:W51"/>
    <mergeCell ref="X50:X51"/>
    <mergeCell ref="Y50:Y51"/>
    <mergeCell ref="Z50:Z51"/>
    <mergeCell ref="AA50:AA51"/>
    <mergeCell ref="AB50:AB51"/>
    <mergeCell ref="AC50:AC51"/>
    <mergeCell ref="AD50:AD51"/>
    <mergeCell ref="AE50:AE51"/>
    <mergeCell ref="AF50:AF51"/>
    <mergeCell ref="AG50:AG51"/>
    <mergeCell ref="AH50:AH51"/>
    <mergeCell ref="AI50:AI51"/>
    <mergeCell ref="AJ50:AJ51"/>
    <mergeCell ref="AK50:AK51"/>
    <mergeCell ref="AL50:AL51"/>
    <mergeCell ref="AM50:AM51"/>
    <mergeCell ref="AN50:AN51"/>
    <mergeCell ref="AO50:AO51"/>
    <mergeCell ref="AP50:AP51"/>
    <mergeCell ref="AQ50:AQ51"/>
    <mergeCell ref="AR50:AR51"/>
    <mergeCell ref="AS50:AS51"/>
    <mergeCell ref="AT50:AT51"/>
    <mergeCell ref="AU50:AU51"/>
    <mergeCell ref="AV50:AV51"/>
    <mergeCell ref="AW50:AW51"/>
    <mergeCell ref="AX50:AX51"/>
    <mergeCell ref="AY50:AY51"/>
    <mergeCell ref="AZ50:AZ51"/>
    <mergeCell ref="BA50:BA51"/>
    <mergeCell ref="BB50:BB51"/>
    <mergeCell ref="BC50:BC51"/>
    <mergeCell ref="BD50:BD51"/>
    <mergeCell ref="BE50:BE51"/>
    <mergeCell ref="BF50:BF51"/>
    <mergeCell ref="BG50:BG51"/>
    <mergeCell ref="A52:I52"/>
    <mergeCell ref="A53:A54"/>
    <mergeCell ref="B53:B54"/>
    <mergeCell ref="C53:C54"/>
    <mergeCell ref="D53:D54"/>
    <mergeCell ref="E53:E54"/>
    <mergeCell ref="F53:F54"/>
    <mergeCell ref="G53:G54"/>
    <mergeCell ref="H53:H54"/>
    <mergeCell ref="I53:I54"/>
    <mergeCell ref="J53:J54"/>
    <mergeCell ref="N53:N54"/>
    <mergeCell ref="Q53:Q54"/>
    <mergeCell ref="R53:R54"/>
    <mergeCell ref="S53:S54"/>
    <mergeCell ref="T53:T54"/>
    <mergeCell ref="U53:U54"/>
    <mergeCell ref="V53:V54"/>
    <mergeCell ref="W53:W54"/>
    <mergeCell ref="X53:X54"/>
    <mergeCell ref="Y53:Y54"/>
    <mergeCell ref="Z53:Z54"/>
    <mergeCell ref="AL53:AL54"/>
    <mergeCell ref="AA53:AA54"/>
    <mergeCell ref="AB53:AB54"/>
    <mergeCell ref="AC53:AC54"/>
    <mergeCell ref="AD53:AD54"/>
    <mergeCell ref="AE53:AE54"/>
    <mergeCell ref="AF53:AF54"/>
    <mergeCell ref="AN53:AN54"/>
    <mergeCell ref="AO53:AO54"/>
    <mergeCell ref="AP53:AP54"/>
    <mergeCell ref="AQ53:AQ54"/>
    <mergeCell ref="AR53:AR54"/>
    <mergeCell ref="AG53:AG54"/>
    <mergeCell ref="AH53:AH54"/>
    <mergeCell ref="AI53:AI54"/>
    <mergeCell ref="AJ53:AJ54"/>
    <mergeCell ref="AK53:AK54"/>
    <mergeCell ref="G55:G56"/>
    <mergeCell ref="AY53:AY54"/>
    <mergeCell ref="AZ53:AZ54"/>
    <mergeCell ref="BA53:BA54"/>
    <mergeCell ref="BB53:BB54"/>
    <mergeCell ref="BC53:BC54"/>
    <mergeCell ref="AS53:AS54"/>
    <mergeCell ref="AT53:AT54"/>
    <mergeCell ref="AU53:AU54"/>
    <mergeCell ref="AV53:AV54"/>
    <mergeCell ref="AV55:AV56"/>
    <mergeCell ref="BC55:BC56"/>
    <mergeCell ref="A55:A56"/>
    <mergeCell ref="B55:B56"/>
    <mergeCell ref="C55:C56"/>
    <mergeCell ref="D55:D56"/>
    <mergeCell ref="E55:E56"/>
    <mergeCell ref="F55:F56"/>
    <mergeCell ref="Y55:Y56"/>
    <mergeCell ref="Z55:Z56"/>
    <mergeCell ref="AA55:AA56"/>
    <mergeCell ref="BE53:BE54"/>
    <mergeCell ref="BF53:BF54"/>
    <mergeCell ref="BG53:BG54"/>
    <mergeCell ref="BD53:BD54"/>
    <mergeCell ref="AW53:AW54"/>
    <mergeCell ref="AX53:AX54"/>
    <mergeCell ref="AM53:AM54"/>
    <mergeCell ref="AO55:AO56"/>
    <mergeCell ref="AP55:AP56"/>
    <mergeCell ref="AE55:AE56"/>
    <mergeCell ref="AF55:AF56"/>
    <mergeCell ref="AG55:AG56"/>
    <mergeCell ref="AH55:AH56"/>
    <mergeCell ref="AI55:AI56"/>
    <mergeCell ref="AJ55:AJ56"/>
    <mergeCell ref="AZ55:AZ56"/>
    <mergeCell ref="BA55:BA56"/>
    <mergeCell ref="BB55:BB56"/>
    <mergeCell ref="AQ55:AQ56"/>
    <mergeCell ref="AR55:AR56"/>
    <mergeCell ref="AS55:AS56"/>
    <mergeCell ref="AT55:AT56"/>
    <mergeCell ref="AU55:AU56"/>
    <mergeCell ref="A57:A58"/>
    <mergeCell ref="B57:B58"/>
    <mergeCell ref="C57:C58"/>
    <mergeCell ref="D57:D58"/>
    <mergeCell ref="E57:E58"/>
    <mergeCell ref="AW55:AW56"/>
    <mergeCell ref="AK55:AK56"/>
    <mergeCell ref="AL55:AL56"/>
    <mergeCell ref="AM55:AM56"/>
    <mergeCell ref="AN55:AN56"/>
    <mergeCell ref="H55:H56"/>
    <mergeCell ref="I55:I56"/>
    <mergeCell ref="J55:J56"/>
    <mergeCell ref="N55:N56"/>
    <mergeCell ref="Q55:Q56"/>
    <mergeCell ref="R55:R56"/>
    <mergeCell ref="S55:S56"/>
    <mergeCell ref="T55:T56"/>
    <mergeCell ref="U55:U56"/>
    <mergeCell ref="V55:V56"/>
    <mergeCell ref="W55:W56"/>
    <mergeCell ref="X55:X56"/>
    <mergeCell ref="AH57:AH58"/>
    <mergeCell ref="AI57:AI58"/>
    <mergeCell ref="AJ57:AJ58"/>
    <mergeCell ref="AK57:AK58"/>
    <mergeCell ref="AL57:AL58"/>
    <mergeCell ref="AM57:AM58"/>
    <mergeCell ref="AN57:AN58"/>
    <mergeCell ref="AO57:AO58"/>
    <mergeCell ref="AP57:AP58"/>
    <mergeCell ref="AQ57:AQ58"/>
    <mergeCell ref="BD55:BD56"/>
    <mergeCell ref="BE55:BE56"/>
    <mergeCell ref="BF55:BF56"/>
    <mergeCell ref="BG55:BG56"/>
    <mergeCell ref="AB55:AB56"/>
    <mergeCell ref="AC55:AC56"/>
    <mergeCell ref="AD55:AD56"/>
    <mergeCell ref="AX55:AX56"/>
    <mergeCell ref="AY55:AY56"/>
    <mergeCell ref="F57:F58"/>
    <mergeCell ref="G57:G58"/>
    <mergeCell ref="H57:H58"/>
    <mergeCell ref="I57:I58"/>
    <mergeCell ref="J57:J58"/>
    <mergeCell ref="N57:N58"/>
    <mergeCell ref="Q57:Q58"/>
    <mergeCell ref="R57:R58"/>
    <mergeCell ref="S57:S58"/>
    <mergeCell ref="T57:T58"/>
    <mergeCell ref="U57:U58"/>
    <mergeCell ref="V57:V58"/>
    <mergeCell ref="W57:W58"/>
    <mergeCell ref="X57:X58"/>
    <mergeCell ref="Y57:Y58"/>
    <mergeCell ref="Z57:Z58"/>
    <mergeCell ref="AA57:AA58"/>
    <mergeCell ref="AB57:AB58"/>
    <mergeCell ref="AC57:AC58"/>
    <mergeCell ref="AD57:AD58"/>
    <mergeCell ref="AE57:AE58"/>
    <mergeCell ref="AF57:AF58"/>
    <mergeCell ref="AG57:AG58"/>
    <mergeCell ref="AR57:AR58"/>
    <mergeCell ref="AS57:AS58"/>
    <mergeCell ref="AT57:AT58"/>
    <mergeCell ref="AU57:AU58"/>
    <mergeCell ref="AV57:AV58"/>
    <mergeCell ref="AW57:AW58"/>
    <mergeCell ref="AX57:AX58"/>
    <mergeCell ref="AY57:AY58"/>
    <mergeCell ref="AZ57:AZ58"/>
    <mergeCell ref="BA57:BA58"/>
    <mergeCell ref="BB57:BB58"/>
    <mergeCell ref="BC57:BC58"/>
    <mergeCell ref="BD57:BD58"/>
    <mergeCell ref="BE57:BE58"/>
    <mergeCell ref="BF57:BF58"/>
    <mergeCell ref="BG57:BG58"/>
    <mergeCell ref="A59:A60"/>
    <mergeCell ref="B59:B60"/>
    <mergeCell ref="C59:C60"/>
    <mergeCell ref="D59:D60"/>
    <mergeCell ref="E59:E60"/>
    <mergeCell ref="F59:F60"/>
    <mergeCell ref="G59:G60"/>
    <mergeCell ref="H59:H60"/>
    <mergeCell ref="I59:I60"/>
    <mergeCell ref="J59:J60"/>
    <mergeCell ref="N59:N60"/>
    <mergeCell ref="Q59:Q60"/>
    <mergeCell ref="R59:R60"/>
    <mergeCell ref="S59:S60"/>
    <mergeCell ref="T59:T60"/>
    <mergeCell ref="U59:U60"/>
    <mergeCell ref="BB59:BB60"/>
    <mergeCell ref="BC59:BC60"/>
    <mergeCell ref="V59:V60"/>
    <mergeCell ref="W59:W60"/>
    <mergeCell ref="X59:X60"/>
    <mergeCell ref="Y59:Y60"/>
    <mergeCell ref="Z59:Z60"/>
    <mergeCell ref="AA59:AA60"/>
    <mergeCell ref="AB59:AB60"/>
    <mergeCell ref="AC59:AC60"/>
    <mergeCell ref="AD59:AD60"/>
    <mergeCell ref="AE59:AE60"/>
    <mergeCell ref="AF59:AF60"/>
    <mergeCell ref="AG59:AG60"/>
    <mergeCell ref="AH59:AH60"/>
    <mergeCell ref="AI59:AI60"/>
    <mergeCell ref="AJ59:AJ60"/>
    <mergeCell ref="AK59:AK60"/>
    <mergeCell ref="AL59:AL60"/>
    <mergeCell ref="AM59:AM60"/>
    <mergeCell ref="AN59:AN60"/>
    <mergeCell ref="AO59:AO60"/>
    <mergeCell ref="AP59:AP60"/>
    <mergeCell ref="AQ59:AQ60"/>
    <mergeCell ref="AR59:AR60"/>
    <mergeCell ref="AS59:AS60"/>
    <mergeCell ref="AT59:AT60"/>
    <mergeCell ref="AU59:AU60"/>
    <mergeCell ref="AV59:AV60"/>
    <mergeCell ref="AW59:AW60"/>
    <mergeCell ref="AX59:AX60"/>
    <mergeCell ref="AY59:AY60"/>
    <mergeCell ref="AZ59:AZ60"/>
    <mergeCell ref="BA59:BA60"/>
    <mergeCell ref="AH61:AH62"/>
    <mergeCell ref="AI61:AI62"/>
    <mergeCell ref="AJ61:AJ62"/>
    <mergeCell ref="AK61:AK62"/>
    <mergeCell ref="AL61:AL62"/>
    <mergeCell ref="AM61:AM62"/>
    <mergeCell ref="AN61:AN62"/>
    <mergeCell ref="AO61:AO62"/>
    <mergeCell ref="AP61:AP62"/>
    <mergeCell ref="AQ61:AQ62"/>
    <mergeCell ref="AR61:AR62"/>
    <mergeCell ref="AS61:AS62"/>
    <mergeCell ref="AT61:AT62"/>
    <mergeCell ref="AU61:AU62"/>
    <mergeCell ref="AV61:AV62"/>
    <mergeCell ref="AW61:AW62"/>
    <mergeCell ref="AX61:AX62"/>
    <mergeCell ref="AY61:AY62"/>
    <mergeCell ref="AZ61:AZ62"/>
    <mergeCell ref="BA61:BA62"/>
    <mergeCell ref="BD59:BD60"/>
    <mergeCell ref="BE59:BE60"/>
    <mergeCell ref="BF59:BF60"/>
    <mergeCell ref="BG59:BG60"/>
    <mergeCell ref="A61:A62"/>
    <mergeCell ref="B61:B62"/>
    <mergeCell ref="C61:C62"/>
    <mergeCell ref="D61:D62"/>
    <mergeCell ref="E61:E62"/>
    <mergeCell ref="F61:F62"/>
    <mergeCell ref="G61:G62"/>
    <mergeCell ref="H61:H62"/>
    <mergeCell ref="I61:I62"/>
    <mergeCell ref="J61:J62"/>
    <mergeCell ref="N61:N62"/>
    <mergeCell ref="Q61:Q62"/>
    <mergeCell ref="R61:R62"/>
    <mergeCell ref="S61:S62"/>
    <mergeCell ref="T61:T62"/>
    <mergeCell ref="U61:U62"/>
    <mergeCell ref="V61:V62"/>
    <mergeCell ref="W61:W62"/>
    <mergeCell ref="X61:X62"/>
    <mergeCell ref="Y61:Y62"/>
    <mergeCell ref="Z61:Z62"/>
    <mergeCell ref="AA61:AA62"/>
    <mergeCell ref="AB61:AB62"/>
    <mergeCell ref="AC61:AC62"/>
    <mergeCell ref="AD61:AD62"/>
    <mergeCell ref="AE61:AE62"/>
    <mergeCell ref="AF61:AF62"/>
    <mergeCell ref="AG61:AG62"/>
    <mergeCell ref="BB61:BB62"/>
    <mergeCell ref="BC61:BC62"/>
    <mergeCell ref="BD61:BD62"/>
    <mergeCell ref="BE61:BE62"/>
    <mergeCell ref="BF61:BF62"/>
    <mergeCell ref="BG61:BG62"/>
    <mergeCell ref="A63:A64"/>
    <mergeCell ref="B63:B64"/>
    <mergeCell ref="C63:C64"/>
    <mergeCell ref="D63:D64"/>
    <mergeCell ref="E63:E64"/>
    <mergeCell ref="F63:F64"/>
    <mergeCell ref="G63:G64"/>
    <mergeCell ref="H63:H64"/>
    <mergeCell ref="I63:I64"/>
    <mergeCell ref="J63:J64"/>
    <mergeCell ref="N63:N64"/>
    <mergeCell ref="Q63:Q64"/>
    <mergeCell ref="R63:R64"/>
    <mergeCell ref="S63:S64"/>
    <mergeCell ref="T63:T64"/>
    <mergeCell ref="U63:U64"/>
    <mergeCell ref="V63:V64"/>
    <mergeCell ref="W63:W64"/>
    <mergeCell ref="X63:X64"/>
    <mergeCell ref="Y63:Y64"/>
    <mergeCell ref="Z63:Z64"/>
    <mergeCell ref="AW63:AW64"/>
    <mergeCell ref="AX63:AX64"/>
    <mergeCell ref="AY63:AY64"/>
    <mergeCell ref="AZ63:AZ64"/>
    <mergeCell ref="BA63:BA64"/>
    <mergeCell ref="BB63:BB64"/>
    <mergeCell ref="BC63:BC64"/>
    <mergeCell ref="BD63:BD64"/>
    <mergeCell ref="BE63:BE64"/>
    <mergeCell ref="BF63:BF64"/>
    <mergeCell ref="BG63:BG64"/>
    <mergeCell ref="A65:I65"/>
    <mergeCell ref="A66:I66"/>
    <mergeCell ref="A67:O67"/>
    <mergeCell ref="AC63:AC64"/>
    <mergeCell ref="AD63:AD64"/>
    <mergeCell ref="AE63:AE64"/>
    <mergeCell ref="AF63:AF64"/>
    <mergeCell ref="AG63:AG64"/>
    <mergeCell ref="AH63:AH64"/>
    <mergeCell ref="AI63:AI64"/>
    <mergeCell ref="AJ63:AJ64"/>
    <mergeCell ref="AK63:AK64"/>
    <mergeCell ref="AL63:AL64"/>
    <mergeCell ref="AM63:AM64"/>
    <mergeCell ref="AN63:AN64"/>
    <mergeCell ref="AO63:AO64"/>
    <mergeCell ref="AP63:AP64"/>
    <mergeCell ref="AQ63:AQ64"/>
    <mergeCell ref="AA63:AA64"/>
    <mergeCell ref="AS63:AS64"/>
    <mergeCell ref="AV63:AV64"/>
    <mergeCell ref="AB63:AB64"/>
    <mergeCell ref="AR63:AR64"/>
    <mergeCell ref="A68:O68"/>
    <mergeCell ref="S69:S70"/>
    <mergeCell ref="T69:T70"/>
    <mergeCell ref="U69:U70"/>
    <mergeCell ref="V69:V70"/>
    <mergeCell ref="W69:W70"/>
    <mergeCell ref="AR69:AR70"/>
    <mergeCell ref="AS69:AS70"/>
    <mergeCell ref="AT69:AT70"/>
    <mergeCell ref="AU69:AU70"/>
    <mergeCell ref="AJ69:AJ70"/>
    <mergeCell ref="AK69:AK70"/>
    <mergeCell ref="AL69:AL70"/>
    <mergeCell ref="AM69:AM70"/>
    <mergeCell ref="AN69:AN70"/>
    <mergeCell ref="AO69:AO70"/>
    <mergeCell ref="AT63:AT64"/>
    <mergeCell ref="AU63:AU64"/>
    <mergeCell ref="BD69:BD70"/>
    <mergeCell ref="BE69:BE70"/>
    <mergeCell ref="BF69:BF70"/>
    <mergeCell ref="BG69:BG70"/>
    <mergeCell ref="AV69:AV70"/>
    <mergeCell ref="AW69:AW70"/>
    <mergeCell ref="AX69:AX70"/>
    <mergeCell ref="AY69:AY70"/>
    <mergeCell ref="AZ69:AZ70"/>
    <mergeCell ref="BA69:BA70"/>
    <mergeCell ref="X69:X70"/>
    <mergeCell ref="Y69:Y70"/>
    <mergeCell ref="Z69:Z70"/>
    <mergeCell ref="AA69:AA70"/>
    <mergeCell ref="AB69:AB70"/>
    <mergeCell ref="AC69:AC70"/>
    <mergeCell ref="BB69:BB70"/>
    <mergeCell ref="BC69:BC70"/>
    <mergeCell ref="AD69:AD70"/>
    <mergeCell ref="AE69:AE70"/>
    <mergeCell ref="AF69:AF70"/>
    <mergeCell ref="AG69:AG70"/>
    <mergeCell ref="AH69:AH70"/>
    <mergeCell ref="AI69:AI70"/>
    <mergeCell ref="AP69:AP70"/>
    <mergeCell ref="AQ69:AQ70"/>
    <mergeCell ref="A71:A72"/>
    <mergeCell ref="B71:B72"/>
    <mergeCell ref="C71:C72"/>
    <mergeCell ref="D71:D72"/>
    <mergeCell ref="E71:E72"/>
    <mergeCell ref="F71:F72"/>
    <mergeCell ref="U71:U72"/>
    <mergeCell ref="V71:V72"/>
    <mergeCell ref="W71:W72"/>
    <mergeCell ref="G71:G72"/>
    <mergeCell ref="H71:H72"/>
    <mergeCell ref="I71:I72"/>
    <mergeCell ref="J71:J72"/>
    <mergeCell ref="N71:N72"/>
    <mergeCell ref="Q71:Q72"/>
    <mergeCell ref="AJ71:AJ72"/>
    <mergeCell ref="AK71:AK72"/>
    <mergeCell ref="AG71:AG72"/>
    <mergeCell ref="AH71:AH72"/>
    <mergeCell ref="AI71:AI72"/>
    <mergeCell ref="AL71:AL72"/>
    <mergeCell ref="AM71:AM72"/>
    <mergeCell ref="AN71:AN72"/>
    <mergeCell ref="AO71:AO72"/>
    <mergeCell ref="BG71:BG72"/>
    <mergeCell ref="AV71:AV72"/>
    <mergeCell ref="AW71:AW72"/>
    <mergeCell ref="AX71:AX72"/>
    <mergeCell ref="AY71:AY72"/>
    <mergeCell ref="AZ71:AZ72"/>
    <mergeCell ref="BA71:BA72"/>
    <mergeCell ref="R71:R72"/>
    <mergeCell ref="S71:S72"/>
    <mergeCell ref="T71:T72"/>
    <mergeCell ref="BD71:BD72"/>
    <mergeCell ref="BE71:BE72"/>
    <mergeCell ref="BF71:BF72"/>
    <mergeCell ref="AP71:AP72"/>
    <mergeCell ref="AQ71:AQ72"/>
    <mergeCell ref="AR71:AR72"/>
    <mergeCell ref="AS71:AS72"/>
    <mergeCell ref="X71:X72"/>
    <mergeCell ref="Y71:Y72"/>
    <mergeCell ref="Z71:Z72"/>
    <mergeCell ref="AA71:AA72"/>
    <mergeCell ref="AB71:AB72"/>
    <mergeCell ref="AC71:AC72"/>
    <mergeCell ref="BB71:BB72"/>
    <mergeCell ref="BC71:BC72"/>
    <mergeCell ref="AD71:AD72"/>
    <mergeCell ref="AE71:AE72"/>
    <mergeCell ref="AF71:AF72"/>
    <mergeCell ref="AT71:AT72"/>
    <mergeCell ref="AU71:AU72"/>
    <mergeCell ref="A73:A74"/>
    <mergeCell ref="B73:B74"/>
    <mergeCell ref="C73:C74"/>
    <mergeCell ref="D73:D74"/>
    <mergeCell ref="E73:E74"/>
    <mergeCell ref="F73:F74"/>
    <mergeCell ref="U73:U74"/>
    <mergeCell ref="V73:V74"/>
    <mergeCell ref="W73:W74"/>
    <mergeCell ref="G73:G74"/>
    <mergeCell ref="H73:H74"/>
    <mergeCell ref="I73:I74"/>
    <mergeCell ref="J73:J74"/>
    <mergeCell ref="N73:N74"/>
    <mergeCell ref="Q73:Q74"/>
    <mergeCell ref="AJ73:AJ74"/>
    <mergeCell ref="AK73:AK74"/>
    <mergeCell ref="AL73:AL74"/>
    <mergeCell ref="AM73:AM74"/>
    <mergeCell ref="AN73:AN74"/>
    <mergeCell ref="AO73:AO74"/>
    <mergeCell ref="AP73:AP74"/>
    <mergeCell ref="AQ73:AQ74"/>
    <mergeCell ref="AR73:AR74"/>
    <mergeCell ref="AS73:AS74"/>
    <mergeCell ref="AT73:AT74"/>
    <mergeCell ref="AU73:AU74"/>
    <mergeCell ref="R73:R74"/>
    <mergeCell ref="S73:S74"/>
    <mergeCell ref="T73:T74"/>
    <mergeCell ref="BG73:BG74"/>
    <mergeCell ref="AV73:AV74"/>
    <mergeCell ref="AW73:AW74"/>
    <mergeCell ref="AX73:AX74"/>
    <mergeCell ref="AY73:AY74"/>
    <mergeCell ref="AZ73:AZ74"/>
    <mergeCell ref="BA73:BA74"/>
    <mergeCell ref="AI73:AI74"/>
    <mergeCell ref="X73:X74"/>
    <mergeCell ref="Y73:Y74"/>
    <mergeCell ref="Z73:Z74"/>
    <mergeCell ref="AA73:AA74"/>
    <mergeCell ref="AB73:AB74"/>
    <mergeCell ref="AC73:AC74"/>
    <mergeCell ref="BB73:BB74"/>
    <mergeCell ref="BC73:BC74"/>
    <mergeCell ref="BD73:BD74"/>
    <mergeCell ref="BE73:BE74"/>
    <mergeCell ref="BF73:BF74"/>
    <mergeCell ref="AD73:AD74"/>
    <mergeCell ref="AE73:AE74"/>
    <mergeCell ref="AF73:AF74"/>
    <mergeCell ref="AG73:AG74"/>
    <mergeCell ref="AH73:AH74"/>
    <mergeCell ref="A75:A76"/>
    <mergeCell ref="B75:B76"/>
    <mergeCell ref="C75:C76"/>
    <mergeCell ref="D75:D76"/>
    <mergeCell ref="E75:E76"/>
    <mergeCell ref="F75:F76"/>
    <mergeCell ref="G75:G76"/>
    <mergeCell ref="H75:H76"/>
    <mergeCell ref="I75:I76"/>
    <mergeCell ref="J75:J76"/>
    <mergeCell ref="N75:N76"/>
    <mergeCell ref="Q75:Q76"/>
    <mergeCell ref="R75:R76"/>
    <mergeCell ref="S75:S76"/>
    <mergeCell ref="T75:T76"/>
    <mergeCell ref="U75:U76"/>
    <mergeCell ref="V75:V76"/>
    <mergeCell ref="W75:W76"/>
    <mergeCell ref="X75:X76"/>
    <mergeCell ref="Y75:Y76"/>
    <mergeCell ref="Z75:Z76"/>
    <mergeCell ref="AA75:AA76"/>
    <mergeCell ref="AB75:AB76"/>
    <mergeCell ref="AC75:AC76"/>
    <mergeCell ref="AD75:AD76"/>
    <mergeCell ref="AE75:AE76"/>
    <mergeCell ref="AF75:AF76"/>
    <mergeCell ref="AG75:AG76"/>
    <mergeCell ref="AH75:AH76"/>
    <mergeCell ref="AI75:AI76"/>
    <mergeCell ref="AJ75:AJ76"/>
    <mergeCell ref="AK75:AK76"/>
    <mergeCell ref="AL75:AL76"/>
    <mergeCell ref="AM75:AM76"/>
    <mergeCell ref="AN75:AN76"/>
    <mergeCell ref="AO75:AO76"/>
    <mergeCell ref="AP75:AP76"/>
    <mergeCell ref="AQ75:AQ76"/>
    <mergeCell ref="AR75:AR76"/>
    <mergeCell ref="AS75:AS76"/>
    <mergeCell ref="AT75:AT76"/>
    <mergeCell ref="AU75:AU76"/>
    <mergeCell ref="AV75:AV76"/>
    <mergeCell ref="AW75:AW76"/>
    <mergeCell ref="AX75:AX76"/>
    <mergeCell ref="AY75:AY76"/>
    <mergeCell ref="AZ75:AZ76"/>
    <mergeCell ref="BA75:BA76"/>
    <mergeCell ref="BB75:BB76"/>
    <mergeCell ref="BC75:BC76"/>
    <mergeCell ref="BD75:BD76"/>
    <mergeCell ref="BE75:BE76"/>
    <mergeCell ref="BF75:BF76"/>
    <mergeCell ref="BG75:BG76"/>
    <mergeCell ref="A77:I77"/>
    <mergeCell ref="A78:A79"/>
    <mergeCell ref="B78:B79"/>
    <mergeCell ref="C78:C79"/>
    <mergeCell ref="D78:D79"/>
    <mergeCell ref="E78:E79"/>
    <mergeCell ref="F78:F79"/>
    <mergeCell ref="G78:G79"/>
    <mergeCell ref="H78:H79"/>
    <mergeCell ref="I78:I79"/>
    <mergeCell ref="J78:J79"/>
    <mergeCell ref="N78:N79"/>
    <mergeCell ref="Q78:Q79"/>
    <mergeCell ref="R78:R79"/>
    <mergeCell ref="S78:S79"/>
    <mergeCell ref="T78:T79"/>
    <mergeCell ref="U78:U79"/>
    <mergeCell ref="V78:V79"/>
    <mergeCell ref="W78:W79"/>
    <mergeCell ref="X78:X79"/>
    <mergeCell ref="Y78:Y79"/>
    <mergeCell ref="Z78:Z79"/>
    <mergeCell ref="AL78:AL79"/>
    <mergeCell ref="AA78:AA79"/>
    <mergeCell ref="AB78:AB79"/>
    <mergeCell ref="AC78:AC79"/>
    <mergeCell ref="AD78:AD79"/>
    <mergeCell ref="AE78:AE79"/>
    <mergeCell ref="AF78:AF79"/>
    <mergeCell ref="AN78:AN79"/>
    <mergeCell ref="AO78:AO79"/>
    <mergeCell ref="AP78:AP79"/>
    <mergeCell ref="AQ78:AQ79"/>
    <mergeCell ref="AR78:AR79"/>
    <mergeCell ref="AG78:AG79"/>
    <mergeCell ref="AH78:AH79"/>
    <mergeCell ref="AI78:AI79"/>
    <mergeCell ref="AJ78:AJ79"/>
    <mergeCell ref="AK78:AK79"/>
    <mergeCell ref="G80:G81"/>
    <mergeCell ref="AY78:AY79"/>
    <mergeCell ref="AZ78:AZ79"/>
    <mergeCell ref="BA78:BA79"/>
    <mergeCell ref="BB78:BB79"/>
    <mergeCell ref="BC78:BC79"/>
    <mergeCell ref="AS78:AS79"/>
    <mergeCell ref="AT78:AT79"/>
    <mergeCell ref="AU78:AU79"/>
    <mergeCell ref="AV78:AV79"/>
    <mergeCell ref="AV80:AV81"/>
    <mergeCell ref="BC80:BC81"/>
    <mergeCell ref="A80:A81"/>
    <mergeCell ref="B80:B81"/>
    <mergeCell ref="C80:C81"/>
    <mergeCell ref="D80:D81"/>
    <mergeCell ref="E80:E81"/>
    <mergeCell ref="F80:F81"/>
    <mergeCell ref="Y80:Y81"/>
    <mergeCell ref="Z80:Z81"/>
    <mergeCell ref="AA80:AA81"/>
    <mergeCell ref="BE78:BE79"/>
    <mergeCell ref="BF78:BF79"/>
    <mergeCell ref="BG78:BG79"/>
    <mergeCell ref="BD78:BD79"/>
    <mergeCell ref="AW78:AW79"/>
    <mergeCell ref="AX78:AX79"/>
    <mergeCell ref="AM78:AM79"/>
    <mergeCell ref="AO80:AO81"/>
    <mergeCell ref="AP80:AP81"/>
    <mergeCell ref="AE80:AE81"/>
    <mergeCell ref="AF80:AF81"/>
    <mergeCell ref="AG80:AG81"/>
    <mergeCell ref="AH80:AH81"/>
    <mergeCell ref="AI80:AI81"/>
    <mergeCell ref="AJ80:AJ81"/>
    <mergeCell ref="AZ80:AZ81"/>
    <mergeCell ref="BA80:BA81"/>
    <mergeCell ref="BB80:BB81"/>
    <mergeCell ref="AQ80:AQ81"/>
    <mergeCell ref="AR80:AR81"/>
    <mergeCell ref="AS80:AS81"/>
    <mergeCell ref="AT80:AT81"/>
    <mergeCell ref="AU80:AU81"/>
    <mergeCell ref="A82:A83"/>
    <mergeCell ref="B82:B83"/>
    <mergeCell ref="C82:C83"/>
    <mergeCell ref="D82:D83"/>
    <mergeCell ref="E82:E83"/>
    <mergeCell ref="AW80:AW81"/>
    <mergeCell ref="AK80:AK81"/>
    <mergeCell ref="AL80:AL81"/>
    <mergeCell ref="AM80:AM81"/>
    <mergeCell ref="AN80:AN81"/>
    <mergeCell ref="H80:H81"/>
    <mergeCell ref="I80:I81"/>
    <mergeCell ref="J80:J81"/>
    <mergeCell ref="N80:N81"/>
    <mergeCell ref="Q80:Q81"/>
    <mergeCell ref="R80:R81"/>
    <mergeCell ref="S80:S81"/>
    <mergeCell ref="T80:T81"/>
    <mergeCell ref="U80:U81"/>
    <mergeCell ref="V80:V81"/>
    <mergeCell ref="W80:W81"/>
    <mergeCell ref="X80:X81"/>
    <mergeCell ref="AH82:AH83"/>
    <mergeCell ref="AI82:AI83"/>
    <mergeCell ref="AJ82:AJ83"/>
    <mergeCell ref="AK82:AK83"/>
    <mergeCell ref="AL82:AL83"/>
    <mergeCell ref="AM82:AM83"/>
    <mergeCell ref="AN82:AN83"/>
    <mergeCell ref="AO82:AO83"/>
    <mergeCell ref="AP82:AP83"/>
    <mergeCell ref="AQ82:AQ83"/>
    <mergeCell ref="BD80:BD81"/>
    <mergeCell ref="BE80:BE81"/>
    <mergeCell ref="BF80:BF81"/>
    <mergeCell ref="BG80:BG81"/>
    <mergeCell ref="AB80:AB81"/>
    <mergeCell ref="AC80:AC81"/>
    <mergeCell ref="AD80:AD81"/>
    <mergeCell ref="AX80:AX81"/>
    <mergeCell ref="AY80:AY81"/>
    <mergeCell ref="F82:F83"/>
    <mergeCell ref="G82:G83"/>
    <mergeCell ref="H82:H83"/>
    <mergeCell ref="I82:I83"/>
    <mergeCell ref="J82:J83"/>
    <mergeCell ref="N82:N83"/>
    <mergeCell ref="Q82:Q83"/>
    <mergeCell ref="R82:R83"/>
    <mergeCell ref="S82:S83"/>
    <mergeCell ref="T82:T83"/>
    <mergeCell ref="U82:U83"/>
    <mergeCell ref="V82:V83"/>
    <mergeCell ref="W82:W83"/>
    <mergeCell ref="X82:X83"/>
    <mergeCell ref="Y82:Y83"/>
    <mergeCell ref="Z82:Z83"/>
    <mergeCell ref="AA82:AA83"/>
    <mergeCell ref="AB82:AB83"/>
    <mergeCell ref="AC82:AC83"/>
    <mergeCell ref="AD82:AD83"/>
    <mergeCell ref="AE82:AE83"/>
    <mergeCell ref="AF82:AF83"/>
    <mergeCell ref="AG82:AG83"/>
    <mergeCell ref="AR82:AR83"/>
    <mergeCell ref="AS82:AS83"/>
    <mergeCell ref="AT82:AT83"/>
    <mergeCell ref="AU82:AU83"/>
    <mergeCell ref="AV82:AV83"/>
    <mergeCell ref="AW82:AW83"/>
    <mergeCell ref="AX82:AX83"/>
    <mergeCell ref="AY82:AY83"/>
    <mergeCell ref="AZ82:AZ83"/>
    <mergeCell ref="BA82:BA83"/>
    <mergeCell ref="BB82:BB83"/>
    <mergeCell ref="BC82:BC83"/>
    <mergeCell ref="BD82:BD83"/>
    <mergeCell ref="BE82:BE83"/>
    <mergeCell ref="BF82:BF83"/>
    <mergeCell ref="BG82:BG83"/>
    <mergeCell ref="A84:A85"/>
    <mergeCell ref="B84:B85"/>
    <mergeCell ref="C84:C85"/>
    <mergeCell ref="D84:D85"/>
    <mergeCell ref="E84:E85"/>
    <mergeCell ref="F84:F85"/>
    <mergeCell ref="G84:G85"/>
    <mergeCell ref="H84:H85"/>
    <mergeCell ref="I84:I85"/>
    <mergeCell ref="AG84:AG85"/>
    <mergeCell ref="AH84:AH85"/>
    <mergeCell ref="AI84:AI85"/>
    <mergeCell ref="AJ84:AJ85"/>
    <mergeCell ref="AK84:AK85"/>
    <mergeCell ref="Q84:Q85"/>
    <mergeCell ref="R84:R85"/>
    <mergeCell ref="S84:S85"/>
    <mergeCell ref="T84:T85"/>
    <mergeCell ref="AX84:AX85"/>
    <mergeCell ref="AM84:AM85"/>
    <mergeCell ref="AN84:AN85"/>
    <mergeCell ref="AO84:AO85"/>
    <mergeCell ref="AP84:AP85"/>
    <mergeCell ref="AQ84:AQ85"/>
    <mergeCell ref="AR84:AR85"/>
    <mergeCell ref="G86:G87"/>
    <mergeCell ref="AY84:AY85"/>
    <mergeCell ref="AZ84:AZ85"/>
    <mergeCell ref="BA84:BA85"/>
    <mergeCell ref="BB84:BB85"/>
    <mergeCell ref="BC84:BC85"/>
    <mergeCell ref="AS84:AS85"/>
    <mergeCell ref="AT84:AT85"/>
    <mergeCell ref="AU84:AU85"/>
    <mergeCell ref="AV84:AV85"/>
    <mergeCell ref="J84:J85"/>
    <mergeCell ref="N84:N85"/>
    <mergeCell ref="U86:U87"/>
    <mergeCell ref="V86:V87"/>
    <mergeCell ref="W86:W87"/>
    <mergeCell ref="X86:X87"/>
    <mergeCell ref="Y86:Y87"/>
    <mergeCell ref="Z86:Z87"/>
    <mergeCell ref="AA86:AA87"/>
    <mergeCell ref="AB86:AB87"/>
    <mergeCell ref="AC86:AC87"/>
    <mergeCell ref="AD86:AD87"/>
    <mergeCell ref="AE86:AE87"/>
    <mergeCell ref="BF84:BF85"/>
    <mergeCell ref="BG84:BG85"/>
    <mergeCell ref="A86:A87"/>
    <mergeCell ref="B86:B87"/>
    <mergeCell ref="C86:C87"/>
    <mergeCell ref="D86:D87"/>
    <mergeCell ref="E86:E87"/>
    <mergeCell ref="F86:F87"/>
    <mergeCell ref="U84:U85"/>
    <mergeCell ref="V84:V85"/>
    <mergeCell ref="W84:W85"/>
    <mergeCell ref="X84:X85"/>
    <mergeCell ref="Y84:Y85"/>
    <mergeCell ref="Z84:Z85"/>
    <mergeCell ref="BE84:BE85"/>
    <mergeCell ref="AL84:AL85"/>
    <mergeCell ref="AA84:AA85"/>
    <mergeCell ref="AB84:AB85"/>
    <mergeCell ref="AC84:AC85"/>
    <mergeCell ref="AD84:AD85"/>
    <mergeCell ref="AE84:AE85"/>
    <mergeCell ref="AF84:AF85"/>
    <mergeCell ref="BD84:BD85"/>
    <mergeCell ref="AW84:AW85"/>
    <mergeCell ref="H86:H87"/>
    <mergeCell ref="I86:I87"/>
    <mergeCell ref="J86:J87"/>
    <mergeCell ref="N86:N87"/>
    <mergeCell ref="Q86:Q87"/>
    <mergeCell ref="R86:R87"/>
    <mergeCell ref="S86:S87"/>
    <mergeCell ref="T86:T87"/>
    <mergeCell ref="AF86:AF87"/>
    <mergeCell ref="AG86:AG87"/>
    <mergeCell ref="AH86:AH87"/>
    <mergeCell ref="AI86:AI87"/>
    <mergeCell ref="AJ86:AJ87"/>
    <mergeCell ref="AK86:AK87"/>
    <mergeCell ref="AL86:AL87"/>
    <mergeCell ref="AM86:AM87"/>
    <mergeCell ref="AN86:AN87"/>
    <mergeCell ref="AO86:AO87"/>
    <mergeCell ref="AP86:AP87"/>
    <mergeCell ref="BA86:BA87"/>
    <mergeCell ref="BB86:BB87"/>
    <mergeCell ref="AQ86:AQ87"/>
    <mergeCell ref="AR86:AR87"/>
    <mergeCell ref="AS86:AS87"/>
    <mergeCell ref="AT86:AT87"/>
    <mergeCell ref="AU86:AU87"/>
    <mergeCell ref="AV86:AV87"/>
    <mergeCell ref="BC86:BC87"/>
    <mergeCell ref="BD86:BD87"/>
    <mergeCell ref="BE86:BE87"/>
    <mergeCell ref="BF86:BF87"/>
    <mergeCell ref="BG86:BG87"/>
    <mergeCell ref="A88:I88"/>
    <mergeCell ref="AW86:AW87"/>
    <mergeCell ref="AX86:AX87"/>
    <mergeCell ref="AY86:AY87"/>
    <mergeCell ref="AZ86:AZ87"/>
    <mergeCell ref="A89:A90"/>
    <mergeCell ref="B89:B90"/>
    <mergeCell ref="C89:C90"/>
    <mergeCell ref="D89:D90"/>
    <mergeCell ref="E89:E90"/>
    <mergeCell ref="F89:F90"/>
    <mergeCell ref="G89:G90"/>
    <mergeCell ref="H89:H90"/>
    <mergeCell ref="I89:I90"/>
    <mergeCell ref="J89:J90"/>
    <mergeCell ref="N89:N90"/>
    <mergeCell ref="Q89:Q90"/>
    <mergeCell ref="R89:R90"/>
    <mergeCell ref="S89:S90"/>
    <mergeCell ref="T89:T90"/>
    <mergeCell ref="U89:U90"/>
    <mergeCell ref="V89:V90"/>
    <mergeCell ref="W89:W90"/>
    <mergeCell ref="X89:X90"/>
    <mergeCell ref="Y89:Y90"/>
    <mergeCell ref="Z89:Z90"/>
    <mergeCell ref="AA89:AA90"/>
    <mergeCell ref="AB89:AB90"/>
    <mergeCell ref="AC89:AC90"/>
    <mergeCell ref="AD89:AD90"/>
    <mergeCell ref="AE89:AE90"/>
    <mergeCell ref="AF89:AF90"/>
    <mergeCell ref="AG89:AG90"/>
    <mergeCell ref="AH89:AH90"/>
    <mergeCell ref="AI89:AI90"/>
    <mergeCell ref="AJ89:AJ90"/>
    <mergeCell ref="AK89:AK90"/>
    <mergeCell ref="AL89:AL90"/>
    <mergeCell ref="AM89:AM90"/>
    <mergeCell ref="AN89:AN90"/>
    <mergeCell ref="AO89:AO90"/>
    <mergeCell ref="AP89:AP90"/>
    <mergeCell ref="AQ89:AQ90"/>
    <mergeCell ref="AR89:AR90"/>
    <mergeCell ref="AS89:AS90"/>
    <mergeCell ref="AT89:AT90"/>
    <mergeCell ref="AU89:AU90"/>
    <mergeCell ref="AV89:AV90"/>
    <mergeCell ref="AW89:AW90"/>
    <mergeCell ref="AX89:AX90"/>
    <mergeCell ref="AY89:AY90"/>
    <mergeCell ref="AZ89:AZ90"/>
    <mergeCell ref="BA89:BA90"/>
    <mergeCell ref="BB89:BB90"/>
    <mergeCell ref="BC89:BC90"/>
    <mergeCell ref="BD89:BD90"/>
    <mergeCell ref="BE89:BE90"/>
    <mergeCell ref="BF89:BF90"/>
    <mergeCell ref="BG89:BG90"/>
    <mergeCell ref="A91:A92"/>
    <mergeCell ref="B91:B92"/>
    <mergeCell ref="C91:C92"/>
    <mergeCell ref="D91:D92"/>
    <mergeCell ref="E91:E92"/>
    <mergeCell ref="F91:F92"/>
    <mergeCell ref="G91:G92"/>
    <mergeCell ref="H91:H92"/>
    <mergeCell ref="I91:I92"/>
    <mergeCell ref="J91:J92"/>
    <mergeCell ref="N91:N92"/>
    <mergeCell ref="Q91:Q92"/>
    <mergeCell ref="R91:R92"/>
    <mergeCell ref="S91:S92"/>
    <mergeCell ref="T91:T92"/>
    <mergeCell ref="U91:U92"/>
    <mergeCell ref="V91:V92"/>
    <mergeCell ref="W91:W92"/>
    <mergeCell ref="X91:X92"/>
    <mergeCell ref="Y91:Y92"/>
    <mergeCell ref="Z91:Z92"/>
    <mergeCell ref="AA91:AA92"/>
    <mergeCell ref="AB91:AB92"/>
    <mergeCell ref="AC91:AC92"/>
    <mergeCell ref="AD91:AD92"/>
    <mergeCell ref="AE91:AE92"/>
    <mergeCell ref="AF91:AF92"/>
    <mergeCell ref="AG91:AG92"/>
    <mergeCell ref="AH91:AH92"/>
    <mergeCell ref="AI91:AI92"/>
    <mergeCell ref="AJ91:AJ92"/>
    <mergeCell ref="AK91:AK92"/>
    <mergeCell ref="AL91:AL92"/>
    <mergeCell ref="AM91:AM92"/>
    <mergeCell ref="AN91:AN92"/>
    <mergeCell ref="AO91:AO92"/>
    <mergeCell ref="AP91:AP92"/>
    <mergeCell ref="AQ91:AQ92"/>
    <mergeCell ref="AR91:AR92"/>
    <mergeCell ref="AS91:AS92"/>
    <mergeCell ref="AT91:AT92"/>
    <mergeCell ref="AU91:AU92"/>
    <mergeCell ref="AV91:AV92"/>
    <mergeCell ref="AW91:AW92"/>
    <mergeCell ref="AX91:AX92"/>
    <mergeCell ref="AY91:AY92"/>
    <mergeCell ref="AZ91:AZ92"/>
    <mergeCell ref="BA91:BA92"/>
    <mergeCell ref="BB91:BB92"/>
    <mergeCell ref="BC91:BC92"/>
    <mergeCell ref="BD91:BD92"/>
    <mergeCell ref="BE91:BE92"/>
    <mergeCell ref="BF91:BF92"/>
    <mergeCell ref="BG91:BG92"/>
    <mergeCell ref="A93:A94"/>
    <mergeCell ref="B93:B94"/>
    <mergeCell ref="C93:C94"/>
    <mergeCell ref="D93:D94"/>
    <mergeCell ref="E93:E94"/>
    <mergeCell ref="F93:F94"/>
    <mergeCell ref="G93:G94"/>
    <mergeCell ref="H93:H94"/>
    <mergeCell ref="I93:I94"/>
    <mergeCell ref="J93:J94"/>
    <mergeCell ref="N93:N94"/>
    <mergeCell ref="Q93:Q94"/>
    <mergeCell ref="R93:R94"/>
    <mergeCell ref="S93:S94"/>
    <mergeCell ref="T93:T94"/>
    <mergeCell ref="U93:U94"/>
    <mergeCell ref="V93:V94"/>
    <mergeCell ref="W93:W94"/>
    <mergeCell ref="X93:X94"/>
    <mergeCell ref="Y93:Y94"/>
    <mergeCell ref="Z93:Z94"/>
    <mergeCell ref="AA93:AA94"/>
    <mergeCell ref="AB93:AB94"/>
    <mergeCell ref="AC93:AC94"/>
    <mergeCell ref="AD93:AD94"/>
    <mergeCell ref="AE93:AE94"/>
    <mergeCell ref="AF93:AF94"/>
    <mergeCell ref="AG93:AG94"/>
    <mergeCell ref="AH93:AH94"/>
    <mergeCell ref="AI93:AI94"/>
    <mergeCell ref="AJ93:AJ94"/>
    <mergeCell ref="AK93:AK94"/>
    <mergeCell ref="AL93:AL94"/>
    <mergeCell ref="AM93:AM94"/>
    <mergeCell ref="AN93:AN94"/>
    <mergeCell ref="AO93:AO94"/>
    <mergeCell ref="AP93:AP94"/>
    <mergeCell ref="AQ93:AQ94"/>
    <mergeCell ref="AR93:AR94"/>
    <mergeCell ref="AS93:AS94"/>
    <mergeCell ref="AT93:AT94"/>
    <mergeCell ref="AU93:AU94"/>
    <mergeCell ref="AV93:AV94"/>
    <mergeCell ref="AW93:AW94"/>
    <mergeCell ref="AX93:AX94"/>
    <mergeCell ref="AY93:AY94"/>
    <mergeCell ref="AZ93:AZ94"/>
    <mergeCell ref="BA93:BA94"/>
    <mergeCell ref="BB93:BB94"/>
    <mergeCell ref="BC93:BC94"/>
    <mergeCell ref="BD93:BD94"/>
    <mergeCell ref="BE93:BE94"/>
    <mergeCell ref="BF93:BF94"/>
    <mergeCell ref="BG93:BG94"/>
    <mergeCell ref="A95:A96"/>
    <mergeCell ref="B95:B96"/>
    <mergeCell ref="C95:C96"/>
    <mergeCell ref="D95:D96"/>
    <mergeCell ref="E95:E96"/>
    <mergeCell ref="F95:F96"/>
    <mergeCell ref="G95:G96"/>
    <mergeCell ref="H95:H96"/>
    <mergeCell ref="I95:I96"/>
    <mergeCell ref="J95:J96"/>
    <mergeCell ref="N95:N96"/>
    <mergeCell ref="Q95:Q96"/>
    <mergeCell ref="AA95:AA96"/>
    <mergeCell ref="AB95:AB96"/>
    <mergeCell ref="AC95:AC96"/>
    <mergeCell ref="R95:R96"/>
    <mergeCell ref="S95:S96"/>
    <mergeCell ref="T95:T96"/>
    <mergeCell ref="U95:U96"/>
    <mergeCell ref="V95:V96"/>
    <mergeCell ref="W95:W96"/>
    <mergeCell ref="BF95:BF96"/>
    <mergeCell ref="BG95:BG96"/>
    <mergeCell ref="AV95:AV96"/>
    <mergeCell ref="AW95:AW96"/>
    <mergeCell ref="AX95:AX96"/>
    <mergeCell ref="AY95:AY96"/>
    <mergeCell ref="AZ95:AZ96"/>
    <mergeCell ref="BA95:BA96"/>
    <mergeCell ref="X95:X96"/>
    <mergeCell ref="Y95:Y96"/>
    <mergeCell ref="Z95:Z96"/>
    <mergeCell ref="BC95:BC96"/>
    <mergeCell ref="BD95:BD96"/>
    <mergeCell ref="BE95:BE96"/>
    <mergeCell ref="AP95:AP96"/>
    <mergeCell ref="AQ95:AQ96"/>
    <mergeCell ref="AR95:AR96"/>
    <mergeCell ref="AS95:AS96"/>
    <mergeCell ref="AD95:AD96"/>
    <mergeCell ref="AE95:AE96"/>
    <mergeCell ref="AF95:AF96"/>
    <mergeCell ref="AG95:AG96"/>
    <mergeCell ref="AH95:AH96"/>
    <mergeCell ref="AI95:AI96"/>
    <mergeCell ref="BB95:BB96"/>
    <mergeCell ref="AJ95:AJ96"/>
    <mergeCell ref="AK95:AK96"/>
    <mergeCell ref="AL95:AL96"/>
    <mergeCell ref="AM95:AM96"/>
    <mergeCell ref="AN95:AN96"/>
    <mergeCell ref="AO95:AO96"/>
    <mergeCell ref="AT95:AT96"/>
    <mergeCell ref="AU95:AU96"/>
    <mergeCell ref="A97:I97"/>
    <mergeCell ref="A98:A99"/>
    <mergeCell ref="B98:B99"/>
    <mergeCell ref="C98:C99"/>
    <mergeCell ref="D98:D99"/>
    <mergeCell ref="E98:E99"/>
    <mergeCell ref="F98:F99"/>
    <mergeCell ref="G98:G99"/>
    <mergeCell ref="H98:H99"/>
    <mergeCell ref="I98:I99"/>
    <mergeCell ref="J98:J99"/>
    <mergeCell ref="N98:N99"/>
    <mergeCell ref="Q98:Q99"/>
    <mergeCell ref="R98:R99"/>
    <mergeCell ref="S98:S99"/>
    <mergeCell ref="T98:T99"/>
    <mergeCell ref="U98:U99"/>
    <mergeCell ref="AT98:AT99"/>
    <mergeCell ref="AU98:AU99"/>
    <mergeCell ref="V98:V99"/>
    <mergeCell ref="W98:W99"/>
    <mergeCell ref="X98:X99"/>
    <mergeCell ref="Y98:Y99"/>
    <mergeCell ref="Z98:Z99"/>
    <mergeCell ref="AA98:AA99"/>
    <mergeCell ref="AB98:AB99"/>
    <mergeCell ref="AC98:AC99"/>
    <mergeCell ref="AD98:AD99"/>
    <mergeCell ref="AE98:AE99"/>
    <mergeCell ref="AF98:AF99"/>
    <mergeCell ref="AG98:AG99"/>
    <mergeCell ref="AH98:AH99"/>
    <mergeCell ref="AI98:AI99"/>
    <mergeCell ref="AJ98:AJ99"/>
    <mergeCell ref="AK98:AK99"/>
    <mergeCell ref="AL98:AL99"/>
    <mergeCell ref="BG98:BG99"/>
    <mergeCell ref="AY100:AY101"/>
    <mergeCell ref="AZ100:AZ101"/>
    <mergeCell ref="BA100:BA101"/>
    <mergeCell ref="BG100:BG101"/>
    <mergeCell ref="AY102:AY103"/>
    <mergeCell ref="A100:A101"/>
    <mergeCell ref="B100:B101"/>
    <mergeCell ref="C100:C101"/>
    <mergeCell ref="D100:D101"/>
    <mergeCell ref="E100:E101"/>
    <mergeCell ref="F100:F101"/>
    <mergeCell ref="G100:G101"/>
    <mergeCell ref="H100:H101"/>
    <mergeCell ref="I100:I101"/>
    <mergeCell ref="J100:J101"/>
    <mergeCell ref="N100:N101"/>
    <mergeCell ref="Q100:Q101"/>
    <mergeCell ref="R100:R101"/>
    <mergeCell ref="S100:S101"/>
    <mergeCell ref="T100:T101"/>
    <mergeCell ref="U100:U101"/>
    <mergeCell ref="V100:V101"/>
    <mergeCell ref="W100:W101"/>
    <mergeCell ref="X100:X101"/>
    <mergeCell ref="Y100:Y101"/>
    <mergeCell ref="Z100:Z101"/>
    <mergeCell ref="AA100:AA101"/>
    <mergeCell ref="AM98:AM99"/>
    <mergeCell ref="AN98:AN99"/>
    <mergeCell ref="AO98:AO99"/>
    <mergeCell ref="AP98:AP99"/>
    <mergeCell ref="BD98:BD99"/>
    <mergeCell ref="BE98:BE99"/>
    <mergeCell ref="BF98:BF99"/>
    <mergeCell ref="AV98:AV99"/>
    <mergeCell ref="AW98:AW99"/>
    <mergeCell ref="AX98:AX99"/>
    <mergeCell ref="AY98:AY99"/>
    <mergeCell ref="AZ98:AZ99"/>
    <mergeCell ref="BA98:BA99"/>
    <mergeCell ref="BB98:BB99"/>
    <mergeCell ref="BC98:BC99"/>
    <mergeCell ref="BE100:BE101"/>
    <mergeCell ref="BF100:BF101"/>
    <mergeCell ref="BB102:BB103"/>
    <mergeCell ref="BC102:BC103"/>
    <mergeCell ref="BD102:BD103"/>
    <mergeCell ref="AN102:AN103"/>
    <mergeCell ref="AO102:AO103"/>
    <mergeCell ref="BB100:BB101"/>
    <mergeCell ref="BC100:BC101"/>
    <mergeCell ref="BD100:BD101"/>
    <mergeCell ref="AO100:AO101"/>
    <mergeCell ref="AP100:AP101"/>
    <mergeCell ref="AQ100:AQ101"/>
    <mergeCell ref="AR100:AR101"/>
    <mergeCell ref="AP102:AP103"/>
    <mergeCell ref="AQ102:AQ103"/>
    <mergeCell ref="AR102:AR103"/>
    <mergeCell ref="AS102:AS103"/>
    <mergeCell ref="AQ98:AQ99"/>
    <mergeCell ref="AR98:AR99"/>
    <mergeCell ref="AS98:AS99"/>
    <mergeCell ref="V102:V103"/>
    <mergeCell ref="AF100:AF101"/>
    <mergeCell ref="AG100:AG101"/>
    <mergeCell ref="AH102:AH103"/>
    <mergeCell ref="AI102:AI103"/>
    <mergeCell ref="AJ102:AJ103"/>
    <mergeCell ref="AK102:AK103"/>
    <mergeCell ref="AL102:AL103"/>
    <mergeCell ref="AM102:AM103"/>
    <mergeCell ref="AS100:AS101"/>
    <mergeCell ref="AT100:AT101"/>
    <mergeCell ref="AU100:AU101"/>
    <mergeCell ref="AV100:AV101"/>
    <mergeCell ref="AW100:AW101"/>
    <mergeCell ref="AX100:AX101"/>
    <mergeCell ref="AB100:AB101"/>
    <mergeCell ref="AC100:AC101"/>
    <mergeCell ref="AD100:AD101"/>
    <mergeCell ref="AE100:AE101"/>
    <mergeCell ref="AT102:AT103"/>
    <mergeCell ref="AU102:AU103"/>
    <mergeCell ref="AV102:AV103"/>
    <mergeCell ref="AW102:AW103"/>
    <mergeCell ref="AX102:AX103"/>
    <mergeCell ref="AI100:AI101"/>
    <mergeCell ref="AJ100:AJ101"/>
    <mergeCell ref="AK100:AK101"/>
    <mergeCell ref="AL100:AL101"/>
    <mergeCell ref="AM100:AM101"/>
    <mergeCell ref="AN100:AN101"/>
    <mergeCell ref="AH100:AH101"/>
    <mergeCell ref="BE104:BE105"/>
    <mergeCell ref="BF104:BF105"/>
    <mergeCell ref="BG104:BG105"/>
    <mergeCell ref="A106:I106"/>
    <mergeCell ref="AR104:AR105"/>
    <mergeCell ref="BD104:BD105"/>
    <mergeCell ref="AS104:AS105"/>
    <mergeCell ref="AT104:AT105"/>
    <mergeCell ref="AU104:AU105"/>
    <mergeCell ref="AV104:AV105"/>
    <mergeCell ref="BE102:BE103"/>
    <mergeCell ref="BF102:BF103"/>
    <mergeCell ref="BG102:BG103"/>
    <mergeCell ref="A104:A105"/>
    <mergeCell ref="B104:B105"/>
    <mergeCell ref="C104:C105"/>
    <mergeCell ref="D104:D105"/>
    <mergeCell ref="E104:E105"/>
    <mergeCell ref="F104:F105"/>
    <mergeCell ref="R104:R105"/>
    <mergeCell ref="S104:S105"/>
    <mergeCell ref="T104:T105"/>
    <mergeCell ref="A102:A103"/>
    <mergeCell ref="B102:B103"/>
    <mergeCell ref="C102:C103"/>
    <mergeCell ref="D102:D103"/>
    <mergeCell ref="E102:E103"/>
    <mergeCell ref="F102:F103"/>
    <mergeCell ref="G102:G103"/>
    <mergeCell ref="H102:H103"/>
    <mergeCell ref="I102:I103"/>
    <mergeCell ref="J102:J103"/>
    <mergeCell ref="BB104:BB105"/>
    <mergeCell ref="BC104:BC105"/>
    <mergeCell ref="X104:X105"/>
    <mergeCell ref="Y104:Y105"/>
    <mergeCell ref="Z104:Z105"/>
    <mergeCell ref="AA104:AA105"/>
    <mergeCell ref="AB104:AB105"/>
    <mergeCell ref="AC104:AC105"/>
    <mergeCell ref="AD104:AD105"/>
    <mergeCell ref="AE104:AE105"/>
    <mergeCell ref="AF104:AF105"/>
    <mergeCell ref="AG104:AG105"/>
    <mergeCell ref="AH104:AH105"/>
    <mergeCell ref="AI104:AI105"/>
    <mergeCell ref="AJ104:AJ105"/>
    <mergeCell ref="AK104:AK105"/>
    <mergeCell ref="AL104:AL105"/>
    <mergeCell ref="AM104:AM105"/>
    <mergeCell ref="AN104:AN105"/>
    <mergeCell ref="AO104:AO105"/>
    <mergeCell ref="AW104:AW105"/>
    <mergeCell ref="AX104:AX105"/>
    <mergeCell ref="AP104:AP105"/>
    <mergeCell ref="AQ104:AQ105"/>
    <mergeCell ref="G104:G105"/>
    <mergeCell ref="H104:H105"/>
    <mergeCell ref="I104:I105"/>
    <mergeCell ref="J104:J105"/>
    <mergeCell ref="N104:N105"/>
    <mergeCell ref="Q104:Q105"/>
    <mergeCell ref="U104:U105"/>
    <mergeCell ref="V104:V105"/>
    <mergeCell ref="W104:W105"/>
    <mergeCell ref="AC102:AC103"/>
    <mergeCell ref="AA102:AA103"/>
    <mergeCell ref="AB102:AB103"/>
    <mergeCell ref="AZ102:AZ103"/>
    <mergeCell ref="BA102:BA103"/>
    <mergeCell ref="A107:I107"/>
    <mergeCell ref="AY104:AY105"/>
    <mergeCell ref="AZ104:AZ105"/>
    <mergeCell ref="BA104:BA105"/>
    <mergeCell ref="W102:W103"/>
    <mergeCell ref="X102:X103"/>
    <mergeCell ref="Y102:Y103"/>
    <mergeCell ref="Z102:Z103"/>
    <mergeCell ref="AD102:AD103"/>
    <mergeCell ref="AE102:AE103"/>
    <mergeCell ref="AF102:AF103"/>
    <mergeCell ref="AG102:AG103"/>
    <mergeCell ref="N102:N103"/>
    <mergeCell ref="Q102:Q103"/>
    <mergeCell ref="R102:R103"/>
    <mergeCell ref="S102:S103"/>
    <mergeCell ref="T102:T103"/>
    <mergeCell ref="U102:U103"/>
  </mergeCells>
  <phoneticPr fontId="61" type="noConversion"/>
  <pageMargins left="0" right="0" top="0" bottom="0" header="0" footer="0"/>
  <pageSetup paperSize="9" scale="65"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5"/>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45275</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6" si="0">L5-M5</f>
        <v>0</v>
      </c>
      <c r="P5" s="27">
        <v>35</v>
      </c>
      <c r="Q5" s="99">
        <f>+L6-P6</f>
        <v>1</v>
      </c>
      <c r="R5" s="85" t="s">
        <v>87</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2194+35</f>
        <v>2229</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45275</v>
      </c>
      <c r="B7" s="87" t="s">
        <v>37</v>
      </c>
      <c r="C7" s="89">
        <v>1</v>
      </c>
      <c r="D7" s="91" t="s">
        <v>38</v>
      </c>
      <c r="E7" s="89">
        <v>84217</v>
      </c>
      <c r="F7" s="89" t="s">
        <v>49</v>
      </c>
      <c r="G7" s="93" t="s">
        <v>63</v>
      </c>
      <c r="H7" s="90" t="s">
        <v>39</v>
      </c>
      <c r="I7" s="90">
        <v>4965</v>
      </c>
      <c r="J7" s="90">
        <v>965</v>
      </c>
      <c r="K7" s="20">
        <v>0</v>
      </c>
      <c r="L7" s="20">
        <v>0</v>
      </c>
      <c r="M7" s="20">
        <v>0</v>
      </c>
      <c r="N7" s="97">
        <f>O8/L8</f>
        <v>0.66357069143446856</v>
      </c>
      <c r="O7" s="21">
        <f t="shared" si="0"/>
        <v>0</v>
      </c>
      <c r="P7" s="27">
        <v>35</v>
      </c>
      <c r="Q7" s="99">
        <f>+L8-P8</f>
        <v>100</v>
      </c>
      <c r="R7" s="85"/>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5+13+70+100+67+52+57+45+75+145+72+45+98+99+26</f>
        <v>969</v>
      </c>
      <c r="L8" s="18">
        <f>5+13+60+10+10+10+50+150+40+160+120+20+30+180+75+36</f>
        <v>969</v>
      </c>
      <c r="M8" s="18">
        <f>10+10+40+30+40+60+10+10+60+20+36</f>
        <v>326</v>
      </c>
      <c r="N8" s="98"/>
      <c r="O8" s="19">
        <f t="shared" si="0"/>
        <v>643</v>
      </c>
      <c r="P8" s="22">
        <f>10+30+30+10+38+41+53+189+142+63+63+40+125+35</f>
        <v>869</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45275</v>
      </c>
      <c r="B9" s="87" t="s">
        <v>37</v>
      </c>
      <c r="C9" s="89">
        <v>1</v>
      </c>
      <c r="D9" s="91" t="s">
        <v>38</v>
      </c>
      <c r="E9" s="89">
        <v>84217</v>
      </c>
      <c r="F9" s="89" t="s">
        <v>49</v>
      </c>
      <c r="G9" s="93" t="s">
        <v>63</v>
      </c>
      <c r="H9" s="90" t="s">
        <v>41</v>
      </c>
      <c r="I9" s="90">
        <v>1219</v>
      </c>
      <c r="J9" s="90">
        <v>1219</v>
      </c>
      <c r="K9" s="20">
        <v>0</v>
      </c>
      <c r="L9" s="20">
        <v>0</v>
      </c>
      <c r="M9" s="20">
        <v>0</v>
      </c>
      <c r="N9" s="97">
        <f>O10/L10</f>
        <v>0.62264150943396224</v>
      </c>
      <c r="O9" s="21">
        <f t="shared" si="0"/>
        <v>0</v>
      </c>
      <c r="P9" s="27">
        <v>35</v>
      </c>
      <c r="Q9" s="99">
        <f>+L10-P10</f>
        <v>105</v>
      </c>
      <c r="R9" s="85"/>
      <c r="S9" s="96"/>
      <c r="T9" s="96"/>
      <c r="U9" s="96"/>
      <c r="V9" s="96"/>
      <c r="W9" s="96"/>
      <c r="X9" s="96"/>
      <c r="Y9" s="96"/>
      <c r="Z9" s="96"/>
      <c r="AA9" s="96"/>
      <c r="AB9" s="96"/>
      <c r="AC9" s="96"/>
      <c r="AD9" s="96"/>
      <c r="AE9" s="96"/>
      <c r="AF9" s="96"/>
      <c r="AG9" s="96"/>
      <c r="AH9" s="96"/>
      <c r="AI9" s="96"/>
      <c r="AJ9" s="96"/>
      <c r="AK9" s="96"/>
      <c r="AL9" s="96"/>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103+85+198+61+57+39+86+192+134+36+37+120+71</f>
        <v>1219</v>
      </c>
      <c r="L10" s="18">
        <f>9+46+10+10+10+10+164+10+70+330+96+30+266+82+76</f>
        <v>1219</v>
      </c>
      <c r="M10" s="18">
        <f>9+17+10+106+21+120+38+9+83+21+26</f>
        <v>460</v>
      </c>
      <c r="N10" s="98"/>
      <c r="O10" s="19">
        <f t="shared" si="0"/>
        <v>759</v>
      </c>
      <c r="P10" s="22">
        <f>9+17+10+10+10+96+10+37+164+132+89+249+160+86+35</f>
        <v>1114</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45275</v>
      </c>
      <c r="B11" s="87" t="s">
        <v>37</v>
      </c>
      <c r="C11" s="89">
        <v>1</v>
      </c>
      <c r="D11" s="91" t="s">
        <v>38</v>
      </c>
      <c r="E11" s="89">
        <v>84217</v>
      </c>
      <c r="F11" s="89" t="s">
        <v>49</v>
      </c>
      <c r="G11" s="93" t="s">
        <v>71</v>
      </c>
      <c r="H11" s="90" t="s">
        <v>47</v>
      </c>
      <c r="I11" s="90">
        <v>2804</v>
      </c>
      <c r="J11" s="90">
        <v>2804</v>
      </c>
      <c r="K11" s="20">
        <v>155</v>
      </c>
      <c r="L11" s="20">
        <v>255</v>
      </c>
      <c r="M11" s="20">
        <v>116</v>
      </c>
      <c r="N11" s="97">
        <f>O12/L12</f>
        <v>0.5196911196911197</v>
      </c>
      <c r="O11" s="21">
        <f t="shared" si="0"/>
        <v>139</v>
      </c>
      <c r="P11" s="27">
        <v>187</v>
      </c>
      <c r="Q11" s="99">
        <f>+L12-P12</f>
        <v>524</v>
      </c>
      <c r="R11" s="85"/>
      <c r="S11" s="96">
        <v>80</v>
      </c>
      <c r="T11" s="96">
        <v>3</v>
      </c>
      <c r="U11" s="96"/>
      <c r="V11" s="96"/>
      <c r="W11" s="96"/>
      <c r="X11" s="96">
        <v>2</v>
      </c>
      <c r="Y11" s="96">
        <v>1</v>
      </c>
      <c r="Z11" s="96"/>
      <c r="AA11" s="96"/>
      <c r="AB11" s="96"/>
      <c r="AC11" s="96">
        <v>12</v>
      </c>
      <c r="AD11" s="96"/>
      <c r="AE11" s="96">
        <v>5</v>
      </c>
      <c r="AF11" s="96">
        <v>9</v>
      </c>
      <c r="AG11" s="96">
        <v>5</v>
      </c>
      <c r="AH11" s="96">
        <v>6</v>
      </c>
      <c r="AI11" s="96"/>
      <c r="AJ11" s="96"/>
      <c r="AK11" s="96"/>
      <c r="AL11" s="96">
        <v>16</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380+305+280+275+155</f>
        <v>1395</v>
      </c>
      <c r="L12" s="18">
        <f>270+420+350+255</f>
        <v>1295</v>
      </c>
      <c r="M12" s="18">
        <f>75+240+191+116</f>
        <v>622</v>
      </c>
      <c r="N12" s="98"/>
      <c r="O12" s="19">
        <f t="shared" si="0"/>
        <v>673</v>
      </c>
      <c r="P12" s="22">
        <f>75+240+269+187</f>
        <v>771</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45275</v>
      </c>
      <c r="B13" s="87" t="s">
        <v>37</v>
      </c>
      <c r="C13" s="89">
        <v>1</v>
      </c>
      <c r="D13" s="91" t="s">
        <v>38</v>
      </c>
      <c r="E13" s="89">
        <v>84217</v>
      </c>
      <c r="F13" s="89" t="s">
        <v>76</v>
      </c>
      <c r="G13" s="93" t="s">
        <v>71</v>
      </c>
      <c r="H13" s="90" t="s">
        <v>80</v>
      </c>
      <c r="I13" s="90">
        <v>1452</v>
      </c>
      <c r="J13" s="90">
        <v>1452</v>
      </c>
      <c r="K13" s="20">
        <v>29</v>
      </c>
      <c r="L13" s="20">
        <v>80</v>
      </c>
      <c r="M13" s="20">
        <v>30</v>
      </c>
      <c r="N13" s="97">
        <f>O14/L14</f>
        <v>0.70149253731343286</v>
      </c>
      <c r="O13" s="21">
        <f t="shared" si="0"/>
        <v>50</v>
      </c>
      <c r="P13" s="27">
        <v>74</v>
      </c>
      <c r="Q13" s="99">
        <f>+L14-P14</f>
        <v>50</v>
      </c>
      <c r="R13" s="85"/>
      <c r="S13" s="96"/>
      <c r="T13" s="96">
        <v>11</v>
      </c>
      <c r="U13" s="96">
        <v>7</v>
      </c>
      <c r="V13" s="96"/>
      <c r="W13" s="96"/>
      <c r="X13" s="96"/>
      <c r="Y13" s="96"/>
      <c r="Z13" s="96"/>
      <c r="AA13" s="96"/>
      <c r="AB13" s="96"/>
      <c r="AC13" s="96">
        <v>8</v>
      </c>
      <c r="AD13" s="96">
        <v>5</v>
      </c>
      <c r="AE13" s="96">
        <v>2</v>
      </c>
      <c r="AF13" s="96"/>
      <c r="AG13" s="96"/>
      <c r="AH13" s="96">
        <v>17</v>
      </c>
      <c r="AI13" s="96"/>
      <c r="AJ13" s="96"/>
      <c r="AK13" s="96"/>
      <c r="AL13" s="96"/>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53+88+29</f>
        <v>170</v>
      </c>
      <c r="L14" s="18">
        <f>10+44+80</f>
        <v>134</v>
      </c>
      <c r="M14" s="18">
        <f>10+30</f>
        <v>40</v>
      </c>
      <c r="N14" s="98"/>
      <c r="O14" s="19">
        <f t="shared" si="0"/>
        <v>94</v>
      </c>
      <c r="P14" s="22">
        <f>10+74</f>
        <v>84</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45275</v>
      </c>
      <c r="B15" s="87" t="s">
        <v>37</v>
      </c>
      <c r="C15" s="89">
        <v>1</v>
      </c>
      <c r="D15" s="91" t="s">
        <v>38</v>
      </c>
      <c r="E15" s="89">
        <v>84217</v>
      </c>
      <c r="F15" s="89" t="s">
        <v>76</v>
      </c>
      <c r="G15" s="93" t="s">
        <v>71</v>
      </c>
      <c r="H15" s="90" t="s">
        <v>75</v>
      </c>
      <c r="I15" s="90">
        <v>2615</v>
      </c>
      <c r="J15" s="90">
        <v>2615</v>
      </c>
      <c r="K15" s="20">
        <v>111</v>
      </c>
      <c r="L15" s="20">
        <v>10</v>
      </c>
      <c r="M15" s="20">
        <v>0</v>
      </c>
      <c r="N15" s="97">
        <f>O16/L16</f>
        <v>1</v>
      </c>
      <c r="O15" s="21">
        <f t="shared" si="0"/>
        <v>10</v>
      </c>
      <c r="P15" s="27">
        <v>0</v>
      </c>
      <c r="Q15" s="99">
        <f>+L16-P16</f>
        <v>10</v>
      </c>
      <c r="R15" s="85"/>
      <c r="S15" s="96"/>
      <c r="T15" s="96">
        <v>3</v>
      </c>
      <c r="U15" s="96">
        <v>1</v>
      </c>
      <c r="V15" s="96"/>
      <c r="W15" s="96"/>
      <c r="X15" s="96"/>
      <c r="Y15" s="96"/>
      <c r="Z15" s="96"/>
      <c r="AA15" s="96"/>
      <c r="AB15" s="96"/>
      <c r="AC15" s="96">
        <v>4</v>
      </c>
      <c r="AD15" s="96"/>
      <c r="AE15" s="96"/>
      <c r="AF15" s="96">
        <v>2</v>
      </c>
      <c r="AG15" s="96"/>
      <c r="AH15" s="96"/>
      <c r="AI15" s="96"/>
      <c r="AJ15" s="96"/>
      <c r="AK15" s="96"/>
      <c r="AL15" s="96"/>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111</f>
        <v>111</v>
      </c>
      <c r="L16" s="18">
        <f>10</f>
        <v>10</v>
      </c>
      <c r="M16" s="18">
        <v>0</v>
      </c>
      <c r="N16" s="98"/>
      <c r="O16" s="19">
        <f t="shared" si="0"/>
        <v>10</v>
      </c>
      <c r="P16" s="22">
        <v>0</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45275</v>
      </c>
      <c r="B17" s="87" t="s">
        <v>37</v>
      </c>
      <c r="C17" s="89">
        <v>1</v>
      </c>
      <c r="D17" s="91" t="s">
        <v>38</v>
      </c>
      <c r="E17" s="89">
        <v>84212</v>
      </c>
      <c r="F17" s="89" t="s">
        <v>49</v>
      </c>
      <c r="G17" s="93" t="s">
        <v>55</v>
      </c>
      <c r="H17" s="90" t="s">
        <v>59</v>
      </c>
      <c r="I17" s="90">
        <v>708</v>
      </c>
      <c r="J17" s="90">
        <v>708</v>
      </c>
      <c r="K17" s="20">
        <v>0</v>
      </c>
      <c r="L17" s="20">
        <v>4</v>
      </c>
      <c r="M17" s="20">
        <v>4</v>
      </c>
      <c r="N17" s="97">
        <f>O18/L18</f>
        <v>0.72507122507122512</v>
      </c>
      <c r="O17" s="21">
        <f t="shared" si="0"/>
        <v>0</v>
      </c>
      <c r="P17" s="27">
        <v>13</v>
      </c>
      <c r="Q17" s="99">
        <f>+L18-P18</f>
        <v>20</v>
      </c>
      <c r="R17" s="85"/>
      <c r="S17" s="96"/>
      <c r="T17" s="96"/>
      <c r="U17" s="96"/>
      <c r="V17" s="96"/>
      <c r="W17" s="96"/>
      <c r="X17" s="96"/>
      <c r="Y17" s="96"/>
      <c r="Z17" s="96"/>
      <c r="AA17" s="96"/>
      <c r="AB17" s="96"/>
      <c r="AC17" s="96"/>
      <c r="AD17" s="96"/>
      <c r="AE17" s="96"/>
      <c r="AF17" s="96"/>
      <c r="AG17" s="96"/>
      <c r="AH17" s="96"/>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105+109+70+77+65+110+122+34+3+3+4</f>
        <v>702</v>
      </c>
      <c r="L18" s="18">
        <f>25+50+65+80+80+30+80+50+160+78+4</f>
        <v>702</v>
      </c>
      <c r="M18" s="18">
        <f>15+20+20+15+5+11+20+50+33+4</f>
        <v>193</v>
      </c>
      <c r="N18" s="98"/>
      <c r="O18" s="19">
        <f t="shared" si="0"/>
        <v>509</v>
      </c>
      <c r="P18" s="22">
        <f>15+20+35+15+5+11+53+50+335+120+10+13</f>
        <v>682</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45275</v>
      </c>
      <c r="B19" s="87" t="s">
        <v>37</v>
      </c>
      <c r="C19" s="89">
        <v>1</v>
      </c>
      <c r="D19" s="91" t="s">
        <v>38</v>
      </c>
      <c r="E19" s="89">
        <v>84212</v>
      </c>
      <c r="F19" s="89" t="s">
        <v>49</v>
      </c>
      <c r="G19" s="93" t="s">
        <v>55</v>
      </c>
      <c r="H19" s="90" t="s">
        <v>67</v>
      </c>
      <c r="I19" s="90">
        <v>1813</v>
      </c>
      <c r="J19" s="90">
        <v>1813</v>
      </c>
      <c r="K19" s="20">
        <v>13</v>
      </c>
      <c r="L19" s="20">
        <v>38</v>
      </c>
      <c r="M19" s="20">
        <v>0</v>
      </c>
      <c r="N19" s="97">
        <f>O20/L20</f>
        <v>0.76349471341124098</v>
      </c>
      <c r="O19" s="21">
        <f t="shared" si="0"/>
        <v>38</v>
      </c>
      <c r="P19" s="27">
        <v>32</v>
      </c>
      <c r="Q19" s="99">
        <f>+L20-P20</f>
        <v>496</v>
      </c>
      <c r="R19" s="85"/>
      <c r="S19" s="96"/>
      <c r="T19" s="96">
        <v>5</v>
      </c>
      <c r="U19" s="96"/>
      <c r="V19" s="96"/>
      <c r="W19" s="96"/>
      <c r="X19" s="96"/>
      <c r="Y19" s="96"/>
      <c r="Z19" s="96"/>
      <c r="AA19" s="96"/>
      <c r="AB19" s="96"/>
      <c r="AC19" s="96">
        <v>13</v>
      </c>
      <c r="AD19" s="96"/>
      <c r="AE19" s="96">
        <v>8</v>
      </c>
      <c r="AF19" s="96"/>
      <c r="AG19" s="96"/>
      <c r="AH19" s="96">
        <v>7</v>
      </c>
      <c r="AI19" s="96"/>
      <c r="AJ19" s="96"/>
      <c r="AK19" s="96"/>
      <c r="AL19" s="96">
        <v>5</v>
      </c>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272+145+148+175+345+259+198+95+65+82+13</f>
        <v>1797</v>
      </c>
      <c r="L20" s="18">
        <f>30+110+235+150+484+100+160+348+142+38</f>
        <v>1797</v>
      </c>
      <c r="M20" s="18">
        <f>5+10+50+40+110+10+55+118+27</f>
        <v>425</v>
      </c>
      <c r="N20" s="98"/>
      <c r="O20" s="19">
        <f t="shared" si="0"/>
        <v>1372</v>
      </c>
      <c r="P20" s="22">
        <f>5+10+65+80+262+130+217+170+330+32</f>
        <v>1301</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45275</v>
      </c>
      <c r="B21" s="87" t="s">
        <v>37</v>
      </c>
      <c r="C21" s="89">
        <v>1</v>
      </c>
      <c r="D21" s="91" t="s">
        <v>38</v>
      </c>
      <c r="E21" s="89">
        <v>84212</v>
      </c>
      <c r="F21" s="89" t="s">
        <v>49</v>
      </c>
      <c r="G21" s="93" t="s">
        <v>55</v>
      </c>
      <c r="H21" s="90" t="s">
        <v>62</v>
      </c>
      <c r="I21" s="90">
        <v>2218</v>
      </c>
      <c r="J21" s="90">
        <v>1640</v>
      </c>
      <c r="K21" s="20">
        <v>370</v>
      </c>
      <c r="L21" s="20">
        <v>230</v>
      </c>
      <c r="M21" s="20">
        <v>110</v>
      </c>
      <c r="N21" s="97">
        <f>O22/L22</f>
        <v>0.59635416666666663</v>
      </c>
      <c r="O21" s="21">
        <f t="shared" si="0"/>
        <v>120</v>
      </c>
      <c r="P21" s="27">
        <v>120</v>
      </c>
      <c r="Q21" s="99">
        <f>+L22-P22</f>
        <v>269</v>
      </c>
      <c r="R21" s="85"/>
      <c r="S21" s="96"/>
      <c r="T21" s="96">
        <v>19</v>
      </c>
      <c r="U21" s="96">
        <v>4</v>
      </c>
      <c r="V21" s="96"/>
      <c r="W21" s="96"/>
      <c r="X21" s="96">
        <v>14</v>
      </c>
      <c r="Y21" s="96">
        <v>6</v>
      </c>
      <c r="Z21" s="96"/>
      <c r="AA21" s="96"/>
      <c r="AB21" s="96"/>
      <c r="AC21" s="96">
        <v>21</v>
      </c>
      <c r="AD21" s="96"/>
      <c r="AE21" s="96">
        <v>7</v>
      </c>
      <c r="AF21" s="96">
        <v>8</v>
      </c>
      <c r="AG21" s="96">
        <v>9</v>
      </c>
      <c r="AH21" s="96">
        <v>22</v>
      </c>
      <c r="AI21" s="96"/>
      <c r="AJ21" s="96"/>
      <c r="AK21" s="96"/>
      <c r="AL21" s="96">
        <v>10</v>
      </c>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166+95+22+85+70+260+370</f>
        <v>1068</v>
      </c>
      <c r="L22" s="18">
        <f>40+40+160+43+115+140+230</f>
        <v>768</v>
      </c>
      <c r="M22" s="18">
        <f>6+14+50+20+50+60+110</f>
        <v>310</v>
      </c>
      <c r="N22" s="98"/>
      <c r="O22" s="19">
        <f t="shared" si="0"/>
        <v>458</v>
      </c>
      <c r="P22" s="22">
        <f>6+14+50+28+64+69+71+77+120</f>
        <v>499</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45275</v>
      </c>
      <c r="B23" s="87" t="s">
        <v>37</v>
      </c>
      <c r="C23" s="89">
        <v>1</v>
      </c>
      <c r="D23" s="91" t="s">
        <v>38</v>
      </c>
      <c r="E23" s="89">
        <v>84212</v>
      </c>
      <c r="F23" s="89" t="s">
        <v>49</v>
      </c>
      <c r="G23" s="93" t="s">
        <v>55</v>
      </c>
      <c r="H23" s="90" t="s">
        <v>78</v>
      </c>
      <c r="I23" s="90">
        <v>747</v>
      </c>
      <c r="J23" s="90">
        <v>747</v>
      </c>
      <c r="K23" s="20">
        <v>0</v>
      </c>
      <c r="L23" s="20">
        <v>0</v>
      </c>
      <c r="M23" s="20">
        <v>0</v>
      </c>
      <c r="N23" s="97">
        <f>O24/L24</f>
        <v>0.80029368575624082</v>
      </c>
      <c r="O23" s="21">
        <f t="shared" si="0"/>
        <v>0</v>
      </c>
      <c r="P23" s="27">
        <v>62</v>
      </c>
      <c r="Q23" s="99">
        <f>+L24-P24</f>
        <v>38</v>
      </c>
      <c r="R23" s="85"/>
      <c r="S23" s="96"/>
      <c r="T23" s="96"/>
      <c r="U23" s="96"/>
      <c r="V23" s="96"/>
      <c r="W23" s="96"/>
      <c r="X23" s="96"/>
      <c r="Y23" s="96"/>
      <c r="Z23" s="96"/>
      <c r="AA23" s="96"/>
      <c r="AB23" s="96"/>
      <c r="AC23" s="96"/>
      <c r="AD23" s="96"/>
      <c r="AE23" s="96"/>
      <c r="AF23" s="96"/>
      <c r="AG23" s="96"/>
      <c r="AH23" s="96"/>
      <c r="AI23" s="96"/>
      <c r="AJ23" s="96"/>
      <c r="AK23" s="96"/>
      <c r="AL23" s="96"/>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117+41+130+144+90+84+85+52</f>
        <v>743</v>
      </c>
      <c r="L24" s="18">
        <f>80+50+150+150+176+75</f>
        <v>681</v>
      </c>
      <c r="M24" s="18">
        <f>10+5+30+30+36+25</f>
        <v>136</v>
      </c>
      <c r="N24" s="98"/>
      <c r="O24" s="19">
        <f t="shared" si="0"/>
        <v>545</v>
      </c>
      <c r="P24" s="22">
        <f>10+5+30+171+80+133+152+62</f>
        <v>643</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45275</v>
      </c>
      <c r="B25" s="87" t="s">
        <v>37</v>
      </c>
      <c r="C25" s="89">
        <v>1</v>
      </c>
      <c r="D25" s="91" t="s">
        <v>38</v>
      </c>
      <c r="E25" s="89">
        <v>84212</v>
      </c>
      <c r="F25" s="89" t="s">
        <v>49</v>
      </c>
      <c r="G25" s="93" t="s">
        <v>55</v>
      </c>
      <c r="H25" s="90" t="s">
        <v>50</v>
      </c>
      <c r="I25" s="90">
        <v>588</v>
      </c>
      <c r="J25" s="90">
        <v>588</v>
      </c>
      <c r="K25" s="20">
        <v>114</v>
      </c>
      <c r="L25" s="20">
        <v>77</v>
      </c>
      <c r="M25" s="20">
        <v>37</v>
      </c>
      <c r="N25" s="97">
        <f>O26/L26</f>
        <v>0.51948051948051943</v>
      </c>
      <c r="O25" s="21">
        <f t="shared" si="0"/>
        <v>40</v>
      </c>
      <c r="P25" s="27">
        <v>37</v>
      </c>
      <c r="Q25" s="99">
        <f>+L26-P26</f>
        <v>40</v>
      </c>
      <c r="R25" s="85"/>
      <c r="S25" s="96"/>
      <c r="T25" s="96">
        <v>14</v>
      </c>
      <c r="U25" s="96">
        <v>2</v>
      </c>
      <c r="V25" s="96"/>
      <c r="W25" s="96"/>
      <c r="X25" s="96"/>
      <c r="Y25" s="96"/>
      <c r="Z25" s="96"/>
      <c r="AA25" s="96"/>
      <c r="AB25" s="96"/>
      <c r="AC25" s="96">
        <v>8</v>
      </c>
      <c r="AD25" s="96"/>
      <c r="AE25" s="96"/>
      <c r="AF25" s="96"/>
      <c r="AG25" s="96">
        <v>4</v>
      </c>
      <c r="AH25" s="96">
        <v>10</v>
      </c>
      <c r="AI25" s="96"/>
      <c r="AJ25" s="96"/>
      <c r="AK25" s="96"/>
      <c r="AL25" s="96">
        <v>2</v>
      </c>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5"/>
      <c r="B26" s="88"/>
      <c r="C26" s="90"/>
      <c r="D26" s="92"/>
      <c r="E26" s="90"/>
      <c r="F26" s="90"/>
      <c r="G26" s="94"/>
      <c r="H26" s="95"/>
      <c r="I26" s="95"/>
      <c r="J26" s="95"/>
      <c r="K26" s="22">
        <f>114</f>
        <v>114</v>
      </c>
      <c r="L26" s="18">
        <f>77</f>
        <v>77</v>
      </c>
      <c r="M26" s="18">
        <f>37</f>
        <v>37</v>
      </c>
      <c r="N26" s="98"/>
      <c r="O26" s="19">
        <f t="shared" si="0"/>
        <v>40</v>
      </c>
      <c r="P26" s="22">
        <f>37</f>
        <v>37</v>
      </c>
      <c r="Q26" s="100"/>
      <c r="R26" s="86"/>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108">
        <v>45275</v>
      </c>
      <c r="B27" s="87" t="s">
        <v>37</v>
      </c>
      <c r="C27" s="89">
        <v>1</v>
      </c>
      <c r="D27" s="91" t="s">
        <v>38</v>
      </c>
      <c r="E27" s="89">
        <v>84212</v>
      </c>
      <c r="F27" s="89" t="s">
        <v>49</v>
      </c>
      <c r="G27" s="93" t="s">
        <v>61</v>
      </c>
      <c r="H27" s="89" t="s">
        <v>59</v>
      </c>
      <c r="I27" s="89">
        <v>515</v>
      </c>
      <c r="J27" s="89">
        <v>515</v>
      </c>
      <c r="K27" s="20">
        <v>81</v>
      </c>
      <c r="L27" s="20">
        <v>40</v>
      </c>
      <c r="M27" s="20">
        <v>10</v>
      </c>
      <c r="N27" s="146">
        <f>O28/L28</f>
        <v>0.6330275229357798</v>
      </c>
      <c r="O27" s="21">
        <f t="shared" si="0"/>
        <v>30</v>
      </c>
      <c r="P27" s="27">
        <v>77</v>
      </c>
      <c r="Q27" s="99">
        <f>+L28-P28</f>
        <v>130</v>
      </c>
      <c r="R27" s="108"/>
      <c r="S27" s="149"/>
      <c r="T27" s="149">
        <v>8</v>
      </c>
      <c r="U27" s="149">
        <v>2</v>
      </c>
      <c r="V27" s="149"/>
      <c r="W27" s="149"/>
      <c r="X27" s="149"/>
      <c r="Y27" s="149"/>
      <c r="Z27" s="149"/>
      <c r="AA27" s="149"/>
      <c r="AB27" s="149"/>
      <c r="AC27" s="149">
        <v>7</v>
      </c>
      <c r="AD27" s="149"/>
      <c r="AE27" s="149">
        <v>9</v>
      </c>
      <c r="AF27" s="149"/>
      <c r="AG27" s="149"/>
      <c r="AH27" s="149"/>
      <c r="AI27" s="149"/>
      <c r="AJ27" s="149"/>
      <c r="AK27" s="149"/>
      <c r="AL27" s="149">
        <v>4</v>
      </c>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149+124+88+81</f>
        <v>442</v>
      </c>
      <c r="L28" s="18">
        <f>149+138+40</f>
        <v>327</v>
      </c>
      <c r="M28" s="18">
        <f>60+50+10</f>
        <v>120</v>
      </c>
      <c r="N28" s="147"/>
      <c r="O28" s="19">
        <f t="shared" si="0"/>
        <v>207</v>
      </c>
      <c r="P28" s="22">
        <f>60+60+77</f>
        <v>197</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45275</v>
      </c>
      <c r="B29" s="87" t="s">
        <v>37</v>
      </c>
      <c r="C29" s="89">
        <v>1</v>
      </c>
      <c r="D29" s="91" t="s">
        <v>38</v>
      </c>
      <c r="E29" s="89">
        <v>84212</v>
      </c>
      <c r="F29" s="89" t="s">
        <v>49</v>
      </c>
      <c r="G29" s="93" t="s">
        <v>63</v>
      </c>
      <c r="H29" s="89" t="s">
        <v>62</v>
      </c>
      <c r="I29" s="89">
        <v>2344</v>
      </c>
      <c r="J29" s="89">
        <v>2344</v>
      </c>
      <c r="K29" s="20">
        <v>102</v>
      </c>
      <c r="L29" s="20">
        <v>32</v>
      </c>
      <c r="M29" s="20">
        <v>0</v>
      </c>
      <c r="N29" s="146">
        <f>O30/L30</f>
        <v>1</v>
      </c>
      <c r="O29" s="21">
        <f t="shared" si="0"/>
        <v>32</v>
      </c>
      <c r="P29" s="27">
        <v>0</v>
      </c>
      <c r="Q29" s="99">
        <f>+L30-P30</f>
        <v>32</v>
      </c>
      <c r="R29" s="108"/>
      <c r="S29" s="149"/>
      <c r="T29" s="149">
        <v>7</v>
      </c>
      <c r="U29" s="149"/>
      <c r="V29" s="149"/>
      <c r="W29" s="149"/>
      <c r="X29" s="149"/>
      <c r="Y29" s="149"/>
      <c r="Z29" s="149"/>
      <c r="AA29" s="149"/>
      <c r="AB29" s="149"/>
      <c r="AC29" s="149">
        <v>8</v>
      </c>
      <c r="AD29" s="149"/>
      <c r="AE29" s="149"/>
      <c r="AF29" s="149">
        <v>3</v>
      </c>
      <c r="AG29" s="149">
        <v>6</v>
      </c>
      <c r="AH29" s="149">
        <v>8</v>
      </c>
      <c r="AI29" s="149"/>
      <c r="AJ29" s="149"/>
      <c r="AK29" s="149"/>
      <c r="AL29" s="149"/>
      <c r="AM29" s="163"/>
      <c r="AN29" s="163"/>
      <c r="AO29" s="163"/>
      <c r="AP29" s="163"/>
      <c r="AQ29" s="163"/>
      <c r="AR29" s="163"/>
      <c r="AS29" s="163"/>
      <c r="AT29" s="163"/>
      <c r="AU29" s="163"/>
      <c r="AV29" s="163"/>
      <c r="AW29" s="163"/>
      <c r="AX29" s="163"/>
      <c r="AY29" s="167"/>
      <c r="AZ29" s="167"/>
      <c r="BA29" s="167"/>
      <c r="BB29" s="167"/>
      <c r="BC29" s="167"/>
      <c r="BD29" s="167"/>
      <c r="BE29" s="163"/>
      <c r="BF29" s="165"/>
      <c r="BG29" s="165"/>
    </row>
    <row r="30" spans="1:59" s="17" customFormat="1" ht="15.75" customHeight="1">
      <c r="A30" s="85"/>
      <c r="B30" s="88"/>
      <c r="C30" s="90"/>
      <c r="D30" s="92"/>
      <c r="E30" s="90"/>
      <c r="F30" s="90"/>
      <c r="G30" s="94"/>
      <c r="H30" s="90"/>
      <c r="I30" s="90"/>
      <c r="J30" s="90"/>
      <c r="K30" s="22">
        <f>102</f>
        <v>102</v>
      </c>
      <c r="L30" s="18">
        <f>32</f>
        <v>32</v>
      </c>
      <c r="M30" s="18">
        <v>0</v>
      </c>
      <c r="N30" s="147"/>
      <c r="O30" s="19">
        <f t="shared" si="0"/>
        <v>32</v>
      </c>
      <c r="P30" s="22">
        <v>0</v>
      </c>
      <c r="Q30" s="100"/>
      <c r="R30" s="85"/>
      <c r="S30" s="150"/>
      <c r="T30" s="150"/>
      <c r="U30" s="150"/>
      <c r="V30" s="150"/>
      <c r="W30" s="150"/>
      <c r="X30" s="150"/>
      <c r="Y30" s="150"/>
      <c r="Z30" s="150"/>
      <c r="AA30" s="150"/>
      <c r="AB30" s="150"/>
      <c r="AC30" s="150"/>
      <c r="AD30" s="150"/>
      <c r="AE30" s="150"/>
      <c r="AF30" s="150"/>
      <c r="AG30" s="150"/>
      <c r="AH30" s="150"/>
      <c r="AI30" s="150"/>
      <c r="AJ30" s="150"/>
      <c r="AK30" s="150"/>
      <c r="AL30" s="150"/>
      <c r="AM30" s="164"/>
      <c r="AN30" s="164"/>
      <c r="AO30" s="164"/>
      <c r="AP30" s="164"/>
      <c r="AQ30" s="164"/>
      <c r="AR30" s="164"/>
      <c r="AS30" s="164"/>
      <c r="AT30" s="164"/>
      <c r="AU30" s="164"/>
      <c r="AV30" s="164"/>
      <c r="AW30" s="164"/>
      <c r="AX30" s="164"/>
      <c r="AY30" s="168"/>
      <c r="AZ30" s="168"/>
      <c r="BA30" s="168"/>
      <c r="BB30" s="168"/>
      <c r="BC30" s="168"/>
      <c r="BD30" s="168"/>
      <c r="BE30" s="164"/>
      <c r="BF30" s="166"/>
      <c r="BG30" s="166"/>
    </row>
    <row r="31" spans="1:59" s="17" customFormat="1" ht="15.75" customHeight="1">
      <c r="A31" s="108">
        <v>45275</v>
      </c>
      <c r="B31" s="87" t="s">
        <v>37</v>
      </c>
      <c r="C31" s="89">
        <v>1</v>
      </c>
      <c r="D31" s="91" t="s">
        <v>38</v>
      </c>
      <c r="E31" s="89">
        <v>84426</v>
      </c>
      <c r="F31" s="89" t="s">
        <v>49</v>
      </c>
      <c r="G31" s="93" t="s">
        <v>55</v>
      </c>
      <c r="H31" s="90" t="s">
        <v>58</v>
      </c>
      <c r="I31" s="90">
        <v>549</v>
      </c>
      <c r="J31" s="90">
        <v>549</v>
      </c>
      <c r="K31" s="20">
        <v>0</v>
      </c>
      <c r="L31" s="20">
        <v>0</v>
      </c>
      <c r="M31" s="20">
        <v>0</v>
      </c>
      <c r="N31" s="97">
        <f>O32/L32</f>
        <v>0.81238615664845171</v>
      </c>
      <c r="O31" s="21">
        <f t="shared" si="0"/>
        <v>0</v>
      </c>
      <c r="P31" s="27">
        <v>0</v>
      </c>
      <c r="Q31" s="99">
        <f>+L32-P32</f>
        <v>3</v>
      </c>
      <c r="R31" s="108"/>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49">
        <f>483+66</f>
        <v>549</v>
      </c>
      <c r="L32" s="18">
        <f>483+66</f>
        <v>549</v>
      </c>
      <c r="M32" s="18">
        <f>86+17</f>
        <v>103</v>
      </c>
      <c r="N32" s="98"/>
      <c r="O32" s="19">
        <f t="shared" si="0"/>
        <v>446</v>
      </c>
      <c r="P32" s="22">
        <f>453+80+11+2</f>
        <v>546</v>
      </c>
      <c r="Q32" s="100"/>
      <c r="R32" s="85"/>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45275</v>
      </c>
      <c r="B33" s="87" t="s">
        <v>37</v>
      </c>
      <c r="C33" s="89">
        <v>1</v>
      </c>
      <c r="D33" s="91" t="s">
        <v>38</v>
      </c>
      <c r="E33" s="89">
        <v>84352</v>
      </c>
      <c r="F33" s="89" t="s">
        <v>49</v>
      </c>
      <c r="G33" s="93" t="s">
        <v>55</v>
      </c>
      <c r="H33" s="109" t="s">
        <v>39</v>
      </c>
      <c r="I33" s="90">
        <v>1050</v>
      </c>
      <c r="J33" s="170">
        <v>1053</v>
      </c>
      <c r="K33" s="43">
        <v>0</v>
      </c>
      <c r="L33" s="48">
        <v>0</v>
      </c>
      <c r="M33" s="20">
        <v>0</v>
      </c>
      <c r="N33" s="97">
        <f>O34/L34</f>
        <v>0.64411764705882357</v>
      </c>
      <c r="O33" s="21">
        <f t="shared" si="0"/>
        <v>0</v>
      </c>
      <c r="P33" s="27">
        <v>20</v>
      </c>
      <c r="Q33" s="99">
        <f>+L34-P34</f>
        <v>0</v>
      </c>
      <c r="R33" s="85"/>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171"/>
      <c r="K34" s="47">
        <f>320+108+237+109+43+100+35+68</f>
        <v>1020</v>
      </c>
      <c r="L34" s="46">
        <f>10+10+10+235+60+10+150+85+185+102+40+95+28</f>
        <v>1020</v>
      </c>
      <c r="M34" s="18">
        <f>75+30+45+42+80+30+8+40+13</f>
        <v>363</v>
      </c>
      <c r="N34" s="98"/>
      <c r="O34" s="19">
        <f t="shared" si="0"/>
        <v>657</v>
      </c>
      <c r="P34" s="22">
        <f>105+70+80+92+96+70+74+165+91+21+40+50+46+20</f>
        <v>1020</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45275</v>
      </c>
      <c r="B35" s="87" t="s">
        <v>37</v>
      </c>
      <c r="C35" s="89">
        <v>1</v>
      </c>
      <c r="D35" s="91" t="s">
        <v>38</v>
      </c>
      <c r="E35" s="89">
        <v>84352</v>
      </c>
      <c r="F35" s="89" t="s">
        <v>49</v>
      </c>
      <c r="G35" s="93" t="s">
        <v>55</v>
      </c>
      <c r="H35" s="109" t="s">
        <v>57</v>
      </c>
      <c r="I35" s="90">
        <v>525</v>
      </c>
      <c r="J35" s="90">
        <v>525</v>
      </c>
      <c r="K35" s="20">
        <v>0</v>
      </c>
      <c r="L35" s="20">
        <v>50</v>
      </c>
      <c r="M35" s="20">
        <v>16</v>
      </c>
      <c r="N35" s="97">
        <f>O36/L36</f>
        <v>0.67180616740088106</v>
      </c>
      <c r="O35" s="21">
        <f t="shared" si="0"/>
        <v>34</v>
      </c>
      <c r="P35" s="27">
        <f>90+15</f>
        <v>105</v>
      </c>
      <c r="Q35" s="99">
        <f>+L36-P36</f>
        <v>180</v>
      </c>
      <c r="R35" s="85"/>
      <c r="S35" s="96"/>
      <c r="T35" s="96">
        <v>4</v>
      </c>
      <c r="U35" s="96">
        <v>3</v>
      </c>
      <c r="V35" s="96"/>
      <c r="W35" s="96"/>
      <c r="X35" s="96">
        <v>3</v>
      </c>
      <c r="Y35" s="96"/>
      <c r="Z35" s="96"/>
      <c r="AA35" s="96"/>
      <c r="AB35" s="96"/>
      <c r="AC35" s="96">
        <v>3</v>
      </c>
      <c r="AD35" s="96"/>
      <c r="AE35" s="96"/>
      <c r="AF35" s="96">
        <v>2</v>
      </c>
      <c r="AG35" s="96"/>
      <c r="AH35" s="96">
        <v>1</v>
      </c>
      <c r="AI35" s="96"/>
      <c r="AJ35" s="96"/>
      <c r="AK35" s="96"/>
      <c r="AL35" s="96">
        <v>18</v>
      </c>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41">
        <f>70+50+122+102+35+75</f>
        <v>454</v>
      </c>
      <c r="L36" s="18">
        <f>20+60+162+37+125+50</f>
        <v>454</v>
      </c>
      <c r="M36" s="18">
        <f>9+30+22+7+65+16</f>
        <v>149</v>
      </c>
      <c r="N36" s="98"/>
      <c r="O36" s="19">
        <f t="shared" si="0"/>
        <v>305</v>
      </c>
      <c r="P36" s="22">
        <f>9+30+32+8+90+90+15</f>
        <v>274</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45275</v>
      </c>
      <c r="B37" s="87" t="s">
        <v>37</v>
      </c>
      <c r="C37" s="89">
        <v>1</v>
      </c>
      <c r="D37" s="91" t="s">
        <v>38</v>
      </c>
      <c r="E37" s="89">
        <v>84031</v>
      </c>
      <c r="F37" s="89" t="s">
        <v>49</v>
      </c>
      <c r="G37" s="93" t="s">
        <v>53</v>
      </c>
      <c r="H37" s="90" t="s">
        <v>57</v>
      </c>
      <c r="I37" s="90">
        <v>563</v>
      </c>
      <c r="J37" s="90">
        <v>563</v>
      </c>
      <c r="K37" s="43">
        <v>0</v>
      </c>
      <c r="L37" s="20">
        <v>0</v>
      </c>
      <c r="M37" s="20">
        <v>0</v>
      </c>
      <c r="N37" s="97">
        <f>O38/L38</f>
        <v>0.85343228200371057</v>
      </c>
      <c r="O37" s="21">
        <f t="shared" si="0"/>
        <v>0</v>
      </c>
      <c r="P37" s="27">
        <v>0</v>
      </c>
      <c r="Q37" s="99">
        <f>+L38-P38</f>
        <v>0</v>
      </c>
      <c r="R37" s="85" t="s">
        <v>86</v>
      </c>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516+20+3</f>
        <v>539</v>
      </c>
      <c r="L38" s="18">
        <f>516+20+3</f>
        <v>539</v>
      </c>
      <c r="M38" s="18">
        <f>74+2+3</f>
        <v>79</v>
      </c>
      <c r="N38" s="98"/>
      <c r="O38" s="19">
        <f t="shared" si="0"/>
        <v>460</v>
      </c>
      <c r="P38" s="22">
        <f>516+20+3</f>
        <v>539</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45275</v>
      </c>
      <c r="B39" s="87" t="s">
        <v>37</v>
      </c>
      <c r="C39" s="89">
        <v>1</v>
      </c>
      <c r="D39" s="91" t="s">
        <v>38</v>
      </c>
      <c r="E39" s="89">
        <v>84031</v>
      </c>
      <c r="F39" s="89" t="s">
        <v>49</v>
      </c>
      <c r="G39" s="93" t="s">
        <v>53</v>
      </c>
      <c r="H39" s="90" t="s">
        <v>39</v>
      </c>
      <c r="I39" s="90">
        <v>623</v>
      </c>
      <c r="J39" s="90">
        <v>623</v>
      </c>
      <c r="K39" s="20">
        <v>0</v>
      </c>
      <c r="L39" s="20">
        <v>0</v>
      </c>
      <c r="M39" s="20">
        <v>0</v>
      </c>
      <c r="N39" s="97">
        <f>O40/L40</f>
        <v>0.79710144927536231</v>
      </c>
      <c r="O39" s="21">
        <f t="shared" si="0"/>
        <v>0</v>
      </c>
      <c r="P39" s="27">
        <v>0</v>
      </c>
      <c r="Q39" s="99">
        <f>+L40-P40</f>
        <v>0</v>
      </c>
      <c r="R39" s="85" t="s">
        <v>86</v>
      </c>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574+9+30+5+3</f>
        <v>621</v>
      </c>
      <c r="L40" s="18">
        <f>574+9+30+5+3</f>
        <v>621</v>
      </c>
      <c r="M40" s="18">
        <f>109+9+5+3</f>
        <v>126</v>
      </c>
      <c r="N40" s="98"/>
      <c r="O40" s="19">
        <f t="shared" si="0"/>
        <v>495</v>
      </c>
      <c r="P40" s="22">
        <f>574+9+30+5+3</f>
        <v>621</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45275</v>
      </c>
      <c r="B41" s="87" t="s">
        <v>37</v>
      </c>
      <c r="C41" s="89">
        <v>1</v>
      </c>
      <c r="D41" s="91" t="s">
        <v>77</v>
      </c>
      <c r="E41" s="89">
        <v>20785</v>
      </c>
      <c r="F41" s="89" t="s">
        <v>76</v>
      </c>
      <c r="G41" s="93" t="s">
        <v>71</v>
      </c>
      <c r="H41" s="90" t="s">
        <v>70</v>
      </c>
      <c r="I41" s="90">
        <v>1475</v>
      </c>
      <c r="J41" s="90">
        <v>1475</v>
      </c>
      <c r="K41" s="20">
        <v>0</v>
      </c>
      <c r="L41" s="20">
        <v>0</v>
      </c>
      <c r="M41" s="20">
        <v>0</v>
      </c>
      <c r="N41" s="97">
        <f>O42/L42</f>
        <v>1</v>
      </c>
      <c r="O41" s="21">
        <f t="shared" si="0"/>
        <v>0</v>
      </c>
      <c r="P41" s="27">
        <v>0</v>
      </c>
      <c r="Q41" s="99">
        <f>+L42-P42</f>
        <v>16</v>
      </c>
      <c r="R41" s="85"/>
      <c r="S41" s="96"/>
      <c r="T41" s="96"/>
      <c r="U41" s="96"/>
      <c r="V41" s="96"/>
      <c r="W41" s="96"/>
      <c r="X41" s="96"/>
      <c r="Y41" s="96"/>
      <c r="Z41" s="96"/>
      <c r="AA41" s="96"/>
      <c r="AB41" s="96"/>
      <c r="AC41" s="96"/>
      <c r="AD41" s="96"/>
      <c r="AE41" s="96"/>
      <c r="AF41" s="96"/>
      <c r="AG41" s="96"/>
      <c r="AH41" s="96"/>
      <c r="AI41" s="96"/>
      <c r="AJ41" s="96"/>
      <c r="AK41" s="96"/>
      <c r="AL41" s="96"/>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26+20+20+15+15</f>
        <v>96</v>
      </c>
      <c r="L42" s="18">
        <f>26+10+30+15+15</f>
        <v>96</v>
      </c>
      <c r="M42" s="18">
        <v>0</v>
      </c>
      <c r="N42" s="98"/>
      <c r="O42" s="19">
        <f t="shared" si="0"/>
        <v>96</v>
      </c>
      <c r="P42" s="22">
        <f>10+10+6+5+20+15+14</f>
        <v>80</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s="17" customFormat="1" ht="15.75" customHeight="1">
      <c r="A43" s="108">
        <v>45275</v>
      </c>
      <c r="B43" s="87" t="s">
        <v>37</v>
      </c>
      <c r="C43" s="89">
        <v>1</v>
      </c>
      <c r="D43" s="91" t="s">
        <v>77</v>
      </c>
      <c r="E43" s="89">
        <v>20785</v>
      </c>
      <c r="F43" s="89" t="s">
        <v>76</v>
      </c>
      <c r="G43" s="93" t="s">
        <v>71</v>
      </c>
      <c r="H43" s="90" t="s">
        <v>75</v>
      </c>
      <c r="I43" s="90">
        <v>501</v>
      </c>
      <c r="J43" s="90">
        <v>501</v>
      </c>
      <c r="K43" s="20">
        <v>0</v>
      </c>
      <c r="L43" s="20">
        <v>0</v>
      </c>
      <c r="M43" s="20">
        <v>0</v>
      </c>
      <c r="N43" s="97">
        <f>O44/L44</f>
        <v>0.9358974358974359</v>
      </c>
      <c r="O43" s="21">
        <f t="shared" si="0"/>
        <v>0</v>
      </c>
      <c r="P43" s="27">
        <v>0</v>
      </c>
      <c r="Q43" s="99">
        <f>+L44-P44</f>
        <v>0</v>
      </c>
      <c r="R43" s="85"/>
      <c r="S43" s="96"/>
      <c r="T43" s="96"/>
      <c r="U43" s="96"/>
      <c r="V43" s="96"/>
      <c r="W43" s="96"/>
      <c r="X43" s="96"/>
      <c r="Y43" s="96"/>
      <c r="Z43" s="96"/>
      <c r="AA43" s="96"/>
      <c r="AB43" s="96"/>
      <c r="AC43" s="96"/>
      <c r="AD43" s="96"/>
      <c r="AE43" s="96"/>
      <c r="AF43" s="96"/>
      <c r="AG43" s="96"/>
      <c r="AH43" s="96"/>
      <c r="AI43" s="96"/>
      <c r="AJ43" s="96"/>
      <c r="AK43" s="96"/>
      <c r="AL43" s="96"/>
      <c r="AM43" s="103"/>
      <c r="AN43" s="103"/>
      <c r="AO43" s="103"/>
      <c r="AP43" s="103"/>
      <c r="AQ43" s="103"/>
      <c r="AR43" s="103"/>
      <c r="AS43" s="103"/>
      <c r="AT43" s="103"/>
      <c r="AU43" s="103"/>
      <c r="AV43" s="103"/>
      <c r="AW43" s="103"/>
      <c r="AX43" s="103"/>
      <c r="AY43" s="106"/>
      <c r="AZ43" s="106"/>
      <c r="BA43" s="106"/>
      <c r="BB43" s="106"/>
      <c r="BC43" s="106"/>
      <c r="BD43" s="106"/>
      <c r="BE43" s="103"/>
      <c r="BF43" s="104"/>
      <c r="BG43" s="104"/>
    </row>
    <row r="44" spans="1:59" s="17" customFormat="1" ht="15.75" customHeight="1">
      <c r="A44" s="85"/>
      <c r="B44" s="88"/>
      <c r="C44" s="90"/>
      <c r="D44" s="92"/>
      <c r="E44" s="90"/>
      <c r="F44" s="90"/>
      <c r="G44" s="94"/>
      <c r="H44" s="95"/>
      <c r="I44" s="95"/>
      <c r="J44" s="95"/>
      <c r="K44" s="22">
        <f>24+31+23</f>
        <v>78</v>
      </c>
      <c r="L44" s="18">
        <f>10+45+5+18</f>
        <v>78</v>
      </c>
      <c r="M44" s="18">
        <f>5</f>
        <v>5</v>
      </c>
      <c r="N44" s="98"/>
      <c r="O44" s="19">
        <f t="shared" si="0"/>
        <v>73</v>
      </c>
      <c r="P44" s="22">
        <f>5+15+58</f>
        <v>78</v>
      </c>
      <c r="Q44" s="100"/>
      <c r="R44" s="86"/>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7"/>
      <c r="AZ44" s="107"/>
      <c r="BA44" s="107"/>
      <c r="BB44" s="107"/>
      <c r="BC44" s="107"/>
      <c r="BD44" s="107"/>
      <c r="BE44" s="103"/>
      <c r="BF44" s="105"/>
      <c r="BG44" s="105"/>
    </row>
    <row r="45" spans="1:59" s="17" customFormat="1" ht="15.75" customHeight="1">
      <c r="A45" s="108">
        <v>45275</v>
      </c>
      <c r="B45" s="87" t="s">
        <v>37</v>
      </c>
      <c r="C45" s="89">
        <v>1</v>
      </c>
      <c r="D45" s="91" t="s">
        <v>77</v>
      </c>
      <c r="E45" s="89">
        <v>20785</v>
      </c>
      <c r="F45" s="89" t="s">
        <v>76</v>
      </c>
      <c r="G45" s="93" t="s">
        <v>71</v>
      </c>
      <c r="H45" s="90" t="s">
        <v>79</v>
      </c>
      <c r="I45" s="90">
        <v>826</v>
      </c>
      <c r="J45" s="90">
        <v>826</v>
      </c>
      <c r="K45" s="20">
        <v>20</v>
      </c>
      <c r="L45" s="20">
        <v>47</v>
      </c>
      <c r="M45" s="20">
        <v>10</v>
      </c>
      <c r="N45" s="97">
        <f>O46/L46</f>
        <v>0.875</v>
      </c>
      <c r="O45" s="21">
        <f t="shared" si="0"/>
        <v>37</v>
      </c>
      <c r="P45" s="27">
        <v>114</v>
      </c>
      <c r="Q45" s="99">
        <f>+L46-P46</f>
        <v>30</v>
      </c>
      <c r="R45" s="85"/>
      <c r="S45" s="96"/>
      <c r="T45" s="96">
        <v>3</v>
      </c>
      <c r="U45" s="96"/>
      <c r="V45" s="96"/>
      <c r="W45" s="96"/>
      <c r="X45" s="96">
        <v>3</v>
      </c>
      <c r="Y45" s="96"/>
      <c r="Z45" s="96"/>
      <c r="AA45" s="96"/>
      <c r="AB45" s="96"/>
      <c r="AC45" s="96">
        <v>3</v>
      </c>
      <c r="AD45" s="96"/>
      <c r="AE45" s="96">
        <v>5</v>
      </c>
      <c r="AF45" s="96"/>
      <c r="AG45" s="96">
        <v>11</v>
      </c>
      <c r="AH45" s="96">
        <v>2</v>
      </c>
      <c r="AI45" s="96"/>
      <c r="AJ45" s="96">
        <v>6</v>
      </c>
      <c r="AK45" s="96"/>
      <c r="AL45" s="96">
        <v>4</v>
      </c>
      <c r="AM45" s="103"/>
      <c r="AN45" s="103"/>
      <c r="AO45" s="103"/>
      <c r="AP45" s="103"/>
      <c r="AQ45" s="103"/>
      <c r="AR45" s="103"/>
      <c r="AS45" s="103"/>
      <c r="AT45" s="103"/>
      <c r="AU45" s="103"/>
      <c r="AV45" s="103"/>
      <c r="AW45" s="103"/>
      <c r="AX45" s="103"/>
      <c r="AY45" s="106"/>
      <c r="AZ45" s="106"/>
      <c r="BA45" s="106"/>
      <c r="BB45" s="106"/>
      <c r="BC45" s="106"/>
      <c r="BD45" s="106"/>
      <c r="BE45" s="103"/>
      <c r="BF45" s="104"/>
      <c r="BG45" s="104"/>
    </row>
    <row r="46" spans="1:59" s="17" customFormat="1" ht="15.75" customHeight="1">
      <c r="A46" s="85"/>
      <c r="B46" s="88"/>
      <c r="C46" s="90"/>
      <c r="D46" s="92"/>
      <c r="E46" s="90"/>
      <c r="F46" s="90"/>
      <c r="G46" s="94"/>
      <c r="H46" s="95"/>
      <c r="I46" s="95"/>
      <c r="J46" s="95"/>
      <c r="K46" s="22">
        <f>8+32+48+44+34+38+20</f>
        <v>224</v>
      </c>
      <c r="L46" s="18">
        <f>7+30+45+50+45+47</f>
        <v>224</v>
      </c>
      <c r="M46" s="18">
        <f>3+10+5+10</f>
        <v>28</v>
      </c>
      <c r="N46" s="98"/>
      <c r="O46" s="19">
        <f t="shared" si="0"/>
        <v>196</v>
      </c>
      <c r="P46" s="22">
        <f>3+10+12+30+25+114</f>
        <v>194</v>
      </c>
      <c r="Q46" s="100"/>
      <c r="R46" s="86"/>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7"/>
      <c r="AZ46" s="107"/>
      <c r="BA46" s="107"/>
      <c r="BB46" s="107"/>
      <c r="BC46" s="107"/>
      <c r="BD46" s="107"/>
      <c r="BE46" s="103"/>
      <c r="BF46" s="105"/>
      <c r="BG46" s="105"/>
    </row>
    <row r="47" spans="1:59" ht="24.75" customHeight="1">
      <c r="A47" s="111" t="s">
        <v>15</v>
      </c>
      <c r="B47" s="112"/>
      <c r="C47" s="112"/>
      <c r="D47" s="112"/>
      <c r="E47" s="112"/>
      <c r="F47" s="112"/>
      <c r="G47" s="112"/>
      <c r="H47" s="112"/>
      <c r="I47" s="113"/>
      <c r="J47" s="5">
        <f>SUM(J5:J46)</f>
        <v>25783</v>
      </c>
      <c r="K47" s="5">
        <f>+SUMPRODUCT(((MOD(ROW(K5:K46),2)=1)*(K5:K46)))</f>
        <v>995</v>
      </c>
      <c r="L47" s="5">
        <f>+SUMPRODUCT(((MOD(ROW(L5:L46),2)=1)*(L5:L46)))</f>
        <v>863</v>
      </c>
      <c r="M47" s="5">
        <f>+SUMPRODUCT(((MOD(ROW(M5:M46),2)=1)*(M5:M46)))</f>
        <v>333</v>
      </c>
      <c r="N47" s="23">
        <f>O47/L47</f>
        <v>0.61413673232908461</v>
      </c>
      <c r="O47" s="5">
        <f>+SUMPRODUCT(((MOD(ROW(O5:O46),2)=1)*(O5:O46)))</f>
        <v>530</v>
      </c>
      <c r="P47" s="5">
        <f>+SUMPRODUCT(((MOD(ROW(P5:P46),2)=1)*(P5:P46)))</f>
        <v>946</v>
      </c>
      <c r="Q47" s="5">
        <f>+SUMPRODUCT(((MOD(ROW(Q5:Q46),2)=1)*(Q5:Q46)))</f>
        <v>2044</v>
      </c>
      <c r="R47" s="29"/>
      <c r="S47" s="5">
        <f t="shared" ref="S47:BG47" si="1">SUM(S5:S46)</f>
        <v>80</v>
      </c>
      <c r="T47" s="5">
        <f t="shared" si="1"/>
        <v>77</v>
      </c>
      <c r="U47" s="5">
        <f t="shared" si="1"/>
        <v>19</v>
      </c>
      <c r="V47" s="5">
        <f t="shared" si="1"/>
        <v>0</v>
      </c>
      <c r="W47" s="5">
        <f t="shared" si="1"/>
        <v>0</v>
      </c>
      <c r="X47" s="5">
        <f t="shared" si="1"/>
        <v>22</v>
      </c>
      <c r="Y47" s="5">
        <f t="shared" si="1"/>
        <v>7</v>
      </c>
      <c r="Z47" s="5">
        <f t="shared" si="1"/>
        <v>0</v>
      </c>
      <c r="AA47" s="5">
        <f t="shared" si="1"/>
        <v>0</v>
      </c>
      <c r="AB47" s="5">
        <f t="shared" si="1"/>
        <v>0</v>
      </c>
      <c r="AC47" s="5">
        <f t="shared" si="1"/>
        <v>87</v>
      </c>
      <c r="AD47" s="5">
        <f t="shared" si="1"/>
        <v>5</v>
      </c>
      <c r="AE47" s="5">
        <f t="shared" si="1"/>
        <v>36</v>
      </c>
      <c r="AF47" s="5">
        <f t="shared" si="1"/>
        <v>24</v>
      </c>
      <c r="AG47" s="5">
        <f t="shared" si="1"/>
        <v>35</v>
      </c>
      <c r="AH47" s="5">
        <f t="shared" si="1"/>
        <v>73</v>
      </c>
      <c r="AI47" s="5">
        <f t="shared" si="1"/>
        <v>0</v>
      </c>
      <c r="AJ47" s="5">
        <f t="shared" si="1"/>
        <v>6</v>
      </c>
      <c r="AK47" s="5">
        <f t="shared" si="1"/>
        <v>0</v>
      </c>
      <c r="AL47" s="5">
        <f t="shared" si="1"/>
        <v>59</v>
      </c>
      <c r="AM47" s="5">
        <f t="shared" si="1"/>
        <v>0</v>
      </c>
      <c r="AN47" s="5">
        <f t="shared" si="1"/>
        <v>0</v>
      </c>
      <c r="AO47" s="5">
        <f t="shared" si="1"/>
        <v>0</v>
      </c>
      <c r="AP47" s="5">
        <f t="shared" si="1"/>
        <v>0</v>
      </c>
      <c r="AQ47" s="5">
        <f t="shared" si="1"/>
        <v>0</v>
      </c>
      <c r="AR47" s="5">
        <f t="shared" si="1"/>
        <v>0</v>
      </c>
      <c r="AS47" s="5">
        <f t="shared" si="1"/>
        <v>0</v>
      </c>
      <c r="AT47" s="5">
        <f t="shared" si="1"/>
        <v>0</v>
      </c>
      <c r="AU47" s="5">
        <f t="shared" si="1"/>
        <v>0</v>
      </c>
      <c r="AV47" s="5">
        <f t="shared" si="1"/>
        <v>0</v>
      </c>
      <c r="AW47" s="5">
        <f t="shared" si="1"/>
        <v>0</v>
      </c>
      <c r="AX47" s="5">
        <f t="shared" si="1"/>
        <v>0</v>
      </c>
      <c r="AY47" s="5">
        <f t="shared" si="1"/>
        <v>0</v>
      </c>
      <c r="AZ47" s="5">
        <f t="shared" si="1"/>
        <v>0</v>
      </c>
      <c r="BA47" s="5">
        <f t="shared" si="1"/>
        <v>0</v>
      </c>
      <c r="BB47" s="5">
        <f t="shared" si="1"/>
        <v>0</v>
      </c>
      <c r="BC47" s="5">
        <f t="shared" si="1"/>
        <v>0</v>
      </c>
      <c r="BD47" s="5">
        <f t="shared" si="1"/>
        <v>0</v>
      </c>
      <c r="BE47" s="5">
        <f t="shared" si="1"/>
        <v>0</v>
      </c>
      <c r="BF47" s="5">
        <f t="shared" si="1"/>
        <v>0</v>
      </c>
      <c r="BG47" s="5">
        <f t="shared" si="1"/>
        <v>0</v>
      </c>
    </row>
    <row r="48" spans="1:59" s="17" customFormat="1" ht="15.75" customHeight="1">
      <c r="A48" s="108">
        <v>45275</v>
      </c>
      <c r="B48" s="87" t="s">
        <v>37</v>
      </c>
      <c r="C48" s="89">
        <v>1</v>
      </c>
      <c r="D48" s="91" t="s">
        <v>85</v>
      </c>
      <c r="E48" s="91" t="s">
        <v>84</v>
      </c>
      <c r="F48" s="89" t="s">
        <v>83</v>
      </c>
      <c r="G48" s="93" t="s">
        <v>71</v>
      </c>
      <c r="H48" s="90" t="s">
        <v>82</v>
      </c>
      <c r="I48" s="90">
        <v>13712</v>
      </c>
      <c r="J48" s="90">
        <v>505</v>
      </c>
      <c r="K48" s="20">
        <v>288</v>
      </c>
      <c r="L48" s="20">
        <v>288</v>
      </c>
      <c r="M48" s="20">
        <v>188</v>
      </c>
      <c r="N48" s="97">
        <f>O49/L49</f>
        <v>0.43378995433789952</v>
      </c>
      <c r="O48" s="21">
        <f>+L48-M48</f>
        <v>100</v>
      </c>
      <c r="P48" s="27">
        <v>270</v>
      </c>
      <c r="Q48" s="99">
        <f>+L49-P49</f>
        <v>68</v>
      </c>
      <c r="R48" s="169" t="s">
        <v>81</v>
      </c>
      <c r="S48" s="96">
        <v>25</v>
      </c>
      <c r="T48" s="96"/>
      <c r="U48" s="96">
        <v>7</v>
      </c>
      <c r="V48" s="96"/>
      <c r="W48" s="96"/>
      <c r="X48" s="96"/>
      <c r="Y48" s="96"/>
      <c r="Z48" s="96"/>
      <c r="AA48" s="96"/>
      <c r="AB48" s="96"/>
      <c r="AC48" s="96">
        <v>15</v>
      </c>
      <c r="AD48" s="96"/>
      <c r="AE48" s="96">
        <v>27</v>
      </c>
      <c r="AF48" s="96"/>
      <c r="AG48" s="96"/>
      <c r="AH48" s="96">
        <v>14</v>
      </c>
      <c r="AI48" s="96"/>
      <c r="AJ48" s="96"/>
      <c r="AK48" s="96"/>
      <c r="AL48" s="96">
        <v>12</v>
      </c>
      <c r="AM48" s="103"/>
      <c r="AN48" s="103"/>
      <c r="AO48" s="103"/>
      <c r="AP48" s="103"/>
      <c r="AQ48" s="103"/>
      <c r="AR48" s="103"/>
      <c r="AS48" s="103"/>
      <c r="AT48" s="103"/>
      <c r="AU48" s="103"/>
      <c r="AV48" s="103"/>
      <c r="AW48" s="103"/>
      <c r="AX48" s="103"/>
      <c r="AY48" s="106"/>
      <c r="AZ48" s="106"/>
      <c r="BA48" s="106"/>
      <c r="BB48" s="106"/>
      <c r="BC48" s="106"/>
      <c r="BD48" s="106"/>
      <c r="BE48" s="103"/>
      <c r="BF48" s="104"/>
      <c r="BG48" s="104"/>
    </row>
    <row r="49" spans="1:59" s="17" customFormat="1" ht="15.75" customHeight="1">
      <c r="A49" s="85"/>
      <c r="B49" s="88"/>
      <c r="C49" s="90"/>
      <c r="D49" s="92"/>
      <c r="E49" s="92"/>
      <c r="F49" s="90"/>
      <c r="G49" s="94"/>
      <c r="H49" s="95"/>
      <c r="I49" s="95"/>
      <c r="J49" s="95"/>
      <c r="K49" s="22">
        <f>150+288</f>
        <v>438</v>
      </c>
      <c r="L49" s="18">
        <f>150+288</f>
        <v>438</v>
      </c>
      <c r="M49" s="18">
        <f>60+188</f>
        <v>248</v>
      </c>
      <c r="N49" s="98"/>
      <c r="O49" s="19">
        <f>+L49-M49</f>
        <v>190</v>
      </c>
      <c r="P49" s="22">
        <f>100+270</f>
        <v>370</v>
      </c>
      <c r="Q49" s="100"/>
      <c r="R49" s="86"/>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7"/>
      <c r="AZ49" s="107"/>
      <c r="BA49" s="107"/>
      <c r="BB49" s="107"/>
      <c r="BC49" s="107"/>
      <c r="BD49" s="107"/>
      <c r="BE49" s="103"/>
      <c r="BF49" s="105"/>
      <c r="BG49" s="105"/>
    </row>
    <row r="50" spans="1:59" s="17" customFormat="1" ht="15.75" hidden="1" customHeight="1">
      <c r="A50" s="101"/>
      <c r="B50" s="114"/>
      <c r="C50" s="116"/>
      <c r="D50" s="118"/>
      <c r="E50" s="116"/>
      <c r="F50" s="116"/>
      <c r="G50" s="120"/>
      <c r="H50" s="90"/>
      <c r="I50" s="90"/>
      <c r="J50" s="90"/>
      <c r="K50" s="20"/>
      <c r="L50" s="20"/>
      <c r="M50" s="20"/>
      <c r="N50" s="97"/>
      <c r="O50" s="21"/>
      <c r="P50" s="27"/>
      <c r="Q50" s="99"/>
      <c r="R50" s="110"/>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6"/>
      <c r="AZ50" s="106"/>
      <c r="BA50" s="106"/>
      <c r="BB50" s="106"/>
      <c r="BC50" s="106"/>
      <c r="BD50" s="106"/>
      <c r="BE50" s="103"/>
      <c r="BF50" s="104"/>
      <c r="BG50" s="104"/>
    </row>
    <row r="51" spans="1:59" s="17" customFormat="1" ht="15.75" hidden="1" customHeight="1">
      <c r="A51" s="102"/>
      <c r="B51" s="115"/>
      <c r="C51" s="117"/>
      <c r="D51" s="119"/>
      <c r="E51" s="117"/>
      <c r="F51" s="117"/>
      <c r="G51" s="121"/>
      <c r="H51" s="95"/>
      <c r="I51" s="95"/>
      <c r="J51" s="95"/>
      <c r="K51" s="22"/>
      <c r="L51" s="18"/>
      <c r="M51" s="18"/>
      <c r="N51" s="98"/>
      <c r="O51" s="19"/>
      <c r="P51" s="22"/>
      <c r="Q51" s="100"/>
      <c r="R51" s="102"/>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7"/>
      <c r="AZ51" s="107"/>
      <c r="BA51" s="107"/>
      <c r="BB51" s="107"/>
      <c r="BC51" s="107"/>
      <c r="BD51" s="107"/>
      <c r="BE51" s="103"/>
      <c r="BF51" s="105"/>
      <c r="BG51" s="105"/>
    </row>
    <row r="52" spans="1:59" s="17" customFormat="1" ht="15.75" hidden="1" customHeight="1">
      <c r="A52" s="101"/>
      <c r="B52" s="114"/>
      <c r="C52" s="116"/>
      <c r="D52" s="118"/>
      <c r="E52" s="116"/>
      <c r="F52" s="116"/>
      <c r="G52" s="120"/>
      <c r="H52" s="90"/>
      <c r="I52" s="90"/>
      <c r="J52" s="90"/>
      <c r="K52" s="20"/>
      <c r="L52" s="20"/>
      <c r="M52" s="20"/>
      <c r="N52" s="97"/>
      <c r="O52" s="21"/>
      <c r="P52" s="27"/>
      <c r="Q52" s="99"/>
      <c r="R52" s="110"/>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6"/>
      <c r="AZ52" s="106"/>
      <c r="BA52" s="106"/>
      <c r="BB52" s="106"/>
      <c r="BC52" s="106"/>
      <c r="BD52" s="106"/>
      <c r="BE52" s="103"/>
      <c r="BF52" s="104"/>
      <c r="BG52" s="104"/>
    </row>
    <row r="53" spans="1:59" s="17" customFormat="1" ht="15.75" hidden="1" customHeight="1">
      <c r="A53" s="102"/>
      <c r="B53" s="115"/>
      <c r="C53" s="117"/>
      <c r="D53" s="119"/>
      <c r="E53" s="117"/>
      <c r="F53" s="117"/>
      <c r="G53" s="121"/>
      <c r="H53" s="95"/>
      <c r="I53" s="95"/>
      <c r="J53" s="95"/>
      <c r="K53" s="22"/>
      <c r="L53" s="18"/>
      <c r="M53" s="18"/>
      <c r="N53" s="98"/>
      <c r="O53" s="19"/>
      <c r="P53" s="22"/>
      <c r="Q53" s="100"/>
      <c r="R53" s="102"/>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7"/>
      <c r="AZ53" s="107"/>
      <c r="BA53" s="107"/>
      <c r="BB53" s="107"/>
      <c r="BC53" s="107"/>
      <c r="BD53" s="107"/>
      <c r="BE53" s="103"/>
      <c r="BF53" s="105"/>
      <c r="BG53" s="105"/>
    </row>
    <row r="54" spans="1:59" ht="24.75" customHeight="1">
      <c r="A54" s="111" t="s">
        <v>46</v>
      </c>
      <c r="B54" s="112"/>
      <c r="C54" s="112"/>
      <c r="D54" s="112"/>
      <c r="E54" s="112"/>
      <c r="F54" s="112"/>
      <c r="G54" s="112"/>
      <c r="H54" s="112"/>
      <c r="I54" s="113"/>
      <c r="J54" s="5">
        <f>SUM(J48:J53)</f>
        <v>505</v>
      </c>
      <c r="K54" s="5">
        <f>+SUMPRODUCT(((MOD(ROW(K48:K53),2)=0)*(K48:K53)))</f>
        <v>288</v>
      </c>
      <c r="L54" s="5">
        <f>+SUMPRODUCT(((MOD(ROW(L48:L53),2)=0)*(L48:L53)))</f>
        <v>288</v>
      </c>
      <c r="M54" s="5">
        <f>+SUMPRODUCT(((MOD(ROW(M48:M53),2)=0)*(M48:M53)))</f>
        <v>188</v>
      </c>
      <c r="N54" s="23">
        <f>O54/L54</f>
        <v>0.34722222222222221</v>
      </c>
      <c r="O54" s="5">
        <f>+SUMPRODUCT(((MOD(ROW(O48:O53),2)=0)*(O48:O53)))</f>
        <v>100</v>
      </c>
      <c r="P54" s="5">
        <f>+SUMPRODUCT(((MOD(ROW(P48:P53),2)=0)*(P48:P53)))</f>
        <v>270</v>
      </c>
      <c r="Q54" s="29">
        <f>SUM(Q48:Q53)</f>
        <v>68</v>
      </c>
      <c r="R54" s="29"/>
      <c r="S54" s="5">
        <f t="shared" ref="S54:BG54" si="2">SUM(S48:S53)</f>
        <v>25</v>
      </c>
      <c r="T54" s="5">
        <f t="shared" si="2"/>
        <v>0</v>
      </c>
      <c r="U54" s="5">
        <f t="shared" si="2"/>
        <v>7</v>
      </c>
      <c r="V54" s="5">
        <f t="shared" si="2"/>
        <v>0</v>
      </c>
      <c r="W54" s="5">
        <f t="shared" si="2"/>
        <v>0</v>
      </c>
      <c r="X54" s="5">
        <f t="shared" si="2"/>
        <v>0</v>
      </c>
      <c r="Y54" s="5">
        <f t="shared" si="2"/>
        <v>0</v>
      </c>
      <c r="Z54" s="5">
        <f t="shared" si="2"/>
        <v>0</v>
      </c>
      <c r="AA54" s="5">
        <f t="shared" si="2"/>
        <v>0</v>
      </c>
      <c r="AB54" s="5">
        <f t="shared" si="2"/>
        <v>0</v>
      </c>
      <c r="AC54" s="5">
        <f t="shared" si="2"/>
        <v>15</v>
      </c>
      <c r="AD54" s="5">
        <f t="shared" si="2"/>
        <v>0</v>
      </c>
      <c r="AE54" s="5">
        <f t="shared" si="2"/>
        <v>27</v>
      </c>
      <c r="AF54" s="5">
        <f t="shared" si="2"/>
        <v>0</v>
      </c>
      <c r="AG54" s="5">
        <f t="shared" si="2"/>
        <v>0</v>
      </c>
      <c r="AH54" s="5">
        <f t="shared" si="2"/>
        <v>14</v>
      </c>
      <c r="AI54" s="5">
        <f t="shared" si="2"/>
        <v>0</v>
      </c>
      <c r="AJ54" s="5">
        <f t="shared" si="2"/>
        <v>0</v>
      </c>
      <c r="AK54" s="5">
        <f t="shared" si="2"/>
        <v>0</v>
      </c>
      <c r="AL54" s="5">
        <f t="shared" si="2"/>
        <v>12</v>
      </c>
      <c r="AM54" s="5">
        <f t="shared" si="2"/>
        <v>0</v>
      </c>
      <c r="AN54" s="5">
        <f t="shared" si="2"/>
        <v>0</v>
      </c>
      <c r="AO54" s="5">
        <f t="shared" si="2"/>
        <v>0</v>
      </c>
      <c r="AP54" s="5">
        <f t="shared" si="2"/>
        <v>0</v>
      </c>
      <c r="AQ54" s="5">
        <f t="shared" si="2"/>
        <v>0</v>
      </c>
      <c r="AR54" s="5">
        <f t="shared" si="2"/>
        <v>0</v>
      </c>
      <c r="AS54" s="5">
        <f t="shared" si="2"/>
        <v>0</v>
      </c>
      <c r="AT54" s="5">
        <f t="shared" si="2"/>
        <v>0</v>
      </c>
      <c r="AU54" s="5">
        <f t="shared" si="2"/>
        <v>0</v>
      </c>
      <c r="AV54" s="5">
        <f t="shared" si="2"/>
        <v>0</v>
      </c>
      <c r="AW54" s="5">
        <f t="shared" si="2"/>
        <v>0</v>
      </c>
      <c r="AX54" s="5">
        <f t="shared" si="2"/>
        <v>0</v>
      </c>
      <c r="AY54" s="5">
        <f t="shared" si="2"/>
        <v>0</v>
      </c>
      <c r="AZ54" s="5">
        <f t="shared" si="2"/>
        <v>0</v>
      </c>
      <c r="BA54" s="5">
        <f t="shared" si="2"/>
        <v>0</v>
      </c>
      <c r="BB54" s="5">
        <f t="shared" si="2"/>
        <v>0</v>
      </c>
      <c r="BC54" s="5">
        <f t="shared" si="2"/>
        <v>0</v>
      </c>
      <c r="BD54" s="5">
        <f t="shared" si="2"/>
        <v>0</v>
      </c>
      <c r="BE54" s="5">
        <f t="shared" si="2"/>
        <v>0</v>
      </c>
      <c r="BF54" s="5">
        <f t="shared" si="2"/>
        <v>0</v>
      </c>
      <c r="BG54" s="5">
        <f t="shared" si="2"/>
        <v>0</v>
      </c>
    </row>
    <row r="55" spans="1:59" s="17" customFormat="1" ht="15.75" hidden="1" customHeight="1">
      <c r="A55" s="85"/>
      <c r="B55" s="87"/>
      <c r="C55" s="89"/>
      <c r="D55" s="91"/>
      <c r="E55" s="89"/>
      <c r="F55" s="89"/>
      <c r="G55" s="93"/>
      <c r="H55" s="90"/>
      <c r="I55" s="90"/>
      <c r="J55" s="90"/>
      <c r="K55" s="20"/>
      <c r="L55" s="20"/>
      <c r="M55" s="20"/>
      <c r="N55" s="97"/>
      <c r="O55" s="21"/>
      <c r="P55" s="27"/>
      <c r="Q55" s="99"/>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86"/>
      <c r="B56" s="88"/>
      <c r="C56" s="90"/>
      <c r="D56" s="92"/>
      <c r="E56" s="90"/>
      <c r="F56" s="90"/>
      <c r="G56" s="94"/>
      <c r="H56" s="95"/>
      <c r="I56" s="95"/>
      <c r="J56" s="95"/>
      <c r="K56" s="22"/>
      <c r="L56" s="18"/>
      <c r="M56" s="18"/>
      <c r="N56" s="98"/>
      <c r="O56" s="19"/>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ref="O57:O64" si="3">L57-M57</f>
        <v>0</v>
      </c>
      <c r="P57" s="27"/>
      <c r="Q57" s="99">
        <f>+L58-P58</f>
        <v>0</v>
      </c>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90"/>
      <c r="I59" s="90"/>
      <c r="J59" s="90"/>
      <c r="K59" s="20"/>
      <c r="L59" s="20"/>
      <c r="M59" s="20"/>
      <c r="N59" s="97" t="e">
        <f>O60/L60</f>
        <v>#DIV/0!</v>
      </c>
      <c r="O59" s="21">
        <f t="shared" si="3"/>
        <v>0</v>
      </c>
      <c r="P59" s="27"/>
      <c r="Q59" s="99">
        <f>+L60-P60</f>
        <v>0</v>
      </c>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8"/>
      <c r="F61" s="116"/>
      <c r="G61" s="120"/>
      <c r="H61" s="90"/>
      <c r="I61" s="90"/>
      <c r="J61" s="90"/>
      <c r="K61" s="20"/>
      <c r="L61" s="20"/>
      <c r="M61" s="20"/>
      <c r="N61" s="97" t="e">
        <f>O62/L62</f>
        <v>#DIV/0!</v>
      </c>
      <c r="O61" s="21">
        <f t="shared" si="3"/>
        <v>0</v>
      </c>
      <c r="P61" s="27"/>
      <c r="Q61" s="99">
        <f>+L62-P62</f>
        <v>0</v>
      </c>
      <c r="R61" s="110"/>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9"/>
      <c r="F62" s="117"/>
      <c r="G62" s="121"/>
      <c r="H62" s="95"/>
      <c r="I62" s="95"/>
      <c r="J62" s="95"/>
      <c r="K62" s="22"/>
      <c r="L62" s="18"/>
      <c r="M62" s="18"/>
      <c r="N62" s="98"/>
      <c r="O62" s="19">
        <f t="shared" si="3"/>
        <v>0</v>
      </c>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s="17" customFormat="1" ht="15.75" hidden="1" customHeight="1">
      <c r="A63" s="101"/>
      <c r="B63" s="114"/>
      <c r="C63" s="116"/>
      <c r="D63" s="118"/>
      <c r="E63" s="118"/>
      <c r="F63" s="116"/>
      <c r="G63" s="120"/>
      <c r="H63" s="109"/>
      <c r="I63" s="90"/>
      <c r="J63" s="90"/>
      <c r="K63" s="20"/>
      <c r="L63" s="20"/>
      <c r="M63" s="20"/>
      <c r="N63" s="97" t="e">
        <f>O64/L64</f>
        <v>#DIV/0!</v>
      </c>
      <c r="O63" s="21">
        <f t="shared" si="3"/>
        <v>0</v>
      </c>
      <c r="P63" s="27"/>
      <c r="Q63" s="99">
        <f>+L64-P64</f>
        <v>0</v>
      </c>
      <c r="R63" s="110"/>
      <c r="S63" s="96"/>
      <c r="T63" s="96"/>
      <c r="U63" s="96"/>
      <c r="V63" s="96"/>
      <c r="W63" s="96"/>
      <c r="X63" s="96"/>
      <c r="Y63" s="96"/>
      <c r="Z63" s="96"/>
      <c r="AA63" s="96"/>
      <c r="AB63" s="96"/>
      <c r="AC63" s="96"/>
      <c r="AD63" s="96"/>
      <c r="AE63" s="96"/>
      <c r="AF63" s="96"/>
      <c r="AG63" s="96"/>
      <c r="AH63" s="96"/>
      <c r="AI63" s="96"/>
      <c r="AJ63" s="96"/>
      <c r="AK63" s="96"/>
      <c r="AL63" s="96"/>
      <c r="AM63" s="103"/>
      <c r="AN63" s="103"/>
      <c r="AO63" s="103"/>
      <c r="AP63" s="103"/>
      <c r="AQ63" s="103"/>
      <c r="AR63" s="103"/>
      <c r="AS63" s="103"/>
      <c r="AT63" s="103"/>
      <c r="AU63" s="103"/>
      <c r="AV63" s="103"/>
      <c r="AW63" s="103"/>
      <c r="AX63" s="103"/>
      <c r="AY63" s="106"/>
      <c r="AZ63" s="106"/>
      <c r="BA63" s="106"/>
      <c r="BB63" s="106"/>
      <c r="BC63" s="106"/>
      <c r="BD63" s="106"/>
      <c r="BE63" s="103"/>
      <c r="BF63" s="104"/>
      <c r="BG63" s="104"/>
    </row>
    <row r="64" spans="1:59" s="17" customFormat="1" ht="15.75" hidden="1" customHeight="1">
      <c r="A64" s="102"/>
      <c r="B64" s="115"/>
      <c r="C64" s="117"/>
      <c r="D64" s="119"/>
      <c r="E64" s="119"/>
      <c r="F64" s="117"/>
      <c r="G64" s="121"/>
      <c r="H64" s="95"/>
      <c r="I64" s="95"/>
      <c r="J64" s="95"/>
      <c r="K64" s="22"/>
      <c r="L64" s="18"/>
      <c r="M64" s="18"/>
      <c r="N64" s="98"/>
      <c r="O64" s="19">
        <f t="shared" si="3"/>
        <v>0</v>
      </c>
      <c r="P64" s="22"/>
      <c r="Q64" s="100"/>
      <c r="R64" s="102"/>
      <c r="S64" s="96"/>
      <c r="T64" s="96"/>
      <c r="U64" s="96"/>
      <c r="V64" s="96"/>
      <c r="W64" s="96"/>
      <c r="X64" s="96"/>
      <c r="Y64" s="96"/>
      <c r="Z64" s="96"/>
      <c r="AA64" s="96"/>
      <c r="AB64" s="96"/>
      <c r="AC64" s="96"/>
      <c r="AD64" s="96"/>
      <c r="AE64" s="96"/>
      <c r="AF64" s="96"/>
      <c r="AG64" s="96"/>
      <c r="AH64" s="96"/>
      <c r="AI64" s="96"/>
      <c r="AJ64" s="96"/>
      <c r="AK64" s="96"/>
      <c r="AL64" s="96"/>
      <c r="AM64" s="103"/>
      <c r="AN64" s="103"/>
      <c r="AO64" s="103"/>
      <c r="AP64" s="103"/>
      <c r="AQ64" s="103"/>
      <c r="AR64" s="103"/>
      <c r="AS64" s="103"/>
      <c r="AT64" s="103"/>
      <c r="AU64" s="103"/>
      <c r="AV64" s="103"/>
      <c r="AW64" s="103"/>
      <c r="AX64" s="103"/>
      <c r="AY64" s="107"/>
      <c r="AZ64" s="107"/>
      <c r="BA64" s="107"/>
      <c r="BB64" s="107"/>
      <c r="BC64" s="107"/>
      <c r="BD64" s="107"/>
      <c r="BE64" s="103"/>
      <c r="BF64" s="105"/>
      <c r="BG64" s="105"/>
    </row>
    <row r="65" spans="1:59" s="17" customFormat="1" ht="15.75" hidden="1" customHeight="1">
      <c r="A65" s="101"/>
      <c r="B65" s="114"/>
      <c r="C65" s="116"/>
      <c r="D65" s="118"/>
      <c r="E65" s="116"/>
      <c r="F65" s="116"/>
      <c r="G65" s="120"/>
      <c r="H65" s="90"/>
      <c r="I65" s="90"/>
      <c r="J65" s="90"/>
      <c r="K65" s="20"/>
      <c r="L65" s="20"/>
      <c r="M65" s="20"/>
      <c r="N65" s="97" t="e">
        <f>O66/L66</f>
        <v>#DIV/0!</v>
      </c>
      <c r="O65" s="21"/>
      <c r="P65" s="27"/>
      <c r="Q65" s="99"/>
      <c r="R65" s="110"/>
      <c r="S65" s="96"/>
      <c r="T65" s="96"/>
      <c r="U65" s="96"/>
      <c r="V65" s="96"/>
      <c r="W65" s="96"/>
      <c r="X65" s="96"/>
      <c r="Y65" s="96"/>
      <c r="Z65" s="96"/>
      <c r="AA65" s="96"/>
      <c r="AB65" s="96"/>
      <c r="AC65" s="96"/>
      <c r="AD65" s="96"/>
      <c r="AE65" s="96"/>
      <c r="AF65" s="96"/>
      <c r="AG65" s="96"/>
      <c r="AH65" s="96"/>
      <c r="AI65" s="96"/>
      <c r="AJ65" s="96"/>
      <c r="AK65" s="96"/>
      <c r="AL65" s="96"/>
      <c r="AM65" s="103"/>
      <c r="AN65" s="103"/>
      <c r="AO65" s="103"/>
      <c r="AP65" s="103"/>
      <c r="AQ65" s="103"/>
      <c r="AR65" s="103"/>
      <c r="AS65" s="103"/>
      <c r="AT65" s="103"/>
      <c r="AU65" s="103"/>
      <c r="AV65" s="103"/>
      <c r="AW65" s="103"/>
      <c r="AX65" s="103"/>
      <c r="AY65" s="106"/>
      <c r="AZ65" s="106"/>
      <c r="BA65" s="106"/>
      <c r="BB65" s="106"/>
      <c r="BC65" s="106"/>
      <c r="BD65" s="106"/>
      <c r="BE65" s="103"/>
      <c r="BF65" s="104"/>
      <c r="BG65" s="104"/>
    </row>
    <row r="66" spans="1:59" s="17" customFormat="1" ht="15.75" hidden="1" customHeight="1">
      <c r="A66" s="102"/>
      <c r="B66" s="115"/>
      <c r="C66" s="117"/>
      <c r="D66" s="119"/>
      <c r="E66" s="117"/>
      <c r="F66" s="117"/>
      <c r="G66" s="121"/>
      <c r="H66" s="95"/>
      <c r="I66" s="95"/>
      <c r="J66" s="95"/>
      <c r="K66" s="22"/>
      <c r="L66" s="18"/>
      <c r="M66" s="18"/>
      <c r="N66" s="98"/>
      <c r="O66" s="19"/>
      <c r="P66" s="22"/>
      <c r="Q66" s="100"/>
      <c r="R66" s="102"/>
      <c r="S66" s="96"/>
      <c r="T66" s="96"/>
      <c r="U66" s="96"/>
      <c r="V66" s="96"/>
      <c r="W66" s="96"/>
      <c r="X66" s="96"/>
      <c r="Y66" s="96"/>
      <c r="Z66" s="96"/>
      <c r="AA66" s="96"/>
      <c r="AB66" s="96"/>
      <c r="AC66" s="96"/>
      <c r="AD66" s="96"/>
      <c r="AE66" s="96"/>
      <c r="AF66" s="96"/>
      <c r="AG66" s="96"/>
      <c r="AH66" s="96"/>
      <c r="AI66" s="96"/>
      <c r="AJ66" s="96"/>
      <c r="AK66" s="96"/>
      <c r="AL66" s="96"/>
      <c r="AM66" s="103"/>
      <c r="AN66" s="103"/>
      <c r="AO66" s="103"/>
      <c r="AP66" s="103"/>
      <c r="AQ66" s="103"/>
      <c r="AR66" s="103"/>
      <c r="AS66" s="103"/>
      <c r="AT66" s="103"/>
      <c r="AU66" s="103"/>
      <c r="AV66" s="103"/>
      <c r="AW66" s="103"/>
      <c r="AX66" s="103"/>
      <c r="AY66" s="107"/>
      <c r="AZ66" s="107"/>
      <c r="BA66" s="107"/>
      <c r="BB66" s="107"/>
      <c r="BC66" s="107"/>
      <c r="BD66" s="107"/>
      <c r="BE66" s="103"/>
      <c r="BF66" s="105"/>
      <c r="BG66" s="105"/>
    </row>
    <row r="67" spans="1:59" ht="24.75" hidden="1" customHeight="1">
      <c r="A67" s="111" t="s">
        <v>74</v>
      </c>
      <c r="B67" s="112"/>
      <c r="C67" s="112"/>
      <c r="D67" s="112"/>
      <c r="E67" s="112"/>
      <c r="F67" s="112"/>
      <c r="G67" s="112"/>
      <c r="H67" s="112"/>
      <c r="I67" s="113"/>
      <c r="J67" s="5">
        <f>+SUMPRODUCT(((MOD(ROW(J55:J66),2)=1)*(J55:J66)))</f>
        <v>0</v>
      </c>
      <c r="K67" s="5">
        <f>+SUMPRODUCT(((MOD(ROW(K55:K66),2)=1)*(K55:K66)))</f>
        <v>0</v>
      </c>
      <c r="L67" s="5">
        <f>+SUMPRODUCT(((MOD(ROW(L55:L66),2)=1)*(L55:L66)))</f>
        <v>0</v>
      </c>
      <c r="M67" s="5">
        <f>+SUMPRODUCT(((MOD(ROW(M55:M66),2)=1)*(M55:M66)))</f>
        <v>0</v>
      </c>
      <c r="N67" s="23" t="e">
        <f>O67/L67</f>
        <v>#DIV/0!</v>
      </c>
      <c r="O67" s="5">
        <f>+SUMPRODUCT(((MOD(ROW(O55:O66),2)=1)*(O55:O66)))</f>
        <v>0</v>
      </c>
      <c r="P67" s="5">
        <f>+SUMPRODUCT(((MOD(ROW(P55:P66),2)=1)*(P55:P66)))</f>
        <v>0</v>
      </c>
      <c r="Q67" s="29">
        <f>SUM(Q55:Q66)</f>
        <v>0</v>
      </c>
      <c r="R67" s="29"/>
      <c r="S67" s="5">
        <f t="shared" ref="S67:BG67" si="4">SUM(S55:S66)</f>
        <v>0</v>
      </c>
      <c r="T67" s="5">
        <f t="shared" si="4"/>
        <v>0</v>
      </c>
      <c r="U67" s="5">
        <f t="shared" si="4"/>
        <v>0</v>
      </c>
      <c r="V67" s="5">
        <f t="shared" si="4"/>
        <v>0</v>
      </c>
      <c r="W67" s="5">
        <f t="shared" si="4"/>
        <v>0</v>
      </c>
      <c r="X67" s="5">
        <f t="shared" si="4"/>
        <v>0</v>
      </c>
      <c r="Y67" s="5">
        <f t="shared" si="4"/>
        <v>0</v>
      </c>
      <c r="Z67" s="5">
        <f t="shared" si="4"/>
        <v>0</v>
      </c>
      <c r="AA67" s="5">
        <f t="shared" si="4"/>
        <v>0</v>
      </c>
      <c r="AB67" s="5">
        <f t="shared" si="4"/>
        <v>0</v>
      </c>
      <c r="AC67" s="5">
        <f t="shared" si="4"/>
        <v>0</v>
      </c>
      <c r="AD67" s="5">
        <f t="shared" si="4"/>
        <v>0</v>
      </c>
      <c r="AE67" s="5">
        <f t="shared" si="4"/>
        <v>0</v>
      </c>
      <c r="AF67" s="5">
        <f t="shared" si="4"/>
        <v>0</v>
      </c>
      <c r="AG67" s="5">
        <f t="shared" si="4"/>
        <v>0</v>
      </c>
      <c r="AH67" s="5">
        <f t="shared" si="4"/>
        <v>0</v>
      </c>
      <c r="AI67" s="5">
        <f t="shared" si="4"/>
        <v>0</v>
      </c>
      <c r="AJ67" s="5">
        <f t="shared" si="4"/>
        <v>0</v>
      </c>
      <c r="AK67" s="5">
        <f t="shared" si="4"/>
        <v>0</v>
      </c>
      <c r="AL67" s="5">
        <f t="shared" si="4"/>
        <v>0</v>
      </c>
      <c r="AM67" s="5">
        <f t="shared" si="4"/>
        <v>0</v>
      </c>
      <c r="AN67" s="5">
        <f t="shared" si="4"/>
        <v>0</v>
      </c>
      <c r="AO67" s="5">
        <f t="shared" si="4"/>
        <v>0</v>
      </c>
      <c r="AP67" s="5">
        <f t="shared" si="4"/>
        <v>0</v>
      </c>
      <c r="AQ67" s="5">
        <f t="shared" si="4"/>
        <v>0</v>
      </c>
      <c r="AR67" s="5">
        <f t="shared" si="4"/>
        <v>0</v>
      </c>
      <c r="AS67" s="5">
        <f t="shared" si="4"/>
        <v>0</v>
      </c>
      <c r="AT67" s="5">
        <f t="shared" si="4"/>
        <v>0</v>
      </c>
      <c r="AU67" s="5">
        <f t="shared" si="4"/>
        <v>0</v>
      </c>
      <c r="AV67" s="5">
        <f t="shared" si="4"/>
        <v>0</v>
      </c>
      <c r="AW67" s="5">
        <f t="shared" si="4"/>
        <v>0</v>
      </c>
      <c r="AX67" s="5">
        <f t="shared" si="4"/>
        <v>0</v>
      </c>
      <c r="AY67" s="5">
        <f t="shared" si="4"/>
        <v>0</v>
      </c>
      <c r="AZ67" s="5">
        <f t="shared" si="4"/>
        <v>0</v>
      </c>
      <c r="BA67" s="5">
        <f t="shared" si="4"/>
        <v>0</v>
      </c>
      <c r="BB67" s="5">
        <f t="shared" si="4"/>
        <v>0</v>
      </c>
      <c r="BC67" s="5">
        <f t="shared" si="4"/>
        <v>0</v>
      </c>
      <c r="BD67" s="5">
        <f t="shared" si="4"/>
        <v>0</v>
      </c>
      <c r="BE67" s="5">
        <f t="shared" si="4"/>
        <v>0</v>
      </c>
      <c r="BF67" s="5">
        <f t="shared" si="4"/>
        <v>0</v>
      </c>
      <c r="BG67" s="5">
        <f t="shared" si="4"/>
        <v>0</v>
      </c>
    </row>
    <row r="68" spans="1:59" ht="24.75" customHeight="1">
      <c r="A68" s="122" t="s">
        <v>5</v>
      </c>
      <c r="B68" s="122"/>
      <c r="C68" s="122"/>
      <c r="D68" s="122"/>
      <c r="E68" s="122"/>
      <c r="F68" s="122"/>
      <c r="G68" s="122"/>
      <c r="H68" s="122"/>
      <c r="I68" s="122"/>
      <c r="J68" s="30">
        <f>J47+J67+J54</f>
        <v>26288</v>
      </c>
      <c r="K68" s="54">
        <f>K47+K54+K67</f>
        <v>1283</v>
      </c>
      <c r="L68" s="54">
        <f>L47+L54+L67</f>
        <v>1151</v>
      </c>
      <c r="M68" s="54">
        <f>M47+M54+M67</f>
        <v>521</v>
      </c>
      <c r="N68" s="32">
        <f>O68/L68</f>
        <v>0.54735013032145963</v>
      </c>
      <c r="O68" s="54">
        <f>O47+O54+O67</f>
        <v>630</v>
      </c>
      <c r="P68" s="54">
        <f>P47+P54+P67</f>
        <v>1216</v>
      </c>
      <c r="Q68" s="54">
        <f>Q47+Q54+Q67</f>
        <v>2112</v>
      </c>
      <c r="R68" s="54"/>
      <c r="S68" s="54">
        <f t="shared" ref="S68:BG68" si="5">S47+S54+S67</f>
        <v>105</v>
      </c>
      <c r="T68" s="54">
        <f t="shared" si="5"/>
        <v>77</v>
      </c>
      <c r="U68" s="54">
        <f t="shared" si="5"/>
        <v>26</v>
      </c>
      <c r="V68" s="54">
        <f t="shared" si="5"/>
        <v>0</v>
      </c>
      <c r="W68" s="54">
        <f t="shared" si="5"/>
        <v>0</v>
      </c>
      <c r="X68" s="54">
        <f t="shared" si="5"/>
        <v>22</v>
      </c>
      <c r="Y68" s="54">
        <f t="shared" si="5"/>
        <v>7</v>
      </c>
      <c r="Z68" s="54">
        <f t="shared" si="5"/>
        <v>0</v>
      </c>
      <c r="AA68" s="54">
        <f t="shared" si="5"/>
        <v>0</v>
      </c>
      <c r="AB68" s="54">
        <f t="shared" si="5"/>
        <v>0</v>
      </c>
      <c r="AC68" s="54">
        <f t="shared" si="5"/>
        <v>102</v>
      </c>
      <c r="AD68" s="54">
        <f t="shared" si="5"/>
        <v>5</v>
      </c>
      <c r="AE68" s="54">
        <f t="shared" si="5"/>
        <v>63</v>
      </c>
      <c r="AF68" s="54">
        <f t="shared" si="5"/>
        <v>24</v>
      </c>
      <c r="AG68" s="54">
        <f t="shared" si="5"/>
        <v>35</v>
      </c>
      <c r="AH68" s="54">
        <f t="shared" si="5"/>
        <v>87</v>
      </c>
      <c r="AI68" s="54">
        <f t="shared" si="5"/>
        <v>0</v>
      </c>
      <c r="AJ68" s="54">
        <f t="shared" si="5"/>
        <v>6</v>
      </c>
      <c r="AK68" s="54">
        <f t="shared" si="5"/>
        <v>0</v>
      </c>
      <c r="AL68" s="54">
        <f t="shared" si="5"/>
        <v>71</v>
      </c>
      <c r="AM68" s="54">
        <f t="shared" si="5"/>
        <v>0</v>
      </c>
      <c r="AN68" s="54">
        <f t="shared" si="5"/>
        <v>0</v>
      </c>
      <c r="AO68" s="54">
        <f t="shared" si="5"/>
        <v>0</v>
      </c>
      <c r="AP68" s="54">
        <f t="shared" si="5"/>
        <v>0</v>
      </c>
      <c r="AQ68" s="54">
        <f t="shared" si="5"/>
        <v>0</v>
      </c>
      <c r="AR68" s="54">
        <f t="shared" si="5"/>
        <v>0</v>
      </c>
      <c r="AS68" s="54">
        <f t="shared" si="5"/>
        <v>0</v>
      </c>
      <c r="AT68" s="54">
        <f t="shared" si="5"/>
        <v>0</v>
      </c>
      <c r="AU68" s="54">
        <f t="shared" si="5"/>
        <v>0</v>
      </c>
      <c r="AV68" s="54">
        <f t="shared" si="5"/>
        <v>0</v>
      </c>
      <c r="AW68" s="54">
        <f t="shared" si="5"/>
        <v>0</v>
      </c>
      <c r="AX68" s="54">
        <f t="shared" si="5"/>
        <v>0</v>
      </c>
      <c r="AY68" s="54">
        <f t="shared" si="5"/>
        <v>0</v>
      </c>
      <c r="AZ68" s="54">
        <f t="shared" si="5"/>
        <v>0</v>
      </c>
      <c r="BA68" s="54">
        <f t="shared" si="5"/>
        <v>0</v>
      </c>
      <c r="BB68" s="54">
        <f t="shared" si="5"/>
        <v>0</v>
      </c>
      <c r="BC68" s="54">
        <f t="shared" si="5"/>
        <v>0</v>
      </c>
      <c r="BD68" s="54">
        <f t="shared" si="5"/>
        <v>0</v>
      </c>
      <c r="BE68" s="54">
        <f t="shared" si="5"/>
        <v>0</v>
      </c>
      <c r="BF68" s="54">
        <f t="shared" si="5"/>
        <v>0</v>
      </c>
      <c r="BG68" s="54">
        <f t="shared" si="5"/>
        <v>0</v>
      </c>
    </row>
    <row r="69" spans="1:59" ht="31.8">
      <c r="A69" s="81" t="s">
        <v>36</v>
      </c>
      <c r="B69" s="81"/>
      <c r="C69" s="81"/>
      <c r="D69" s="81"/>
      <c r="E69" s="81"/>
      <c r="F69" s="81"/>
      <c r="G69" s="81"/>
      <c r="H69" s="81"/>
      <c r="I69" s="81"/>
      <c r="J69" s="81"/>
      <c r="K69" s="81"/>
      <c r="L69" s="81"/>
      <c r="M69" s="81"/>
      <c r="N69" s="81"/>
      <c r="O69" s="81"/>
      <c r="P69" s="24"/>
      <c r="Q69" s="24"/>
      <c r="R69" s="24"/>
      <c r="AM69" s="34"/>
      <c r="AN69" s="34"/>
      <c r="AO69" s="34"/>
      <c r="AP69" s="34"/>
      <c r="AQ69" s="34"/>
      <c r="AR69" s="34"/>
      <c r="AS69" s="34"/>
      <c r="AT69" s="34"/>
      <c r="AU69" s="34"/>
      <c r="AV69" s="34"/>
      <c r="AW69" s="34"/>
      <c r="AX69" s="34"/>
      <c r="AY69" s="34"/>
      <c r="AZ69" s="34"/>
      <c r="BA69" s="34"/>
      <c r="BB69" s="34"/>
      <c r="BC69" s="34"/>
      <c r="BD69" s="34"/>
      <c r="BE69" s="34"/>
      <c r="BF69" s="34"/>
      <c r="BG69" s="34"/>
    </row>
    <row r="70" spans="1:59" ht="33.75" customHeight="1">
      <c r="A70" s="82" t="s">
        <v>13</v>
      </c>
      <c r="B70" s="82"/>
      <c r="C70" s="82"/>
      <c r="D70" s="82"/>
      <c r="E70" s="82"/>
      <c r="F70" s="82"/>
      <c r="G70" s="82"/>
      <c r="H70" s="82"/>
      <c r="I70" s="82"/>
      <c r="J70" s="82"/>
      <c r="K70" s="82"/>
      <c r="L70" s="82"/>
      <c r="M70" s="82"/>
      <c r="N70" s="82"/>
      <c r="O70" s="82"/>
      <c r="AM70" s="34"/>
      <c r="AN70" s="34"/>
      <c r="AO70" s="34"/>
      <c r="AP70" s="34"/>
      <c r="AQ70" s="34"/>
      <c r="AR70" s="34"/>
      <c r="AS70" s="34"/>
      <c r="AT70" s="34"/>
      <c r="AU70" s="34"/>
      <c r="AV70" s="34"/>
      <c r="AW70" s="34"/>
      <c r="AX70" s="34"/>
      <c r="AY70" s="34"/>
      <c r="AZ70" s="34"/>
      <c r="BA70" s="34"/>
      <c r="BB70" s="34"/>
      <c r="BC70" s="34"/>
      <c r="BD70" s="34"/>
      <c r="BE70" s="34"/>
      <c r="BF70" s="34"/>
      <c r="BG70" s="34"/>
    </row>
    <row r="71" spans="1:59" ht="62.4">
      <c r="A71" s="9" t="s">
        <v>0</v>
      </c>
      <c r="B71" s="10" t="s">
        <v>34</v>
      </c>
      <c r="C71" s="11" t="s">
        <v>7</v>
      </c>
      <c r="D71" s="12" t="s">
        <v>1</v>
      </c>
      <c r="E71" s="13" t="s">
        <v>4</v>
      </c>
      <c r="F71" s="13" t="s">
        <v>2</v>
      </c>
      <c r="G71" s="13" t="s">
        <v>3</v>
      </c>
      <c r="H71" s="11" t="s">
        <v>6</v>
      </c>
      <c r="I71" s="14" t="s">
        <v>8</v>
      </c>
      <c r="J71" s="14" t="s">
        <v>17</v>
      </c>
      <c r="K71" s="12" t="s">
        <v>9</v>
      </c>
      <c r="L71" s="15" t="s">
        <v>10</v>
      </c>
      <c r="M71" s="15" t="s">
        <v>11</v>
      </c>
      <c r="N71" s="15" t="s">
        <v>12</v>
      </c>
      <c r="O71" s="15" t="s">
        <v>14</v>
      </c>
      <c r="P71" s="26" t="s">
        <v>16</v>
      </c>
      <c r="Q71" s="15" t="s">
        <v>42</v>
      </c>
      <c r="R71" s="15" t="s">
        <v>44</v>
      </c>
      <c r="S71" s="83">
        <v>101</v>
      </c>
      <c r="T71" s="83">
        <v>102</v>
      </c>
      <c r="U71" s="80">
        <v>106</v>
      </c>
      <c r="V71" s="80">
        <v>108</v>
      </c>
      <c r="W71" s="80">
        <v>109</v>
      </c>
      <c r="X71" s="80">
        <v>113</v>
      </c>
      <c r="Y71" s="80">
        <v>114</v>
      </c>
      <c r="Z71" s="80">
        <v>115</v>
      </c>
      <c r="AA71" s="80">
        <v>116</v>
      </c>
      <c r="AB71" s="80">
        <v>199</v>
      </c>
      <c r="AC71" s="80">
        <v>201</v>
      </c>
      <c r="AD71" s="80">
        <v>202</v>
      </c>
      <c r="AE71" s="80">
        <v>203</v>
      </c>
      <c r="AF71" s="80">
        <v>205</v>
      </c>
      <c r="AG71" s="80">
        <v>206</v>
      </c>
      <c r="AH71" s="79">
        <v>209</v>
      </c>
      <c r="AI71" s="79">
        <v>212</v>
      </c>
      <c r="AJ71" s="79">
        <v>216</v>
      </c>
      <c r="AK71" s="79">
        <v>217</v>
      </c>
      <c r="AL71" s="79">
        <v>299</v>
      </c>
      <c r="AM71" s="79">
        <v>301</v>
      </c>
      <c r="AN71" s="79">
        <v>302</v>
      </c>
      <c r="AO71" s="79">
        <v>399</v>
      </c>
      <c r="AP71" s="79">
        <v>401</v>
      </c>
      <c r="AQ71" s="79">
        <v>402</v>
      </c>
      <c r="AR71" s="79">
        <v>411</v>
      </c>
      <c r="AS71" s="79">
        <v>412</v>
      </c>
      <c r="AT71" s="79">
        <v>413</v>
      </c>
      <c r="AU71" s="79">
        <v>499</v>
      </c>
      <c r="AV71" s="79">
        <v>501</v>
      </c>
      <c r="AW71" s="79">
        <v>502</v>
      </c>
      <c r="AX71" s="79">
        <v>599</v>
      </c>
      <c r="AY71" s="79">
        <v>604</v>
      </c>
      <c r="AZ71" s="79">
        <v>605</v>
      </c>
      <c r="BA71" s="79">
        <v>699</v>
      </c>
      <c r="BB71" s="79">
        <v>701</v>
      </c>
      <c r="BC71" s="79">
        <v>702</v>
      </c>
      <c r="BD71" s="79">
        <v>703</v>
      </c>
      <c r="BE71" s="79">
        <v>704</v>
      </c>
      <c r="BF71" s="79">
        <v>799</v>
      </c>
      <c r="BG71" s="84">
        <v>999</v>
      </c>
    </row>
    <row r="72" spans="1:59" ht="62.25" customHeight="1">
      <c r="A72" s="10" t="s">
        <v>18</v>
      </c>
      <c r="B72" s="10" t="s">
        <v>19</v>
      </c>
      <c r="C72" s="13" t="s">
        <v>20</v>
      </c>
      <c r="D72" s="12" t="s">
        <v>21</v>
      </c>
      <c r="E72" s="13" t="s">
        <v>22</v>
      </c>
      <c r="F72" s="13" t="s">
        <v>23</v>
      </c>
      <c r="G72" s="13" t="s">
        <v>25</v>
      </c>
      <c r="H72" s="13" t="s">
        <v>24</v>
      </c>
      <c r="I72" s="14" t="s">
        <v>26</v>
      </c>
      <c r="J72" s="14" t="s">
        <v>27</v>
      </c>
      <c r="K72" s="15" t="s">
        <v>28</v>
      </c>
      <c r="L72" s="15" t="s">
        <v>29</v>
      </c>
      <c r="M72" s="15" t="s">
        <v>30</v>
      </c>
      <c r="N72" s="15" t="s">
        <v>32</v>
      </c>
      <c r="O72" s="15" t="s">
        <v>31</v>
      </c>
      <c r="P72" s="26" t="s">
        <v>33</v>
      </c>
      <c r="Q72" s="15" t="s">
        <v>43</v>
      </c>
      <c r="R72" s="15" t="s">
        <v>45</v>
      </c>
      <c r="S72" s="83"/>
      <c r="T72" s="83"/>
      <c r="U72" s="80"/>
      <c r="V72" s="80"/>
      <c r="W72" s="80"/>
      <c r="X72" s="80"/>
      <c r="Y72" s="80"/>
      <c r="Z72" s="80"/>
      <c r="AA72" s="80"/>
      <c r="AB72" s="80"/>
      <c r="AC72" s="80"/>
      <c r="AD72" s="80"/>
      <c r="AE72" s="80"/>
      <c r="AF72" s="80"/>
      <c r="AG72" s="80"/>
      <c r="AH72" s="79"/>
      <c r="AI72" s="79"/>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84"/>
    </row>
    <row r="73" spans="1:59" s="17" customFormat="1" ht="15.75" hidden="1" customHeight="1">
      <c r="A73" s="108"/>
      <c r="B73" s="87"/>
      <c r="C73" s="89"/>
      <c r="D73" s="91"/>
      <c r="E73" s="89"/>
      <c r="F73" s="89"/>
      <c r="G73" s="93"/>
      <c r="H73" s="89"/>
      <c r="I73" s="89"/>
      <c r="J73" s="89"/>
      <c r="K73" s="20"/>
      <c r="L73" s="20"/>
      <c r="M73" s="20"/>
      <c r="N73" s="146" t="e">
        <f>O74/L74</f>
        <v>#DIV/0!</v>
      </c>
      <c r="O73" s="21">
        <f t="shared" ref="O73:O78" si="6">L73-M73</f>
        <v>0</v>
      </c>
      <c r="P73" s="27"/>
      <c r="Q73" s="99">
        <f>+L74-P74</f>
        <v>0</v>
      </c>
      <c r="R73" s="108"/>
      <c r="S73" s="149"/>
      <c r="T73" s="149"/>
      <c r="U73" s="149"/>
      <c r="V73" s="149"/>
      <c r="W73" s="149"/>
      <c r="X73" s="149"/>
      <c r="Y73" s="149"/>
      <c r="Z73" s="149"/>
      <c r="AA73" s="149"/>
      <c r="AB73" s="149"/>
      <c r="AC73" s="149"/>
      <c r="AD73" s="149"/>
      <c r="AE73" s="149"/>
      <c r="AF73" s="149"/>
      <c r="AG73" s="149"/>
      <c r="AH73" s="149"/>
      <c r="AI73" s="149"/>
      <c r="AJ73" s="149"/>
      <c r="AK73" s="149"/>
      <c r="AL73" s="149"/>
      <c r="AM73" s="163"/>
      <c r="AN73" s="163"/>
      <c r="AO73" s="163"/>
      <c r="AP73" s="163"/>
      <c r="AQ73" s="163"/>
      <c r="AR73" s="163"/>
      <c r="AS73" s="163"/>
      <c r="AT73" s="163"/>
      <c r="AU73" s="163"/>
      <c r="AV73" s="163"/>
      <c r="AW73" s="163"/>
      <c r="AX73" s="163"/>
      <c r="AY73" s="167"/>
      <c r="AZ73" s="167"/>
      <c r="BA73" s="167"/>
      <c r="BB73" s="167"/>
      <c r="BC73" s="167"/>
      <c r="BD73" s="161"/>
      <c r="BE73" s="163"/>
      <c r="BF73" s="165"/>
      <c r="BG73" s="165"/>
    </row>
    <row r="74" spans="1:59" s="17" customFormat="1" ht="15.75" hidden="1" customHeight="1">
      <c r="A74" s="85"/>
      <c r="B74" s="88"/>
      <c r="C74" s="90"/>
      <c r="D74" s="92"/>
      <c r="E74" s="90"/>
      <c r="F74" s="90"/>
      <c r="G74" s="94"/>
      <c r="H74" s="90"/>
      <c r="I74" s="90"/>
      <c r="J74" s="90"/>
      <c r="K74" s="22"/>
      <c r="L74" s="18"/>
      <c r="M74" s="18"/>
      <c r="N74" s="147"/>
      <c r="O74" s="19">
        <f t="shared" si="6"/>
        <v>0</v>
      </c>
      <c r="P74" s="22"/>
      <c r="Q74" s="100"/>
      <c r="R74" s="85"/>
      <c r="S74" s="150"/>
      <c r="T74" s="150"/>
      <c r="U74" s="150"/>
      <c r="V74" s="150"/>
      <c r="W74" s="150"/>
      <c r="X74" s="150"/>
      <c r="Y74" s="150"/>
      <c r="Z74" s="150"/>
      <c r="AA74" s="150"/>
      <c r="AB74" s="150"/>
      <c r="AC74" s="150"/>
      <c r="AD74" s="150"/>
      <c r="AE74" s="150"/>
      <c r="AF74" s="150"/>
      <c r="AG74" s="150"/>
      <c r="AH74" s="150"/>
      <c r="AI74" s="150"/>
      <c r="AJ74" s="150"/>
      <c r="AK74" s="150"/>
      <c r="AL74" s="150"/>
      <c r="AM74" s="164"/>
      <c r="AN74" s="164"/>
      <c r="AO74" s="164"/>
      <c r="AP74" s="164"/>
      <c r="AQ74" s="164"/>
      <c r="AR74" s="164"/>
      <c r="AS74" s="164"/>
      <c r="AT74" s="164"/>
      <c r="AU74" s="164"/>
      <c r="AV74" s="164"/>
      <c r="AW74" s="164"/>
      <c r="AX74" s="164"/>
      <c r="AY74" s="168"/>
      <c r="AZ74" s="168"/>
      <c r="BA74" s="168"/>
      <c r="BB74" s="168"/>
      <c r="BC74" s="168"/>
      <c r="BD74" s="162"/>
      <c r="BE74" s="164"/>
      <c r="BF74" s="166"/>
      <c r="BG74" s="166"/>
    </row>
    <row r="75" spans="1:59" s="17" customFormat="1" ht="18" customHeight="1">
      <c r="A75" s="108">
        <v>45275</v>
      </c>
      <c r="B75" s="138" t="s">
        <v>37</v>
      </c>
      <c r="C75" s="90" t="s">
        <v>56</v>
      </c>
      <c r="D75" s="91" t="s">
        <v>38</v>
      </c>
      <c r="E75" s="89">
        <v>84217</v>
      </c>
      <c r="F75" s="89" t="s">
        <v>49</v>
      </c>
      <c r="G75" s="137" t="s">
        <v>61</v>
      </c>
      <c r="H75" s="95" t="s">
        <v>39</v>
      </c>
      <c r="I75" s="90">
        <v>4497</v>
      </c>
      <c r="J75" s="90">
        <v>4097</v>
      </c>
      <c r="K75" s="20">
        <v>60</v>
      </c>
      <c r="L75" s="20">
        <f>240+50</f>
        <v>290</v>
      </c>
      <c r="M75" s="20">
        <v>50</v>
      </c>
      <c r="N75" s="97">
        <f>O76/L76</f>
        <v>0.61753086419753089</v>
      </c>
      <c r="O75" s="21">
        <f t="shared" si="6"/>
        <v>240</v>
      </c>
      <c r="P75" s="27">
        <f>60+280</f>
        <v>340</v>
      </c>
      <c r="Q75" s="99">
        <f>+L76-P76</f>
        <v>472</v>
      </c>
      <c r="R75" s="85"/>
      <c r="S75" s="96">
        <v>24</v>
      </c>
      <c r="T75" s="96">
        <v>30</v>
      </c>
      <c r="U75" s="96">
        <v>60</v>
      </c>
      <c r="V75" s="96"/>
      <c r="W75" s="96"/>
      <c r="X75" s="96"/>
      <c r="Y75" s="96"/>
      <c r="Z75" s="96"/>
      <c r="AA75" s="96"/>
      <c r="AB75" s="96"/>
      <c r="AC75" s="96">
        <f>35+13</f>
        <v>48</v>
      </c>
      <c r="AD75" s="96"/>
      <c r="AE75" s="96">
        <v>13</v>
      </c>
      <c r="AF75" s="96">
        <v>17</v>
      </c>
      <c r="AG75" s="96"/>
      <c r="AH75" s="96">
        <v>18</v>
      </c>
      <c r="AI75" s="96"/>
      <c r="AJ75" s="96"/>
      <c r="AK75" s="96"/>
      <c r="AL75" s="96">
        <v>30</v>
      </c>
      <c r="AM75" s="103"/>
      <c r="AN75" s="103"/>
      <c r="AO75" s="103"/>
      <c r="AP75" s="103"/>
      <c r="AQ75" s="103"/>
      <c r="AR75" s="103"/>
      <c r="AS75" s="103"/>
      <c r="AT75" s="103"/>
      <c r="AU75" s="103"/>
      <c r="AV75" s="103"/>
      <c r="AW75" s="103"/>
      <c r="AX75" s="103"/>
      <c r="AY75" s="106"/>
      <c r="AZ75" s="106"/>
      <c r="BA75" s="106"/>
      <c r="BB75" s="106"/>
      <c r="BC75" s="106"/>
      <c r="BD75" s="106"/>
      <c r="BE75" s="103"/>
      <c r="BF75" s="104"/>
      <c r="BG75" s="104"/>
    </row>
    <row r="76" spans="1:59" s="17" customFormat="1" ht="17.25" customHeight="1">
      <c r="A76" s="85"/>
      <c r="B76" s="139"/>
      <c r="C76" s="95"/>
      <c r="D76" s="92"/>
      <c r="E76" s="90"/>
      <c r="F76" s="90"/>
      <c r="G76" s="95"/>
      <c r="H76" s="95"/>
      <c r="I76" s="95"/>
      <c r="J76" s="95"/>
      <c r="K76" s="18">
        <f>260+160+50+100+100+240+349+166+150+60+120+30+30+230+80+125+115+200+209+115+50+371+435+245+60</f>
        <v>4050</v>
      </c>
      <c r="L76" s="18">
        <f>260+160+50+100+140+100+240+150+60+370+60+150+75+245+185+200+450+375+390+290</f>
        <v>4050</v>
      </c>
      <c r="M76" s="18">
        <f>120+55+27+40+30+60+87+45+34+74+40+100+40+75+74+73+199+146+180+50</f>
        <v>1549</v>
      </c>
      <c r="N76" s="98"/>
      <c r="O76" s="19">
        <f t="shared" si="6"/>
        <v>2501</v>
      </c>
      <c r="P76" s="22">
        <f>170+70+15+112+30+30+83+50+100+127+218+53+42+60+34+200+66+100+130+190+144+20+151+307+424+312+340</f>
        <v>3578</v>
      </c>
      <c r="Q76" s="100"/>
      <c r="R76" s="86"/>
      <c r="S76" s="96"/>
      <c r="T76" s="96"/>
      <c r="U76" s="96"/>
      <c r="V76" s="96"/>
      <c r="W76" s="96"/>
      <c r="X76" s="96"/>
      <c r="Y76" s="96"/>
      <c r="Z76" s="96"/>
      <c r="AA76" s="96"/>
      <c r="AB76" s="96"/>
      <c r="AC76" s="96"/>
      <c r="AD76" s="96"/>
      <c r="AE76" s="96"/>
      <c r="AF76" s="96"/>
      <c r="AG76" s="96"/>
      <c r="AH76" s="96"/>
      <c r="AI76" s="96"/>
      <c r="AJ76" s="96"/>
      <c r="AK76" s="96"/>
      <c r="AL76" s="96"/>
      <c r="AM76" s="103"/>
      <c r="AN76" s="103"/>
      <c r="AO76" s="103"/>
      <c r="AP76" s="103"/>
      <c r="AQ76" s="103"/>
      <c r="AR76" s="103"/>
      <c r="AS76" s="103"/>
      <c r="AT76" s="103"/>
      <c r="AU76" s="103"/>
      <c r="AV76" s="103"/>
      <c r="AW76" s="103"/>
      <c r="AX76" s="103"/>
      <c r="AY76" s="107"/>
      <c r="AZ76" s="107"/>
      <c r="BA76" s="107"/>
      <c r="BB76" s="107"/>
      <c r="BC76" s="107"/>
      <c r="BD76" s="107"/>
      <c r="BE76" s="103"/>
      <c r="BF76" s="105"/>
      <c r="BG76" s="105"/>
    </row>
    <row r="77" spans="1:59" s="17" customFormat="1" ht="18" hidden="1" customHeight="1">
      <c r="A77" s="101">
        <v>45217</v>
      </c>
      <c r="B77" s="132" t="s">
        <v>37</v>
      </c>
      <c r="C77" s="117"/>
      <c r="D77" s="118" t="s">
        <v>38</v>
      </c>
      <c r="E77" s="116">
        <v>84217</v>
      </c>
      <c r="F77" s="116" t="s">
        <v>49</v>
      </c>
      <c r="G77" s="141"/>
      <c r="H77" s="95"/>
      <c r="I77" s="90"/>
      <c r="J77" s="90"/>
      <c r="K77" s="20"/>
      <c r="L77" s="20"/>
      <c r="M77" s="20"/>
      <c r="N77" s="143" t="e">
        <f>O78/L78</f>
        <v>#DIV/0!</v>
      </c>
      <c r="O77" s="21">
        <f t="shared" si="6"/>
        <v>0</v>
      </c>
      <c r="P77" s="27"/>
      <c r="Q77" s="99">
        <f>+L78-P78</f>
        <v>0</v>
      </c>
      <c r="R77" s="101">
        <v>45023</v>
      </c>
      <c r="S77" s="96"/>
      <c r="T77" s="96"/>
      <c r="U77" s="96"/>
      <c r="V77" s="96"/>
      <c r="W77" s="96"/>
      <c r="X77" s="96"/>
      <c r="Y77" s="96"/>
      <c r="Z77" s="96"/>
      <c r="AA77" s="96"/>
      <c r="AB77" s="96"/>
      <c r="AC77" s="140"/>
      <c r="AD77" s="96"/>
      <c r="AE77" s="96"/>
      <c r="AF77" s="96"/>
      <c r="AG77" s="96"/>
      <c r="AH77" s="96"/>
      <c r="AI77" s="96"/>
      <c r="AJ77" s="96"/>
      <c r="AK77" s="96"/>
      <c r="AL77" s="96"/>
      <c r="AM77" s="96"/>
      <c r="AN77" s="96"/>
      <c r="AO77" s="96"/>
      <c r="AP77" s="96"/>
      <c r="AQ77" s="96"/>
      <c r="AR77" s="96"/>
      <c r="AS77" s="96"/>
      <c r="AT77" s="96"/>
      <c r="AU77" s="96"/>
      <c r="AV77" s="96"/>
      <c r="AW77" s="96"/>
      <c r="AX77" s="96"/>
      <c r="AY77" s="124"/>
      <c r="AZ77" s="123"/>
      <c r="BA77" s="123"/>
      <c r="BB77" s="123"/>
      <c r="BC77" s="123"/>
      <c r="BD77" s="123"/>
      <c r="BE77" s="123"/>
      <c r="BF77" s="123"/>
      <c r="BG77" s="123"/>
    </row>
    <row r="78" spans="1:59" s="17" customFormat="1" ht="17.25" hidden="1" customHeight="1">
      <c r="A78" s="102"/>
      <c r="B78" s="145"/>
      <c r="C78" s="142"/>
      <c r="D78" s="119"/>
      <c r="E78" s="117"/>
      <c r="F78" s="117"/>
      <c r="G78" s="142"/>
      <c r="H78" s="95"/>
      <c r="I78" s="95"/>
      <c r="J78" s="95"/>
      <c r="K78" s="3"/>
      <c r="L78" s="3"/>
      <c r="M78" s="3"/>
      <c r="N78" s="144"/>
      <c r="O78" s="7">
        <f t="shared" si="6"/>
        <v>0</v>
      </c>
      <c r="P78" s="28"/>
      <c r="Q78" s="100"/>
      <c r="R78" s="102"/>
      <c r="S78" s="96"/>
      <c r="T78" s="96"/>
      <c r="U78" s="96"/>
      <c r="V78" s="96"/>
      <c r="W78" s="96"/>
      <c r="X78" s="96"/>
      <c r="Y78" s="96"/>
      <c r="Z78" s="96"/>
      <c r="AA78" s="96"/>
      <c r="AB78" s="96"/>
      <c r="AC78" s="140"/>
      <c r="AD78" s="96"/>
      <c r="AE78" s="96"/>
      <c r="AF78" s="96"/>
      <c r="AG78" s="96"/>
      <c r="AH78" s="96"/>
      <c r="AI78" s="96"/>
      <c r="AJ78" s="96"/>
      <c r="AK78" s="96"/>
      <c r="AL78" s="96"/>
      <c r="AM78" s="96"/>
      <c r="AN78" s="96"/>
      <c r="AO78" s="96"/>
      <c r="AP78" s="96"/>
      <c r="AQ78" s="96"/>
      <c r="AR78" s="96"/>
      <c r="AS78" s="96"/>
      <c r="AT78" s="96"/>
      <c r="AU78" s="96"/>
      <c r="AV78" s="96"/>
      <c r="AW78" s="96"/>
      <c r="AX78" s="96"/>
      <c r="AY78" s="124"/>
      <c r="AZ78" s="124"/>
      <c r="BA78" s="124"/>
      <c r="BB78" s="124"/>
      <c r="BC78" s="124"/>
      <c r="BD78" s="124"/>
      <c r="BE78" s="124"/>
      <c r="BF78" s="124"/>
      <c r="BG78" s="124"/>
    </row>
    <row r="79" spans="1:59" ht="24.75" customHeight="1">
      <c r="A79" s="111" t="s">
        <v>15</v>
      </c>
      <c r="B79" s="112"/>
      <c r="C79" s="112"/>
      <c r="D79" s="112"/>
      <c r="E79" s="112"/>
      <c r="F79" s="112"/>
      <c r="G79" s="112"/>
      <c r="H79" s="112"/>
      <c r="I79" s="113"/>
      <c r="J79" s="5">
        <f>SUM(J73:J78)</f>
        <v>4097</v>
      </c>
      <c r="K79" s="5">
        <f>+K73++K75</f>
        <v>60</v>
      </c>
      <c r="L79" s="5">
        <f>+SUMPRODUCT(((MOD(ROW(L73:L78),2)=1)*(L73:L78)))</f>
        <v>290</v>
      </c>
      <c r="M79" s="5">
        <f>+SUMPRODUCT(((MOD(ROW(M73:M78),2)=1)*(M73:M78)))</f>
        <v>50</v>
      </c>
      <c r="N79" s="23">
        <f>O79/L79</f>
        <v>0.82758620689655171</v>
      </c>
      <c r="O79" s="5">
        <f>+SUMPRODUCT(((MOD(ROW(O73:O78),2)=1)*(O73:O78)))</f>
        <v>240</v>
      </c>
      <c r="P79" s="5">
        <f>+SUMPRODUCT(((MOD(ROW(P73:P78),2)=1)*(P73:P78)))</f>
        <v>340</v>
      </c>
      <c r="Q79" s="5">
        <f>+SUMPRODUCT(((MOD(ROW(Q73:Q78),2)=1)*(Q73:Q78)))</f>
        <v>472</v>
      </c>
      <c r="R79" s="5"/>
      <c r="S79" s="5">
        <f t="shared" ref="S79:BG79" si="7">SUM(S73:S78)</f>
        <v>24</v>
      </c>
      <c r="T79" s="5">
        <f t="shared" si="7"/>
        <v>30</v>
      </c>
      <c r="U79" s="5">
        <f t="shared" si="7"/>
        <v>60</v>
      </c>
      <c r="V79" s="5">
        <f t="shared" si="7"/>
        <v>0</v>
      </c>
      <c r="W79" s="5">
        <f t="shared" si="7"/>
        <v>0</v>
      </c>
      <c r="X79" s="5">
        <f t="shared" si="7"/>
        <v>0</v>
      </c>
      <c r="Y79" s="5">
        <f t="shared" si="7"/>
        <v>0</v>
      </c>
      <c r="Z79" s="5">
        <f t="shared" si="7"/>
        <v>0</v>
      </c>
      <c r="AA79" s="5">
        <f t="shared" si="7"/>
        <v>0</v>
      </c>
      <c r="AB79" s="5">
        <f t="shared" si="7"/>
        <v>0</v>
      </c>
      <c r="AC79" s="5">
        <f t="shared" si="7"/>
        <v>48</v>
      </c>
      <c r="AD79" s="5">
        <f t="shared" si="7"/>
        <v>0</v>
      </c>
      <c r="AE79" s="5">
        <f t="shared" si="7"/>
        <v>13</v>
      </c>
      <c r="AF79" s="5">
        <f t="shared" si="7"/>
        <v>17</v>
      </c>
      <c r="AG79" s="5">
        <f t="shared" si="7"/>
        <v>0</v>
      </c>
      <c r="AH79" s="5">
        <f t="shared" si="7"/>
        <v>18</v>
      </c>
      <c r="AI79" s="5">
        <f t="shared" si="7"/>
        <v>0</v>
      </c>
      <c r="AJ79" s="5">
        <f t="shared" si="7"/>
        <v>0</v>
      </c>
      <c r="AK79" s="5">
        <f t="shared" si="7"/>
        <v>0</v>
      </c>
      <c r="AL79" s="5">
        <f t="shared" si="7"/>
        <v>30</v>
      </c>
      <c r="AM79" s="5">
        <f t="shared" si="7"/>
        <v>0</v>
      </c>
      <c r="AN79" s="5">
        <f t="shared" si="7"/>
        <v>0</v>
      </c>
      <c r="AO79" s="5">
        <f t="shared" si="7"/>
        <v>0</v>
      </c>
      <c r="AP79" s="5">
        <f t="shared" si="7"/>
        <v>0</v>
      </c>
      <c r="AQ79" s="5">
        <f t="shared" si="7"/>
        <v>0</v>
      </c>
      <c r="AR79" s="5">
        <f t="shared" si="7"/>
        <v>0</v>
      </c>
      <c r="AS79" s="5">
        <f t="shared" si="7"/>
        <v>0</v>
      </c>
      <c r="AT79" s="5">
        <f t="shared" si="7"/>
        <v>0</v>
      </c>
      <c r="AU79" s="5">
        <f t="shared" si="7"/>
        <v>0</v>
      </c>
      <c r="AV79" s="5">
        <f t="shared" si="7"/>
        <v>0</v>
      </c>
      <c r="AW79" s="5">
        <f t="shared" si="7"/>
        <v>0</v>
      </c>
      <c r="AX79" s="5">
        <f t="shared" si="7"/>
        <v>0</v>
      </c>
      <c r="AY79" s="5">
        <f t="shared" si="7"/>
        <v>0</v>
      </c>
      <c r="AZ79" s="5">
        <f t="shared" si="7"/>
        <v>0</v>
      </c>
      <c r="BA79" s="5">
        <f t="shared" si="7"/>
        <v>0</v>
      </c>
      <c r="BB79" s="5">
        <f t="shared" si="7"/>
        <v>0</v>
      </c>
      <c r="BC79" s="5">
        <f t="shared" si="7"/>
        <v>0</v>
      </c>
      <c r="BD79" s="5">
        <f t="shared" si="7"/>
        <v>0</v>
      </c>
      <c r="BE79" s="5">
        <f t="shared" si="7"/>
        <v>0</v>
      </c>
      <c r="BF79" s="5">
        <f t="shared" si="7"/>
        <v>0</v>
      </c>
      <c r="BG79" s="5">
        <f t="shared" si="7"/>
        <v>0</v>
      </c>
    </row>
    <row r="80" spans="1:59" s="17" customFormat="1" ht="15.75" hidden="1" customHeight="1">
      <c r="A80" s="101"/>
      <c r="B80" s="114"/>
      <c r="C80" s="116"/>
      <c r="D80" s="118"/>
      <c r="E80" s="116"/>
      <c r="F80" s="116"/>
      <c r="G80" s="120"/>
      <c r="H80" s="151"/>
      <c r="I80" s="89"/>
      <c r="J80" s="89"/>
      <c r="K80" s="20"/>
      <c r="L80" s="20"/>
      <c r="M80" s="20"/>
      <c r="N80" s="146"/>
      <c r="O80" s="21"/>
      <c r="P80" s="27"/>
      <c r="Q80" s="99"/>
      <c r="R80" s="148"/>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52"/>
      <c r="AZ80" s="152"/>
      <c r="BA80" s="152"/>
      <c r="BB80" s="152"/>
      <c r="BC80" s="152"/>
      <c r="BD80" s="152"/>
      <c r="BE80" s="149"/>
      <c r="BF80" s="152"/>
      <c r="BG80" s="152"/>
    </row>
    <row r="81" spans="1:61" s="17" customFormat="1" ht="15.75" hidden="1" customHeight="1">
      <c r="A81" s="102"/>
      <c r="B81" s="115"/>
      <c r="C81" s="117"/>
      <c r="D81" s="119"/>
      <c r="E81" s="117"/>
      <c r="F81" s="117"/>
      <c r="G81" s="121"/>
      <c r="H81" s="90"/>
      <c r="I81" s="90"/>
      <c r="J81" s="90"/>
      <c r="K81" s="22"/>
      <c r="L81" s="18"/>
      <c r="M81" s="18"/>
      <c r="N81" s="147"/>
      <c r="O81" s="19"/>
      <c r="P81" s="22"/>
      <c r="Q81" s="100"/>
      <c r="R81" s="101"/>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3"/>
      <c r="AZ81" s="153"/>
      <c r="BA81" s="153"/>
      <c r="BB81" s="153"/>
      <c r="BC81" s="153"/>
      <c r="BD81" s="153"/>
      <c r="BE81" s="150"/>
      <c r="BF81" s="153"/>
      <c r="BG81" s="153"/>
    </row>
    <row r="82" spans="1:61" s="17" customFormat="1" ht="15.75" hidden="1" customHeight="1">
      <c r="A82" s="101"/>
      <c r="B82" s="114"/>
      <c r="C82" s="116"/>
      <c r="D82" s="118"/>
      <c r="E82" s="116"/>
      <c r="F82" s="116"/>
      <c r="G82" s="120"/>
      <c r="H82" s="151"/>
      <c r="I82" s="89"/>
      <c r="J82" s="89"/>
      <c r="K82" s="20"/>
      <c r="L82" s="20"/>
      <c r="M82" s="20"/>
      <c r="N82" s="146"/>
      <c r="O82" s="21"/>
      <c r="P82" s="27"/>
      <c r="Q82" s="99"/>
      <c r="R82" s="148"/>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52"/>
      <c r="AZ82" s="152"/>
      <c r="BA82" s="152"/>
      <c r="BB82" s="152"/>
      <c r="BC82" s="152"/>
      <c r="BD82" s="152"/>
      <c r="BE82" s="149"/>
      <c r="BF82" s="152"/>
      <c r="BG82" s="152"/>
    </row>
    <row r="83" spans="1:61" s="17" customFormat="1" ht="15.75" hidden="1" customHeight="1">
      <c r="A83" s="102"/>
      <c r="B83" s="115"/>
      <c r="C83" s="117"/>
      <c r="D83" s="119"/>
      <c r="E83" s="117"/>
      <c r="F83" s="117"/>
      <c r="G83" s="121"/>
      <c r="H83" s="90"/>
      <c r="I83" s="90"/>
      <c r="J83" s="90"/>
      <c r="K83" s="22"/>
      <c r="L83" s="18"/>
      <c r="M83" s="18"/>
      <c r="N83" s="147"/>
      <c r="O83" s="19"/>
      <c r="P83" s="22"/>
      <c r="Q83" s="100"/>
      <c r="R83" s="101"/>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3"/>
      <c r="AZ83" s="153"/>
      <c r="BA83" s="153"/>
      <c r="BB83" s="153"/>
      <c r="BC83" s="153"/>
      <c r="BD83" s="153"/>
      <c r="BE83" s="150"/>
      <c r="BF83" s="153"/>
      <c r="BG83" s="153"/>
    </row>
    <row r="84" spans="1:61" s="17" customFormat="1" ht="15.75" hidden="1" customHeight="1">
      <c r="A84" s="101"/>
      <c r="B84" s="114"/>
      <c r="C84" s="116"/>
      <c r="D84" s="118"/>
      <c r="E84" s="116"/>
      <c r="F84" s="116"/>
      <c r="G84" s="120"/>
      <c r="H84" s="109"/>
      <c r="I84" s="90"/>
      <c r="J84" s="90"/>
      <c r="K84" s="20"/>
      <c r="L84" s="20"/>
      <c r="M84" s="20"/>
      <c r="N84" s="97"/>
      <c r="O84" s="21"/>
      <c r="P84" s="27"/>
      <c r="Q84" s="99"/>
      <c r="R84" s="154"/>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1"/>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s="17" customFormat="1" ht="15.75" hidden="1" customHeight="1">
      <c r="A86" s="101"/>
      <c r="B86" s="114"/>
      <c r="C86" s="116"/>
      <c r="D86" s="118"/>
      <c r="E86" s="116"/>
      <c r="F86" s="116"/>
      <c r="G86" s="120"/>
      <c r="H86" s="109"/>
      <c r="I86" s="90"/>
      <c r="J86" s="90"/>
      <c r="K86" s="20"/>
      <c r="L86" s="20"/>
      <c r="M86" s="20"/>
      <c r="N86" s="97"/>
      <c r="O86" s="21"/>
      <c r="P86" s="27"/>
      <c r="Q86" s="99"/>
      <c r="R86" s="148"/>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1"/>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s="17" customFormat="1" ht="15.75" hidden="1" customHeight="1">
      <c r="A88" s="101">
        <v>45084</v>
      </c>
      <c r="B88" s="114" t="s">
        <v>37</v>
      </c>
      <c r="C88" s="116"/>
      <c r="D88" s="118"/>
      <c r="E88" s="116"/>
      <c r="F88" s="116"/>
      <c r="G88" s="120"/>
      <c r="H88" s="109"/>
      <c r="I88" s="90"/>
      <c r="J88" s="90"/>
      <c r="K88" s="20"/>
      <c r="L88" s="20"/>
      <c r="M88" s="20"/>
      <c r="N88" s="97" t="e">
        <f>O89/L89</f>
        <v>#DIV/0!</v>
      </c>
      <c r="O88" s="21"/>
      <c r="P88" s="27"/>
      <c r="Q88" s="99">
        <f>+L89-P89</f>
        <v>0</v>
      </c>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5"/>
      <c r="AZ88" s="155"/>
      <c r="BA88" s="155"/>
      <c r="BB88" s="155"/>
      <c r="BC88" s="155"/>
      <c r="BD88" s="155"/>
      <c r="BE88" s="96"/>
      <c r="BF88" s="155"/>
      <c r="BG88" s="155"/>
    </row>
    <row r="89" spans="1:61" s="17" customFormat="1" ht="15.75" hidden="1" customHeight="1">
      <c r="A89" s="102"/>
      <c r="B89" s="115"/>
      <c r="C89" s="117"/>
      <c r="D89" s="119"/>
      <c r="E89" s="117"/>
      <c r="F89" s="117"/>
      <c r="G89" s="121"/>
      <c r="H89" s="95"/>
      <c r="I89" s="95"/>
      <c r="J89" s="95"/>
      <c r="K89" s="22"/>
      <c r="L89" s="18"/>
      <c r="M89" s="18"/>
      <c r="N89" s="98"/>
      <c r="O89" s="19"/>
      <c r="P89" s="22"/>
      <c r="Q89" s="100"/>
      <c r="R89" s="102"/>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6"/>
      <c r="AZ89" s="156"/>
      <c r="BA89" s="156"/>
      <c r="BB89" s="156"/>
      <c r="BC89" s="156"/>
      <c r="BD89" s="156"/>
      <c r="BE89" s="96"/>
      <c r="BF89" s="156"/>
      <c r="BG89" s="156"/>
    </row>
    <row r="90" spans="1:61" ht="24.75" hidden="1" customHeight="1">
      <c r="A90" s="111" t="s">
        <v>40</v>
      </c>
      <c r="B90" s="112"/>
      <c r="C90" s="112"/>
      <c r="D90" s="112"/>
      <c r="E90" s="112"/>
      <c r="F90" s="112"/>
      <c r="G90" s="112"/>
      <c r="H90" s="112"/>
      <c r="I90" s="113"/>
      <c r="J90" s="5">
        <f>SUM(J80:J89)</f>
        <v>0</v>
      </c>
      <c r="K90" s="5">
        <f>+SUMPRODUCT(((MOD(ROW(K80:K87),2)=0)*(K80:K87)))</f>
        <v>0</v>
      </c>
      <c r="L90" s="5">
        <f>+SUMPRODUCT(((MOD(ROW(L80:L87),2)=0)*(L80:L87)))</f>
        <v>0</v>
      </c>
      <c r="M90" s="5">
        <f>+SUMPRODUCT(((MOD(ROW(M80:M87),2)=0)*(M80:M87)))</f>
        <v>0</v>
      </c>
      <c r="N90" s="6" t="e">
        <f>O90/L90</f>
        <v>#DIV/0!</v>
      </c>
      <c r="O90" s="5">
        <f>+SUMPRODUCT(((MOD(ROW(O80:O87),2)=0)*(O80:O87)))</f>
        <v>0</v>
      </c>
      <c r="P90" s="5">
        <f>+SUMPRODUCT(((MOD(ROW(P80:P87),2)=0)*(P80:P87)))</f>
        <v>0</v>
      </c>
      <c r="Q90" s="29">
        <f>SUM(Q80:Q89)</f>
        <v>0</v>
      </c>
      <c r="R90" s="29"/>
      <c r="S90" s="29">
        <f t="shared" ref="S90:BG90" si="8">SUM(S80:S89)</f>
        <v>0</v>
      </c>
      <c r="T90" s="29">
        <f t="shared" si="8"/>
        <v>0</v>
      </c>
      <c r="U90" s="29">
        <f t="shared" si="8"/>
        <v>0</v>
      </c>
      <c r="V90" s="29">
        <f t="shared" si="8"/>
        <v>0</v>
      </c>
      <c r="W90" s="29">
        <f t="shared" si="8"/>
        <v>0</v>
      </c>
      <c r="X90" s="29">
        <f t="shared" si="8"/>
        <v>0</v>
      </c>
      <c r="Y90" s="29">
        <f t="shared" si="8"/>
        <v>0</v>
      </c>
      <c r="Z90" s="29">
        <f t="shared" si="8"/>
        <v>0</v>
      </c>
      <c r="AA90" s="29">
        <f t="shared" si="8"/>
        <v>0</v>
      </c>
      <c r="AB90" s="29">
        <f t="shared" si="8"/>
        <v>0</v>
      </c>
      <c r="AC90" s="29">
        <f t="shared" si="8"/>
        <v>0</v>
      </c>
      <c r="AD90" s="29">
        <f t="shared" si="8"/>
        <v>0</v>
      </c>
      <c r="AE90" s="29">
        <f t="shared" si="8"/>
        <v>0</v>
      </c>
      <c r="AF90" s="29">
        <f t="shared" si="8"/>
        <v>0</v>
      </c>
      <c r="AG90" s="29">
        <f t="shared" si="8"/>
        <v>0</v>
      </c>
      <c r="AH90" s="29">
        <f t="shared" si="8"/>
        <v>0</v>
      </c>
      <c r="AI90" s="29">
        <f t="shared" si="8"/>
        <v>0</v>
      </c>
      <c r="AJ90" s="29">
        <f t="shared" si="8"/>
        <v>0</v>
      </c>
      <c r="AK90" s="29">
        <f t="shared" si="8"/>
        <v>0</v>
      </c>
      <c r="AL90" s="29">
        <f t="shared" si="8"/>
        <v>0</v>
      </c>
      <c r="AM90" s="29">
        <f t="shared" si="8"/>
        <v>0</v>
      </c>
      <c r="AN90" s="29">
        <f t="shared" si="8"/>
        <v>0</v>
      </c>
      <c r="AO90" s="29">
        <f t="shared" si="8"/>
        <v>0</v>
      </c>
      <c r="AP90" s="29">
        <f t="shared" si="8"/>
        <v>0</v>
      </c>
      <c r="AQ90" s="29">
        <f t="shared" si="8"/>
        <v>0</v>
      </c>
      <c r="AR90" s="29">
        <f t="shared" si="8"/>
        <v>0</v>
      </c>
      <c r="AS90" s="29">
        <f t="shared" si="8"/>
        <v>0</v>
      </c>
      <c r="AT90" s="29">
        <f t="shared" si="8"/>
        <v>0</v>
      </c>
      <c r="AU90" s="29">
        <f t="shared" si="8"/>
        <v>0</v>
      </c>
      <c r="AV90" s="29">
        <f t="shared" si="8"/>
        <v>0</v>
      </c>
      <c r="AW90" s="29">
        <f t="shared" si="8"/>
        <v>0</v>
      </c>
      <c r="AX90" s="29">
        <f t="shared" si="8"/>
        <v>0</v>
      </c>
      <c r="AY90" s="29">
        <f t="shared" si="8"/>
        <v>0</v>
      </c>
      <c r="AZ90" s="29">
        <f t="shared" si="8"/>
        <v>0</v>
      </c>
      <c r="BA90" s="29">
        <f t="shared" si="8"/>
        <v>0</v>
      </c>
      <c r="BB90" s="29">
        <f t="shared" si="8"/>
        <v>0</v>
      </c>
      <c r="BC90" s="29">
        <f t="shared" si="8"/>
        <v>0</v>
      </c>
      <c r="BD90" s="29">
        <f t="shared" si="8"/>
        <v>0</v>
      </c>
      <c r="BE90" s="29">
        <f t="shared" si="8"/>
        <v>0</v>
      </c>
      <c r="BF90" s="29">
        <f t="shared" si="8"/>
        <v>0</v>
      </c>
      <c r="BG90" s="29">
        <f t="shared" si="8"/>
        <v>0</v>
      </c>
      <c r="BH90" s="17"/>
      <c r="BI90" s="17"/>
    </row>
    <row r="91" spans="1:61" s="17" customFormat="1" ht="15.75" hidden="1" customHeight="1">
      <c r="A91" s="101"/>
      <c r="B91" s="114"/>
      <c r="C91" s="116"/>
      <c r="D91" s="118"/>
      <c r="E91" s="116"/>
      <c r="F91" s="116"/>
      <c r="G91" s="120"/>
      <c r="H91" s="109"/>
      <c r="I91" s="90"/>
      <c r="J91" s="90"/>
      <c r="K91" s="20"/>
      <c r="L91" s="20"/>
      <c r="M91" s="20"/>
      <c r="N91" s="97"/>
      <c r="O91" s="21"/>
      <c r="P91" s="27"/>
      <c r="Q91" s="99"/>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c r="B93" s="114"/>
      <c r="C93" s="116"/>
      <c r="D93" s="118"/>
      <c r="E93" s="116"/>
      <c r="F93" s="116"/>
      <c r="G93" s="120"/>
      <c r="H93" s="90"/>
      <c r="I93" s="90"/>
      <c r="J93" s="90"/>
      <c r="K93" s="20"/>
      <c r="L93" s="20"/>
      <c r="M93" s="20"/>
      <c r="N93" s="97"/>
      <c r="O93" s="21"/>
      <c r="P93" s="27"/>
      <c r="Q93" s="99"/>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v>45163</v>
      </c>
      <c r="B95" s="114" t="s">
        <v>37</v>
      </c>
      <c r="C95" s="116"/>
      <c r="D95" s="118"/>
      <c r="E95" s="116"/>
      <c r="F95" s="116"/>
      <c r="G95" s="120"/>
      <c r="H95" s="90"/>
      <c r="I95" s="90"/>
      <c r="J95" s="90"/>
      <c r="K95" s="20"/>
      <c r="L95" s="20"/>
      <c r="M95" s="20"/>
      <c r="N95" s="97" t="e">
        <f>O96/L96</f>
        <v>#DIV/0!</v>
      </c>
      <c r="O95" s="21">
        <f>L95-M95</f>
        <v>0</v>
      </c>
      <c r="P95" s="27"/>
      <c r="Q95" s="99">
        <f>+L96-P96</f>
        <v>0</v>
      </c>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f>L96-M96</f>
        <v>0</v>
      </c>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row>
    <row r="97" spans="1:61" s="17" customFormat="1" ht="15.75" hidden="1" customHeight="1">
      <c r="A97" s="101">
        <v>45163</v>
      </c>
      <c r="B97" s="114" t="s">
        <v>37</v>
      </c>
      <c r="C97" s="116"/>
      <c r="D97" s="118"/>
      <c r="E97" s="116"/>
      <c r="F97" s="116"/>
      <c r="G97" s="120"/>
      <c r="H97" s="90"/>
      <c r="I97" s="90"/>
      <c r="J97" s="90"/>
      <c r="K97" s="20"/>
      <c r="L97" s="20"/>
      <c r="M97" s="20"/>
      <c r="N97" s="97" t="e">
        <f>O98/L98</f>
        <v>#DIV/0!</v>
      </c>
      <c r="O97" s="21">
        <f>L97-M97</f>
        <v>0</v>
      </c>
      <c r="P97" s="27"/>
      <c r="Q97" s="99">
        <f>+L98-P98</f>
        <v>0</v>
      </c>
      <c r="R97" s="154"/>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5"/>
      <c r="AZ97" s="155"/>
      <c r="BA97" s="155"/>
      <c r="BB97" s="155"/>
      <c r="BC97" s="155"/>
      <c r="BD97" s="155"/>
      <c r="BE97" s="96"/>
      <c r="BF97" s="155"/>
      <c r="BG97" s="155"/>
    </row>
    <row r="98" spans="1:61" s="17" customFormat="1" ht="15.75" hidden="1" customHeight="1">
      <c r="A98" s="102"/>
      <c r="B98" s="115"/>
      <c r="C98" s="117"/>
      <c r="D98" s="119"/>
      <c r="E98" s="117"/>
      <c r="F98" s="117"/>
      <c r="G98" s="121"/>
      <c r="H98" s="95"/>
      <c r="I98" s="95"/>
      <c r="J98" s="95"/>
      <c r="K98" s="22"/>
      <c r="L98" s="18"/>
      <c r="M98" s="18"/>
      <c r="N98" s="98"/>
      <c r="O98" s="19">
        <f>L98-M98</f>
        <v>0</v>
      </c>
      <c r="P98" s="22"/>
      <c r="Q98" s="100"/>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6"/>
      <c r="AZ98" s="156"/>
      <c r="BA98" s="156"/>
      <c r="BB98" s="156"/>
      <c r="BC98" s="156"/>
      <c r="BD98" s="156"/>
      <c r="BE98" s="96"/>
      <c r="BF98" s="156"/>
      <c r="BG98" s="156"/>
      <c r="BH98" s="1"/>
      <c r="BI98" s="1"/>
    </row>
    <row r="99" spans="1:61" ht="24.75" hidden="1" customHeight="1">
      <c r="A99" s="111" t="s">
        <v>48</v>
      </c>
      <c r="B99" s="112"/>
      <c r="C99" s="112"/>
      <c r="D99" s="112"/>
      <c r="E99" s="112"/>
      <c r="F99" s="112"/>
      <c r="G99" s="112"/>
      <c r="H99" s="112"/>
      <c r="I99" s="113"/>
      <c r="J99" s="5">
        <f>SUM(J91:J98)</f>
        <v>0</v>
      </c>
      <c r="K99" s="5">
        <f>+SUMPRODUCT(((MOD(ROW(K91:K98),2)=0)*(K91:K98)))</f>
        <v>0</v>
      </c>
      <c r="L99" s="5">
        <f>+SUMPRODUCT(((MOD(ROW(L91:L98),2)=0)*(L91:L98)))</f>
        <v>0</v>
      </c>
      <c r="M99" s="5">
        <f>+SUMPRODUCT(((MOD(ROW(M91:M98),2)=0)*(M91:M98)))</f>
        <v>0</v>
      </c>
      <c r="N99" s="6" t="e">
        <f>O99/L99</f>
        <v>#DIV/0!</v>
      </c>
      <c r="O99" s="5">
        <f>+SUMPRODUCT(((MOD(ROW(O91:O98),2)=0)*(O91:O98)))</f>
        <v>0</v>
      </c>
      <c r="P99" s="5">
        <f>+SUMPRODUCT(((MOD(ROW(P91:P98),2)=0)*(P91:P98)))</f>
        <v>0</v>
      </c>
      <c r="Q99" s="29">
        <f>SUM(Q91:Q98)</f>
        <v>0</v>
      </c>
      <c r="R99" s="29"/>
      <c r="S99" s="29">
        <f t="shared" ref="S99:BG99" si="9">SUM(S91:S98)</f>
        <v>0</v>
      </c>
      <c r="T99" s="29">
        <f t="shared" si="9"/>
        <v>0</v>
      </c>
      <c r="U99" s="29">
        <f t="shared" si="9"/>
        <v>0</v>
      </c>
      <c r="V99" s="29">
        <f t="shared" si="9"/>
        <v>0</v>
      </c>
      <c r="W99" s="29">
        <f t="shared" si="9"/>
        <v>0</v>
      </c>
      <c r="X99" s="29">
        <f t="shared" si="9"/>
        <v>0</v>
      </c>
      <c r="Y99" s="29">
        <f t="shared" si="9"/>
        <v>0</v>
      </c>
      <c r="Z99" s="29">
        <f t="shared" si="9"/>
        <v>0</v>
      </c>
      <c r="AA99" s="29">
        <f t="shared" si="9"/>
        <v>0</v>
      </c>
      <c r="AB99" s="29">
        <f t="shared" si="9"/>
        <v>0</v>
      </c>
      <c r="AC99" s="29">
        <f t="shared" si="9"/>
        <v>0</v>
      </c>
      <c r="AD99" s="29">
        <f t="shared" si="9"/>
        <v>0</v>
      </c>
      <c r="AE99" s="29">
        <f t="shared" si="9"/>
        <v>0</v>
      </c>
      <c r="AF99" s="29">
        <f t="shared" si="9"/>
        <v>0</v>
      </c>
      <c r="AG99" s="29">
        <f t="shared" si="9"/>
        <v>0</v>
      </c>
      <c r="AH99" s="29">
        <f t="shared" si="9"/>
        <v>0</v>
      </c>
      <c r="AI99" s="29">
        <f t="shared" si="9"/>
        <v>0</v>
      </c>
      <c r="AJ99" s="29">
        <f t="shared" si="9"/>
        <v>0</v>
      </c>
      <c r="AK99" s="29">
        <f t="shared" si="9"/>
        <v>0</v>
      </c>
      <c r="AL99" s="29">
        <f t="shared" si="9"/>
        <v>0</v>
      </c>
      <c r="AM99" s="29">
        <f t="shared" si="9"/>
        <v>0</v>
      </c>
      <c r="AN99" s="29">
        <f t="shared" si="9"/>
        <v>0</v>
      </c>
      <c r="AO99" s="29">
        <f t="shared" si="9"/>
        <v>0</v>
      </c>
      <c r="AP99" s="29">
        <f t="shared" si="9"/>
        <v>0</v>
      </c>
      <c r="AQ99" s="29">
        <f t="shared" si="9"/>
        <v>0</v>
      </c>
      <c r="AR99" s="29">
        <f t="shared" si="9"/>
        <v>0</v>
      </c>
      <c r="AS99" s="29">
        <f t="shared" si="9"/>
        <v>0</v>
      </c>
      <c r="AT99" s="29">
        <f t="shared" si="9"/>
        <v>0</v>
      </c>
      <c r="AU99" s="29">
        <f t="shared" si="9"/>
        <v>0</v>
      </c>
      <c r="AV99" s="29">
        <f t="shared" si="9"/>
        <v>0</v>
      </c>
      <c r="AW99" s="29">
        <f t="shared" si="9"/>
        <v>0</v>
      </c>
      <c r="AX99" s="29">
        <f t="shared" si="9"/>
        <v>0</v>
      </c>
      <c r="AY99" s="29">
        <f t="shared" si="9"/>
        <v>0</v>
      </c>
      <c r="AZ99" s="29">
        <f t="shared" si="9"/>
        <v>0</v>
      </c>
      <c r="BA99" s="29">
        <f t="shared" si="9"/>
        <v>0</v>
      </c>
      <c r="BB99" s="29">
        <f t="shared" si="9"/>
        <v>0</v>
      </c>
      <c r="BC99" s="29">
        <f t="shared" si="9"/>
        <v>0</v>
      </c>
      <c r="BD99" s="29">
        <f t="shared" si="9"/>
        <v>0</v>
      </c>
      <c r="BE99" s="29">
        <f t="shared" si="9"/>
        <v>0</v>
      </c>
      <c r="BF99" s="29">
        <f t="shared" si="9"/>
        <v>0</v>
      </c>
      <c r="BG99" s="29">
        <f t="shared" si="9"/>
        <v>0</v>
      </c>
      <c r="BH99" s="17"/>
      <c r="BI99" s="17"/>
    </row>
    <row r="100" spans="1:61" s="17" customFormat="1" ht="15.75" hidden="1" customHeight="1">
      <c r="A100" s="101"/>
      <c r="B100" s="114"/>
      <c r="C100" s="116"/>
      <c r="D100" s="118"/>
      <c r="E100" s="157"/>
      <c r="F100" s="116"/>
      <c r="G100" s="120"/>
      <c r="H100" s="109"/>
      <c r="I100" s="90"/>
      <c r="J100" s="90"/>
      <c r="K100" s="20"/>
      <c r="L100" s="20"/>
      <c r="M100" s="20"/>
      <c r="N100" s="97"/>
      <c r="O100" s="21"/>
      <c r="P100" s="27"/>
      <c r="Q100" s="99"/>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45061</v>
      </c>
      <c r="B102" s="114" t="s">
        <v>37</v>
      </c>
      <c r="C102" s="116"/>
      <c r="D102" s="118"/>
      <c r="E102" s="157"/>
      <c r="F102" s="116"/>
      <c r="G102" s="120"/>
      <c r="H102" s="90"/>
      <c r="I102" s="90"/>
      <c r="J102" s="90"/>
      <c r="K102" s="20"/>
      <c r="L102" s="20"/>
      <c r="M102" s="20"/>
      <c r="N102" s="97" t="e">
        <f>O103/L103</f>
        <v>#DIV/0!</v>
      </c>
      <c r="O102" s="21">
        <f t="shared" ref="O102:O107" si="10">L102-M102</f>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44990</v>
      </c>
      <c r="B104" s="114" t="s">
        <v>37</v>
      </c>
      <c r="C104" s="116"/>
      <c r="D104" s="118"/>
      <c r="E104" s="116"/>
      <c r="F104" s="116"/>
      <c r="G104" s="120"/>
      <c r="H104" s="90"/>
      <c r="I104" s="90"/>
      <c r="J104" s="90"/>
      <c r="K104" s="20"/>
      <c r="L104" s="20"/>
      <c r="M104" s="20"/>
      <c r="N104" s="97" t="e">
        <f>O105/L105</f>
        <v>#DIV/0!</v>
      </c>
      <c r="O104" s="21">
        <f t="shared" si="10"/>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10"/>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row>
    <row r="106" spans="1:61" s="17" customFormat="1" ht="15.75" hidden="1" customHeight="1">
      <c r="A106" s="101">
        <v>44990</v>
      </c>
      <c r="B106" s="114" t="s">
        <v>37</v>
      </c>
      <c r="C106" s="116"/>
      <c r="D106" s="118"/>
      <c r="E106" s="116"/>
      <c r="F106" s="116"/>
      <c r="G106" s="120"/>
      <c r="H106" s="90"/>
      <c r="I106" s="90"/>
      <c r="J106" s="90"/>
      <c r="K106" s="20"/>
      <c r="L106" s="20"/>
      <c r="M106" s="20"/>
      <c r="N106" s="97" t="e">
        <f>O107/L107</f>
        <v>#DIV/0!</v>
      </c>
      <c r="O106" s="21">
        <f t="shared" si="10"/>
        <v>0</v>
      </c>
      <c r="P106" s="27"/>
      <c r="Q106" s="99">
        <f>+L107-P107</f>
        <v>0</v>
      </c>
      <c r="R106" s="101"/>
      <c r="S106" s="96"/>
      <c r="T106" s="96"/>
      <c r="U106" s="96"/>
      <c r="V106" s="96"/>
      <c r="W106" s="96"/>
      <c r="X106" s="96"/>
      <c r="Y106" s="96"/>
      <c r="Z106" s="96"/>
      <c r="AA106" s="96"/>
      <c r="AB106" s="96"/>
      <c r="AC106" s="96"/>
      <c r="AD106" s="96"/>
      <c r="AE106" s="96"/>
      <c r="AF106" s="96"/>
      <c r="AG106" s="96"/>
      <c r="AH106" s="96"/>
      <c r="AI106" s="96"/>
      <c r="AJ106" s="96"/>
      <c r="AK106" s="96"/>
      <c r="AL106" s="96"/>
      <c r="AM106" s="96"/>
      <c r="AN106" s="96"/>
      <c r="AO106" s="96"/>
      <c r="AP106" s="96"/>
      <c r="AQ106" s="96"/>
      <c r="AR106" s="96"/>
      <c r="AS106" s="96"/>
      <c r="AT106" s="96"/>
      <c r="AU106" s="96"/>
      <c r="AV106" s="96"/>
      <c r="AW106" s="96"/>
      <c r="AX106" s="96"/>
      <c r="AY106" s="155"/>
      <c r="AZ106" s="155"/>
      <c r="BA106" s="155"/>
      <c r="BB106" s="155"/>
      <c r="BC106" s="155"/>
      <c r="BD106" s="155"/>
      <c r="BE106" s="96"/>
      <c r="BF106" s="155"/>
      <c r="BG106" s="155"/>
    </row>
    <row r="107" spans="1:61" s="17" customFormat="1" ht="15.75" hidden="1" customHeight="1">
      <c r="A107" s="102"/>
      <c r="B107" s="115"/>
      <c r="C107" s="117"/>
      <c r="D107" s="119"/>
      <c r="E107" s="117"/>
      <c r="F107" s="117"/>
      <c r="G107" s="121"/>
      <c r="H107" s="95"/>
      <c r="I107" s="95"/>
      <c r="J107" s="95"/>
      <c r="K107" s="22"/>
      <c r="L107" s="18"/>
      <c r="M107" s="18"/>
      <c r="N107" s="98"/>
      <c r="O107" s="19">
        <f t="shared" si="10"/>
        <v>0</v>
      </c>
      <c r="P107" s="22"/>
      <c r="Q107" s="100"/>
      <c r="R107" s="102"/>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156"/>
      <c r="AZ107" s="156"/>
      <c r="BA107" s="156"/>
      <c r="BB107" s="156"/>
      <c r="BC107" s="156"/>
      <c r="BD107" s="156"/>
      <c r="BE107" s="96"/>
      <c r="BF107" s="156"/>
      <c r="BG107" s="156"/>
      <c r="BH107" s="1"/>
      <c r="BI107" s="1"/>
    </row>
    <row r="108" spans="1:61" ht="24.75" hidden="1" customHeight="1">
      <c r="A108" s="111" t="s">
        <v>46</v>
      </c>
      <c r="B108" s="112"/>
      <c r="C108" s="112"/>
      <c r="D108" s="112"/>
      <c r="E108" s="112"/>
      <c r="F108" s="112"/>
      <c r="G108" s="112"/>
      <c r="H108" s="112"/>
      <c r="I108" s="113"/>
      <c r="J108" s="5">
        <f>SUM(J100:J107)</f>
        <v>0</v>
      </c>
      <c r="K108" s="5">
        <f>+SUMPRODUCT(((MOD(ROW(K100:K107),2)=0)*(K100:K107)))</f>
        <v>0</v>
      </c>
      <c r="L108" s="5">
        <f>+SUMPRODUCT(((MOD(ROW(L100:L107),2)=0)*(L100:L107)))</f>
        <v>0</v>
      </c>
      <c r="M108" s="5">
        <f>+SUMPRODUCT(((MOD(ROW(M100:M107),2)=0)*(M100:M107)))</f>
        <v>0</v>
      </c>
      <c r="N108" s="6" t="e">
        <f>O108/L108</f>
        <v>#DIV/0!</v>
      </c>
      <c r="O108" s="5">
        <f>+SUMPRODUCT(((MOD(ROW(O100:O107),2)=0)*(O100:O107)))</f>
        <v>0</v>
      </c>
      <c r="P108" s="5">
        <f>+SUMPRODUCT(((MOD(ROW(P100:P107),2)=0)*(P100:P107)))</f>
        <v>0</v>
      </c>
      <c r="Q108" s="29">
        <f>SUM(Q100:Q107)</f>
        <v>0</v>
      </c>
      <c r="R108" s="29"/>
      <c r="S108" s="29">
        <f t="shared" ref="S108:BG108" si="11">SUM(S100:S107)</f>
        <v>0</v>
      </c>
      <c r="T108" s="29">
        <f t="shared" si="11"/>
        <v>0</v>
      </c>
      <c r="U108" s="29">
        <f t="shared" si="11"/>
        <v>0</v>
      </c>
      <c r="V108" s="29">
        <f t="shared" si="11"/>
        <v>0</v>
      </c>
      <c r="W108" s="29">
        <f t="shared" si="11"/>
        <v>0</v>
      </c>
      <c r="X108" s="29">
        <f t="shared" si="11"/>
        <v>0</v>
      </c>
      <c r="Y108" s="29">
        <f t="shared" si="11"/>
        <v>0</v>
      </c>
      <c r="Z108" s="29">
        <f t="shared" si="11"/>
        <v>0</v>
      </c>
      <c r="AA108" s="29">
        <f t="shared" si="11"/>
        <v>0</v>
      </c>
      <c r="AB108" s="29">
        <f t="shared" si="11"/>
        <v>0</v>
      </c>
      <c r="AC108" s="29">
        <f t="shared" si="11"/>
        <v>0</v>
      </c>
      <c r="AD108" s="29">
        <f t="shared" si="11"/>
        <v>0</v>
      </c>
      <c r="AE108" s="29">
        <f t="shared" si="11"/>
        <v>0</v>
      </c>
      <c r="AF108" s="29">
        <f t="shared" si="11"/>
        <v>0</v>
      </c>
      <c r="AG108" s="29">
        <f t="shared" si="11"/>
        <v>0</v>
      </c>
      <c r="AH108" s="29">
        <f t="shared" si="11"/>
        <v>0</v>
      </c>
      <c r="AI108" s="29">
        <f t="shared" si="11"/>
        <v>0</v>
      </c>
      <c r="AJ108" s="29">
        <f t="shared" si="11"/>
        <v>0</v>
      </c>
      <c r="AK108" s="29">
        <f t="shared" si="11"/>
        <v>0</v>
      </c>
      <c r="AL108" s="29">
        <f t="shared" si="11"/>
        <v>0</v>
      </c>
      <c r="AM108" s="29">
        <f t="shared" si="11"/>
        <v>0</v>
      </c>
      <c r="AN108" s="29">
        <f t="shared" si="11"/>
        <v>0</v>
      </c>
      <c r="AO108" s="29">
        <f t="shared" si="11"/>
        <v>0</v>
      </c>
      <c r="AP108" s="29">
        <f t="shared" si="11"/>
        <v>0</v>
      </c>
      <c r="AQ108" s="29">
        <f t="shared" si="11"/>
        <v>0</v>
      </c>
      <c r="AR108" s="29">
        <f t="shared" si="11"/>
        <v>0</v>
      </c>
      <c r="AS108" s="29">
        <f t="shared" si="11"/>
        <v>0</v>
      </c>
      <c r="AT108" s="29">
        <f t="shared" si="11"/>
        <v>0</v>
      </c>
      <c r="AU108" s="29">
        <f t="shared" si="11"/>
        <v>0</v>
      </c>
      <c r="AV108" s="29">
        <f t="shared" si="11"/>
        <v>0</v>
      </c>
      <c r="AW108" s="29">
        <f t="shared" si="11"/>
        <v>0</v>
      </c>
      <c r="AX108" s="29">
        <f t="shared" si="11"/>
        <v>0</v>
      </c>
      <c r="AY108" s="29">
        <f t="shared" si="11"/>
        <v>0</v>
      </c>
      <c r="AZ108" s="29">
        <f t="shared" si="11"/>
        <v>0</v>
      </c>
      <c r="BA108" s="29">
        <f t="shared" si="11"/>
        <v>0</v>
      </c>
      <c r="BB108" s="29">
        <f t="shared" si="11"/>
        <v>0</v>
      </c>
      <c r="BC108" s="29">
        <f t="shared" si="11"/>
        <v>0</v>
      </c>
      <c r="BD108" s="29">
        <f t="shared" si="11"/>
        <v>0</v>
      </c>
      <c r="BE108" s="29">
        <f t="shared" si="11"/>
        <v>0</v>
      </c>
      <c r="BF108" s="29">
        <f t="shared" si="11"/>
        <v>0</v>
      </c>
      <c r="BG108" s="29">
        <f t="shared" si="11"/>
        <v>0</v>
      </c>
    </row>
    <row r="109" spans="1:61" ht="24.75" customHeight="1">
      <c r="A109" s="122" t="s">
        <v>5</v>
      </c>
      <c r="B109" s="122"/>
      <c r="C109" s="122"/>
      <c r="D109" s="122"/>
      <c r="E109" s="122"/>
      <c r="F109" s="122"/>
      <c r="G109" s="122"/>
      <c r="H109" s="122"/>
      <c r="I109" s="122"/>
      <c r="J109" s="4">
        <f>J79+J90+J99+J108</f>
        <v>4097</v>
      </c>
      <c r="K109" s="4">
        <f>K79+K90+K99+K108</f>
        <v>60</v>
      </c>
      <c r="L109" s="4">
        <f>L79+L90+L99+L108</f>
        <v>290</v>
      </c>
      <c r="M109" s="4">
        <f>M79+M90+M99+M108</f>
        <v>50</v>
      </c>
      <c r="N109" s="33">
        <f>O109/L109</f>
        <v>0.82758620689655171</v>
      </c>
      <c r="O109" s="4">
        <f>O79+O90+O99+O108</f>
        <v>240</v>
      </c>
      <c r="P109" s="31">
        <f>P79+P90+P99+P108</f>
        <v>340</v>
      </c>
      <c r="Q109" s="31">
        <f>Q79+Q90+Q99+Q108</f>
        <v>472</v>
      </c>
      <c r="R109" s="4"/>
      <c r="S109" s="31">
        <f t="shared" ref="S109:BG109" si="12">S79+S90+S99+S108</f>
        <v>24</v>
      </c>
      <c r="T109" s="31">
        <f t="shared" si="12"/>
        <v>30</v>
      </c>
      <c r="U109" s="31">
        <f t="shared" si="12"/>
        <v>60</v>
      </c>
      <c r="V109" s="31">
        <f t="shared" si="12"/>
        <v>0</v>
      </c>
      <c r="W109" s="31">
        <f t="shared" si="12"/>
        <v>0</v>
      </c>
      <c r="X109" s="31">
        <f t="shared" si="12"/>
        <v>0</v>
      </c>
      <c r="Y109" s="31">
        <f t="shared" si="12"/>
        <v>0</v>
      </c>
      <c r="Z109" s="31">
        <f t="shared" si="12"/>
        <v>0</v>
      </c>
      <c r="AA109" s="31">
        <f t="shared" si="12"/>
        <v>0</v>
      </c>
      <c r="AB109" s="31">
        <f t="shared" si="12"/>
        <v>0</v>
      </c>
      <c r="AC109" s="31">
        <f t="shared" si="12"/>
        <v>48</v>
      </c>
      <c r="AD109" s="31">
        <f t="shared" si="12"/>
        <v>0</v>
      </c>
      <c r="AE109" s="31">
        <f t="shared" si="12"/>
        <v>13</v>
      </c>
      <c r="AF109" s="31">
        <f t="shared" si="12"/>
        <v>17</v>
      </c>
      <c r="AG109" s="31">
        <f t="shared" si="12"/>
        <v>0</v>
      </c>
      <c r="AH109" s="31">
        <f t="shared" si="12"/>
        <v>18</v>
      </c>
      <c r="AI109" s="31">
        <f t="shared" si="12"/>
        <v>0</v>
      </c>
      <c r="AJ109" s="31">
        <f t="shared" si="12"/>
        <v>0</v>
      </c>
      <c r="AK109" s="31">
        <f t="shared" si="12"/>
        <v>0</v>
      </c>
      <c r="AL109" s="31">
        <f t="shared" si="12"/>
        <v>30</v>
      </c>
      <c r="AM109" s="31">
        <f t="shared" si="12"/>
        <v>0</v>
      </c>
      <c r="AN109" s="31">
        <f t="shared" si="12"/>
        <v>0</v>
      </c>
      <c r="AO109" s="31">
        <f t="shared" si="12"/>
        <v>0</v>
      </c>
      <c r="AP109" s="31">
        <f t="shared" si="12"/>
        <v>0</v>
      </c>
      <c r="AQ109" s="31">
        <f t="shared" si="12"/>
        <v>0</v>
      </c>
      <c r="AR109" s="31">
        <f t="shared" si="12"/>
        <v>0</v>
      </c>
      <c r="AS109" s="31">
        <f t="shared" si="12"/>
        <v>0</v>
      </c>
      <c r="AT109" s="31">
        <f t="shared" si="12"/>
        <v>0</v>
      </c>
      <c r="AU109" s="31">
        <f t="shared" si="12"/>
        <v>0</v>
      </c>
      <c r="AV109" s="31">
        <f t="shared" si="12"/>
        <v>0</v>
      </c>
      <c r="AW109" s="31">
        <f t="shared" si="12"/>
        <v>0</v>
      </c>
      <c r="AX109" s="31">
        <f t="shared" si="12"/>
        <v>0</v>
      </c>
      <c r="AY109" s="31">
        <f t="shared" si="12"/>
        <v>0</v>
      </c>
      <c r="AZ109" s="31">
        <f t="shared" si="12"/>
        <v>0</v>
      </c>
      <c r="BA109" s="31">
        <f t="shared" si="12"/>
        <v>0</v>
      </c>
      <c r="BB109" s="31">
        <f t="shared" si="12"/>
        <v>0</v>
      </c>
      <c r="BC109" s="31">
        <f t="shared" si="12"/>
        <v>0</v>
      </c>
      <c r="BD109" s="31">
        <f t="shared" si="12"/>
        <v>0</v>
      </c>
      <c r="BE109" s="31">
        <f t="shared" si="12"/>
        <v>0</v>
      </c>
      <c r="BF109" s="31">
        <f t="shared" si="12"/>
        <v>0</v>
      </c>
      <c r="BG109" s="31">
        <f t="shared" si="12"/>
        <v>0</v>
      </c>
    </row>
    <row r="112" spans="1:61" s="25" customFormat="1" ht="35.25" customHeight="1">
      <c r="A112" s="2"/>
      <c r="B112" s="2"/>
      <c r="C112" s="2"/>
      <c r="D112" s="1"/>
      <c r="E112" s="1"/>
      <c r="F112" s="1"/>
      <c r="G112" s="1"/>
      <c r="H112" s="1"/>
      <c r="I112" s="1"/>
      <c r="J112" s="1"/>
      <c r="K112" s="35"/>
      <c r="L112" s="35"/>
      <c r="M112" s="35"/>
      <c r="N112" s="35"/>
      <c r="O112" s="35"/>
      <c r="P112" s="35"/>
      <c r="Q112" s="36"/>
      <c r="S112" s="8"/>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row>
    <row r="115" spans="1:61" s="25" customFormat="1" ht="33" customHeight="1">
      <c r="A115" s="2"/>
      <c r="B115" s="2"/>
      <c r="C115" s="2"/>
      <c r="D115" s="1"/>
      <c r="E115" s="1"/>
      <c r="F115" s="1"/>
      <c r="G115" s="1"/>
      <c r="H115" s="1"/>
      <c r="I115" s="1"/>
      <c r="J115" s="1"/>
      <c r="K115" s="1"/>
      <c r="L115" s="1"/>
      <c r="M115" s="1"/>
      <c r="N115" s="1"/>
      <c r="O115" s="1"/>
      <c r="S115" s="8"/>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row>
  </sheetData>
  <mergeCells count="2579">
    <mergeCell ref="AU21:AU22"/>
    <mergeCell ref="AV21:AV22"/>
    <mergeCell ref="AG21:AG22"/>
    <mergeCell ref="AH21:AH22"/>
    <mergeCell ref="AS21:AS22"/>
    <mergeCell ref="BB13:BB14"/>
    <mergeCell ref="AQ13:AQ14"/>
    <mergeCell ref="AR13:AR14"/>
    <mergeCell ref="AS13:AS14"/>
    <mergeCell ref="AT13:AT14"/>
    <mergeCell ref="AU13:AU14"/>
    <mergeCell ref="AV13:AV14"/>
    <mergeCell ref="BC13:BC14"/>
    <mergeCell ref="BD13:BD14"/>
    <mergeCell ref="BE13:BE14"/>
    <mergeCell ref="BF13:BF14"/>
    <mergeCell ref="BG13:BG14"/>
    <mergeCell ref="AW13:AW14"/>
    <mergeCell ref="AX13:AX14"/>
    <mergeCell ref="AY13:AY14"/>
    <mergeCell ref="AZ13:AZ14"/>
    <mergeCell ref="BA13:BA14"/>
    <mergeCell ref="AK13:AK14"/>
    <mergeCell ref="AL13:AL14"/>
    <mergeCell ref="AM13:AM14"/>
    <mergeCell ref="AN13:AN14"/>
    <mergeCell ref="AO13:AO14"/>
    <mergeCell ref="AP13:AP14"/>
    <mergeCell ref="AW21:AW22"/>
    <mergeCell ref="AX21:AX22"/>
    <mergeCell ref="AY21:AY22"/>
    <mergeCell ref="AZ21:AZ22"/>
    <mergeCell ref="AE27:AE28"/>
    <mergeCell ref="AF27:AF28"/>
    <mergeCell ref="AG27:AG28"/>
    <mergeCell ref="AH27:AH28"/>
    <mergeCell ref="AI27:AI28"/>
    <mergeCell ref="AJ27:AJ28"/>
    <mergeCell ref="AK27:AK28"/>
    <mergeCell ref="AL27:AL28"/>
    <mergeCell ref="AQ21:AQ22"/>
    <mergeCell ref="AR21:AR22"/>
    <mergeCell ref="AK23:AK24"/>
    <mergeCell ref="AL23:AL24"/>
    <mergeCell ref="AM23:AM24"/>
    <mergeCell ref="AN23:AN24"/>
    <mergeCell ref="AK25:AK26"/>
    <mergeCell ref="AL25:AL26"/>
    <mergeCell ref="AJ23:AJ24"/>
    <mergeCell ref="X13:X14"/>
    <mergeCell ref="AA27:AA28"/>
    <mergeCell ref="AB27:AB28"/>
    <mergeCell ref="AC27:AC28"/>
    <mergeCell ref="AD27:AD28"/>
    <mergeCell ref="Y13:Y14"/>
    <mergeCell ref="Z13:Z14"/>
    <mergeCell ref="AA13:AA14"/>
    <mergeCell ref="AB13:AB14"/>
    <mergeCell ref="AC13:AC14"/>
    <mergeCell ref="AD13:AD14"/>
    <mergeCell ref="AE13:AE14"/>
    <mergeCell ref="AF13:AF14"/>
    <mergeCell ref="AG13:AG14"/>
    <mergeCell ref="AH13:AH14"/>
    <mergeCell ref="AI13:AI14"/>
    <mergeCell ref="W27:W28"/>
    <mergeCell ref="X27:X28"/>
    <mergeCell ref="Y27:Y28"/>
    <mergeCell ref="Z27:Z28"/>
    <mergeCell ref="AC23:AC24"/>
    <mergeCell ref="AD23:AD24"/>
    <mergeCell ref="AE23:AE24"/>
    <mergeCell ref="AF23:AF24"/>
    <mergeCell ref="AG23:AG24"/>
    <mergeCell ref="AH23:AH24"/>
    <mergeCell ref="AI23:AI24"/>
    <mergeCell ref="AC21:AC22"/>
    <mergeCell ref="AD21:AD22"/>
    <mergeCell ref="AE21:AE22"/>
    <mergeCell ref="AF21:AF22"/>
    <mergeCell ref="Y19:Y20"/>
    <mergeCell ref="B13:B14"/>
    <mergeCell ref="C13:C14"/>
    <mergeCell ref="D13:D14"/>
    <mergeCell ref="E13:E14"/>
    <mergeCell ref="F13:F14"/>
    <mergeCell ref="G13:G14"/>
    <mergeCell ref="H13:H14"/>
    <mergeCell ref="I13:I14"/>
    <mergeCell ref="J13:J14"/>
    <mergeCell ref="N13:N14"/>
    <mergeCell ref="Q13:Q14"/>
    <mergeCell ref="R13:R14"/>
    <mergeCell ref="S13:S14"/>
    <mergeCell ref="T13:T14"/>
    <mergeCell ref="U13:U14"/>
    <mergeCell ref="V13:V14"/>
    <mergeCell ref="W13:W14"/>
    <mergeCell ref="BB23:BB24"/>
    <mergeCell ref="BC23:BC24"/>
    <mergeCell ref="BD23:BD24"/>
    <mergeCell ref="BE23:BE24"/>
    <mergeCell ref="BF23:BF24"/>
    <mergeCell ref="BG23:BG24"/>
    <mergeCell ref="BF25:BF26"/>
    <mergeCell ref="BG25:BG26"/>
    <mergeCell ref="AY25:AY26"/>
    <mergeCell ref="AZ25:AZ26"/>
    <mergeCell ref="BA25:BA26"/>
    <mergeCell ref="BB25:BB26"/>
    <mergeCell ref="BC25:BC26"/>
    <mergeCell ref="BD25:BD26"/>
    <mergeCell ref="AY27:AY28"/>
    <mergeCell ref="AZ27:AZ28"/>
    <mergeCell ref="BA27:BA28"/>
    <mergeCell ref="BB27:BB28"/>
    <mergeCell ref="BC27:BC28"/>
    <mergeCell ref="BD27:BD28"/>
    <mergeCell ref="BE27:BE28"/>
    <mergeCell ref="BF27:BF28"/>
    <mergeCell ref="BG27:BG28"/>
    <mergeCell ref="J27:J28"/>
    <mergeCell ref="N27:N28"/>
    <mergeCell ref="Q27:Q28"/>
    <mergeCell ref="R27:R28"/>
    <mergeCell ref="S27:S28"/>
    <mergeCell ref="T27:T28"/>
    <mergeCell ref="U27:U28"/>
    <mergeCell ref="V27:V28"/>
    <mergeCell ref="AW27:AW28"/>
    <mergeCell ref="AX27:AX28"/>
    <mergeCell ref="AM27:AM28"/>
    <mergeCell ref="AN27:AN28"/>
    <mergeCell ref="AO27:AO28"/>
    <mergeCell ref="AP27:AP28"/>
    <mergeCell ref="AQ27:AQ28"/>
    <mergeCell ref="AR27:AR28"/>
    <mergeCell ref="BA23:BA24"/>
    <mergeCell ref="AS27:AS28"/>
    <mergeCell ref="AT27:AT28"/>
    <mergeCell ref="AU27:AU28"/>
    <mergeCell ref="AV27:AV28"/>
    <mergeCell ref="AY23:AY24"/>
    <mergeCell ref="AZ23:AZ24"/>
    <mergeCell ref="AO23:AO24"/>
    <mergeCell ref="AP23:AP24"/>
    <mergeCell ref="AQ23:AQ24"/>
    <mergeCell ref="AR23:AR24"/>
    <mergeCell ref="AS23:AS24"/>
    <mergeCell ref="AT23:AT24"/>
    <mergeCell ref="AU23:AU24"/>
    <mergeCell ref="AV23:AV24"/>
    <mergeCell ref="AW25:AW26"/>
    <mergeCell ref="AX25:AX26"/>
    <mergeCell ref="AM25:AM26"/>
    <mergeCell ref="AN25:AN26"/>
    <mergeCell ref="AO25:AO26"/>
    <mergeCell ref="AP25:AP26"/>
    <mergeCell ref="AQ25:AQ26"/>
    <mergeCell ref="AR25:AR26"/>
    <mergeCell ref="BD104:BD105"/>
    <mergeCell ref="BD106:BD107"/>
    <mergeCell ref="BE106:BE107"/>
    <mergeCell ref="BE104:BE105"/>
    <mergeCell ref="F23:F24"/>
    <mergeCell ref="G23:G24"/>
    <mergeCell ref="H23:H24"/>
    <mergeCell ref="I23:I24"/>
    <mergeCell ref="J23:J24"/>
    <mergeCell ref="N23:N24"/>
    <mergeCell ref="Q23:Q24"/>
    <mergeCell ref="R23:R24"/>
    <mergeCell ref="S23:S24"/>
    <mergeCell ref="T23:T24"/>
    <mergeCell ref="U23:U24"/>
    <mergeCell ref="V23:V24"/>
    <mergeCell ref="AG106:AG107"/>
    <mergeCell ref="AH106:AH107"/>
    <mergeCell ref="AI106:AI107"/>
    <mergeCell ref="AJ106:AJ107"/>
    <mergeCell ref="W23:W24"/>
    <mergeCell ref="X23:X24"/>
    <mergeCell ref="Y23:Y24"/>
    <mergeCell ref="Z23:Z24"/>
    <mergeCell ref="AA23:AA24"/>
    <mergeCell ref="AB23:AB24"/>
    <mergeCell ref="AH102:AH103"/>
    <mergeCell ref="AI102:AI103"/>
    <mergeCell ref="AJ102:AJ103"/>
    <mergeCell ref="Y97:Y98"/>
    <mergeCell ref="Z97:Z98"/>
    <mergeCell ref="AH100:AH101"/>
    <mergeCell ref="AP106:AP107"/>
    <mergeCell ref="AQ106:AQ107"/>
    <mergeCell ref="AR106:AR107"/>
    <mergeCell ref="AS106:AS107"/>
    <mergeCell ref="AT106:AT107"/>
    <mergeCell ref="AU106:AU107"/>
    <mergeCell ref="AV106:AV107"/>
    <mergeCell ref="AW106:AW107"/>
    <mergeCell ref="AX106:AX107"/>
    <mergeCell ref="AY106:AY107"/>
    <mergeCell ref="AI100:AI101"/>
    <mergeCell ref="AJ100:AJ101"/>
    <mergeCell ref="AI104:AI105"/>
    <mergeCell ref="AS100:AS101"/>
    <mergeCell ref="AT100:AT101"/>
    <mergeCell ref="AU100:AU101"/>
    <mergeCell ref="AV100:AV101"/>
    <mergeCell ref="AW100:AW101"/>
    <mergeCell ref="AX100:AX101"/>
    <mergeCell ref="AY100:AY101"/>
    <mergeCell ref="AD97:AD98"/>
    <mergeCell ref="AE97:AE98"/>
    <mergeCell ref="AF97:AF98"/>
    <mergeCell ref="AG97:AG98"/>
    <mergeCell ref="AH97:AH98"/>
    <mergeCell ref="AZ106:AZ107"/>
    <mergeCell ref="BA106:BA107"/>
    <mergeCell ref="AL106:AL107"/>
    <mergeCell ref="AO104:AO105"/>
    <mergeCell ref="BB106:BB107"/>
    <mergeCell ref="BC106:BC107"/>
    <mergeCell ref="AK106:AK107"/>
    <mergeCell ref="BC104:BC105"/>
    <mergeCell ref="A108:I108"/>
    <mergeCell ref="A109:I109"/>
    <mergeCell ref="A23:A24"/>
    <mergeCell ref="B23:B24"/>
    <mergeCell ref="C23:C24"/>
    <mergeCell ref="D23:D24"/>
    <mergeCell ref="E23:E24"/>
    <mergeCell ref="J106:J107"/>
    <mergeCell ref="N106:N107"/>
    <mergeCell ref="Q106:Q107"/>
    <mergeCell ref="R106:R107"/>
    <mergeCell ref="S106:S107"/>
    <mergeCell ref="T106:T107"/>
    <mergeCell ref="U106:U107"/>
    <mergeCell ref="V106:V107"/>
    <mergeCell ref="W106:W107"/>
    <mergeCell ref="X106:X107"/>
    <mergeCell ref="A106:A107"/>
    <mergeCell ref="B106:B107"/>
    <mergeCell ref="C106:C107"/>
    <mergeCell ref="D106:D107"/>
    <mergeCell ref="E106:E107"/>
    <mergeCell ref="F106:F107"/>
    <mergeCell ref="A27:A28"/>
    <mergeCell ref="B27:B28"/>
    <mergeCell ref="C27:C28"/>
    <mergeCell ref="D27:D28"/>
    <mergeCell ref="E27:E28"/>
    <mergeCell ref="F27:F28"/>
    <mergeCell ref="G27:G28"/>
    <mergeCell ref="H27:H28"/>
    <mergeCell ref="I27:I28"/>
    <mergeCell ref="AN104:AN105"/>
    <mergeCell ref="BF106:BF107"/>
    <mergeCell ref="X102:X103"/>
    <mergeCell ref="Y102:Y103"/>
    <mergeCell ref="Z102:Z103"/>
    <mergeCell ref="AA102:AA103"/>
    <mergeCell ref="AB102:AB103"/>
    <mergeCell ref="AC102:AC103"/>
    <mergeCell ref="AD102:AD103"/>
    <mergeCell ref="AE102:AE103"/>
    <mergeCell ref="AF102:AF103"/>
    <mergeCell ref="AG102:AG103"/>
    <mergeCell ref="AK102:AK103"/>
    <mergeCell ref="AL102:AL103"/>
    <mergeCell ref="AM104:AM105"/>
    <mergeCell ref="BF102:BF103"/>
    <mergeCell ref="AK100:AK101"/>
    <mergeCell ref="AL100:AL101"/>
    <mergeCell ref="AD104:AD105"/>
    <mergeCell ref="AE104:AE105"/>
    <mergeCell ref="AF104:AF105"/>
    <mergeCell ref="AG104:AG105"/>
    <mergeCell ref="AH104:AH105"/>
    <mergeCell ref="AL104:AL105"/>
    <mergeCell ref="BG106:BG107"/>
    <mergeCell ref="Y106:Y107"/>
    <mergeCell ref="Z106:Z107"/>
    <mergeCell ref="AA106:AA107"/>
    <mergeCell ref="AB106:AB107"/>
    <mergeCell ref="AC106:AC107"/>
    <mergeCell ref="AD106:AD107"/>
    <mergeCell ref="AE106:AE107"/>
    <mergeCell ref="AF106:AF107"/>
    <mergeCell ref="BD102:BD103"/>
    <mergeCell ref="BE102:BE103"/>
    <mergeCell ref="AJ104:AJ105"/>
    <mergeCell ref="AK104:AK105"/>
    <mergeCell ref="AM106:AM107"/>
    <mergeCell ref="AN106:AN107"/>
    <mergeCell ref="AO106:AO107"/>
    <mergeCell ref="G106:G107"/>
    <mergeCell ref="H106:H107"/>
    <mergeCell ref="I106:I107"/>
    <mergeCell ref="Q104:Q105"/>
    <mergeCell ref="R104:R105"/>
    <mergeCell ref="S104:S105"/>
    <mergeCell ref="T104:T105"/>
    <mergeCell ref="U104:U105"/>
    <mergeCell ref="V104:V105"/>
    <mergeCell ref="W104:W105"/>
    <mergeCell ref="X104:X105"/>
    <mergeCell ref="Y104:Y105"/>
    <mergeCell ref="Z104:Z105"/>
    <mergeCell ref="AA104:AA105"/>
    <mergeCell ref="AB104:AB105"/>
    <mergeCell ref="AC104:AC105"/>
    <mergeCell ref="BG102:BG103"/>
    <mergeCell ref="BG104:BG105"/>
    <mergeCell ref="A104:A105"/>
    <mergeCell ref="B104:B105"/>
    <mergeCell ref="C104:C105"/>
    <mergeCell ref="D104:D105"/>
    <mergeCell ref="E104:E105"/>
    <mergeCell ref="F104:F105"/>
    <mergeCell ref="G104:G105"/>
    <mergeCell ref="H104:H105"/>
    <mergeCell ref="I104:I105"/>
    <mergeCell ref="J104:J105"/>
    <mergeCell ref="N104:N105"/>
    <mergeCell ref="S102:S103"/>
    <mergeCell ref="T102:T103"/>
    <mergeCell ref="U102:U103"/>
    <mergeCell ref="V102:V103"/>
    <mergeCell ref="W102:W103"/>
    <mergeCell ref="BF104:BF105"/>
    <mergeCell ref="AP104:AP105"/>
    <mergeCell ref="AQ104:AQ105"/>
    <mergeCell ref="AR104:AR105"/>
    <mergeCell ref="AS104:AS105"/>
    <mergeCell ref="AT104:AT105"/>
    <mergeCell ref="AU104:AU105"/>
    <mergeCell ref="AV104:AV105"/>
    <mergeCell ref="AW104:AW105"/>
    <mergeCell ref="AX104:AX105"/>
    <mergeCell ref="AY104:AY105"/>
    <mergeCell ref="AZ104:AZ105"/>
    <mergeCell ref="BA104:BA105"/>
    <mergeCell ref="BB104:BB105"/>
    <mergeCell ref="BA100:BA101"/>
    <mergeCell ref="BB100:BB101"/>
    <mergeCell ref="BC100:BC101"/>
    <mergeCell ref="BB102:BB103"/>
    <mergeCell ref="BC102:BC103"/>
    <mergeCell ref="AM102:AM103"/>
    <mergeCell ref="AN102:AN103"/>
    <mergeCell ref="AQ102:AQ103"/>
    <mergeCell ref="AR102:AR103"/>
    <mergeCell ref="AS102:AS103"/>
    <mergeCell ref="AT102:AT103"/>
    <mergeCell ref="AU102:AU103"/>
    <mergeCell ref="AV102:AV103"/>
    <mergeCell ref="AW102:AW103"/>
    <mergeCell ref="AX102:AX103"/>
    <mergeCell ref="AY102:AY103"/>
    <mergeCell ref="AZ102:AZ103"/>
    <mergeCell ref="BA102:BA103"/>
    <mergeCell ref="AM100:AM101"/>
    <mergeCell ref="AN100:AN101"/>
    <mergeCell ref="AO100:AO101"/>
    <mergeCell ref="AP100:AP101"/>
    <mergeCell ref="AO102:AO103"/>
    <mergeCell ref="AP102:AP103"/>
    <mergeCell ref="BD100:BD101"/>
    <mergeCell ref="BE100:BE101"/>
    <mergeCell ref="BF100:BF101"/>
    <mergeCell ref="BG100:BG101"/>
    <mergeCell ref="A102:A103"/>
    <mergeCell ref="B102:B103"/>
    <mergeCell ref="C102:C103"/>
    <mergeCell ref="D102:D103"/>
    <mergeCell ref="E102:E103"/>
    <mergeCell ref="F102:F103"/>
    <mergeCell ref="G102:G103"/>
    <mergeCell ref="H102:H103"/>
    <mergeCell ref="I102:I103"/>
    <mergeCell ref="J102:J103"/>
    <mergeCell ref="N102:N103"/>
    <mergeCell ref="Q102:Q103"/>
    <mergeCell ref="R102:R103"/>
    <mergeCell ref="U100:U101"/>
    <mergeCell ref="V100:V101"/>
    <mergeCell ref="W100:W101"/>
    <mergeCell ref="X100:X101"/>
    <mergeCell ref="Y100:Y101"/>
    <mergeCell ref="Z100:Z101"/>
    <mergeCell ref="AA100:AA101"/>
    <mergeCell ref="AB100:AB101"/>
    <mergeCell ref="AC100:AC101"/>
    <mergeCell ref="AD100:AD101"/>
    <mergeCell ref="AE100:AE101"/>
    <mergeCell ref="AF100:AF101"/>
    <mergeCell ref="AQ100:AQ101"/>
    <mergeCell ref="AR100:AR101"/>
    <mergeCell ref="AG100:AG101"/>
    <mergeCell ref="BB97:BB98"/>
    <mergeCell ref="AJ97:AJ98"/>
    <mergeCell ref="AK97:AK98"/>
    <mergeCell ref="AL97:AL98"/>
    <mergeCell ref="AM97:AM98"/>
    <mergeCell ref="AN97:AN98"/>
    <mergeCell ref="AO97:AO98"/>
    <mergeCell ref="A99:I99"/>
    <mergeCell ref="A100:A101"/>
    <mergeCell ref="B100:B101"/>
    <mergeCell ref="C100:C101"/>
    <mergeCell ref="D100:D101"/>
    <mergeCell ref="E100:E101"/>
    <mergeCell ref="F100:F101"/>
    <mergeCell ref="G100:G101"/>
    <mergeCell ref="H100:H101"/>
    <mergeCell ref="I100:I101"/>
    <mergeCell ref="J100:J101"/>
    <mergeCell ref="N100:N101"/>
    <mergeCell ref="Q100:Q101"/>
    <mergeCell ref="R100:R101"/>
    <mergeCell ref="S100:S101"/>
    <mergeCell ref="T100:T101"/>
    <mergeCell ref="BA97:BA98"/>
    <mergeCell ref="A97:A98"/>
    <mergeCell ref="B97:B98"/>
    <mergeCell ref="C97:C98"/>
    <mergeCell ref="D97:D98"/>
    <mergeCell ref="E97:E98"/>
    <mergeCell ref="F97:F98"/>
    <mergeCell ref="G97:G98"/>
    <mergeCell ref="AZ100:AZ101"/>
    <mergeCell ref="H97:H98"/>
    <mergeCell ref="I97:I98"/>
    <mergeCell ref="J97:J98"/>
    <mergeCell ref="N97:N98"/>
    <mergeCell ref="Q97:Q98"/>
    <mergeCell ref="AA97:AA98"/>
    <mergeCell ref="AB97:AB98"/>
    <mergeCell ref="AC97:AC98"/>
    <mergeCell ref="R97:R98"/>
    <mergeCell ref="U97:U98"/>
    <mergeCell ref="V97:V98"/>
    <mergeCell ref="W97:W98"/>
    <mergeCell ref="X97:X98"/>
    <mergeCell ref="S97:S98"/>
    <mergeCell ref="T97:T98"/>
    <mergeCell ref="W95:W96"/>
    <mergeCell ref="AP97:AP98"/>
    <mergeCell ref="AN95:AN96"/>
    <mergeCell ref="AO95:AO96"/>
    <mergeCell ref="AP95:AP96"/>
    <mergeCell ref="AI97:AI98"/>
    <mergeCell ref="AQ97:AQ98"/>
    <mergeCell ref="AR97:AR98"/>
    <mergeCell ref="AS97:AS98"/>
    <mergeCell ref="AT97:AT98"/>
    <mergeCell ref="AU97:AU98"/>
    <mergeCell ref="BC97:BC98"/>
    <mergeCell ref="BD97:BD98"/>
    <mergeCell ref="BE97:BE98"/>
    <mergeCell ref="BF97:BF98"/>
    <mergeCell ref="BG97:BG98"/>
    <mergeCell ref="AV97:AV98"/>
    <mergeCell ref="AW97:AW98"/>
    <mergeCell ref="AX97:AX98"/>
    <mergeCell ref="AY97:AY98"/>
    <mergeCell ref="AZ97:AZ98"/>
    <mergeCell ref="BG95:BG96"/>
    <mergeCell ref="X95:X96"/>
    <mergeCell ref="Y95:Y96"/>
    <mergeCell ref="Z95:Z96"/>
    <mergeCell ref="AA95:AA96"/>
    <mergeCell ref="AB95:AB96"/>
    <mergeCell ref="AC95:AC96"/>
    <mergeCell ref="AD95:AD96"/>
    <mergeCell ref="AE95:AE96"/>
    <mergeCell ref="AF95:AF96"/>
    <mergeCell ref="AG95:AG96"/>
    <mergeCell ref="AH95:AH96"/>
    <mergeCell ref="AI95:AI96"/>
    <mergeCell ref="AJ95:AJ96"/>
    <mergeCell ref="AK95:AK96"/>
    <mergeCell ref="AL95:AL96"/>
    <mergeCell ref="AM95:AM96"/>
    <mergeCell ref="AQ95:AQ96"/>
    <mergeCell ref="AR95:AR96"/>
    <mergeCell ref="AS95:AS96"/>
    <mergeCell ref="AT95:AT96"/>
    <mergeCell ref="AU95:AU96"/>
    <mergeCell ref="AV95:AV96"/>
    <mergeCell ref="AW95:AW96"/>
    <mergeCell ref="AX95:AX96"/>
    <mergeCell ref="AY95:AY96"/>
    <mergeCell ref="AZ95:AZ96"/>
    <mergeCell ref="BA95:BA96"/>
    <mergeCell ref="BB95:BB96"/>
    <mergeCell ref="BE93:BE94"/>
    <mergeCell ref="BF93:BF94"/>
    <mergeCell ref="A95:A96"/>
    <mergeCell ref="B95:B96"/>
    <mergeCell ref="C95:C96"/>
    <mergeCell ref="D95:D96"/>
    <mergeCell ref="E95:E96"/>
    <mergeCell ref="F95:F96"/>
    <mergeCell ref="G95:G96"/>
    <mergeCell ref="H95:H96"/>
    <mergeCell ref="I95:I96"/>
    <mergeCell ref="J95:J96"/>
    <mergeCell ref="N95:N96"/>
    <mergeCell ref="Q95:Q96"/>
    <mergeCell ref="R95:R96"/>
    <mergeCell ref="S95:S96"/>
    <mergeCell ref="T95:T96"/>
    <mergeCell ref="U95:U96"/>
    <mergeCell ref="V95:V96"/>
    <mergeCell ref="BC95:BC96"/>
    <mergeCell ref="BD95:BD96"/>
    <mergeCell ref="BE95:BE96"/>
    <mergeCell ref="BF95:BF96"/>
    <mergeCell ref="A93:A94"/>
    <mergeCell ref="B93:B94"/>
    <mergeCell ref="C93:C94"/>
    <mergeCell ref="D93:D94"/>
    <mergeCell ref="E93:E94"/>
    <mergeCell ref="F93:F94"/>
    <mergeCell ref="G93:G94"/>
    <mergeCell ref="H93:H94"/>
    <mergeCell ref="I93:I94"/>
    <mergeCell ref="BG93:BG94"/>
    <mergeCell ref="X93:X94"/>
    <mergeCell ref="Y93:Y94"/>
    <mergeCell ref="Z93:Z94"/>
    <mergeCell ref="AA93:AA94"/>
    <mergeCell ref="AB93:AB94"/>
    <mergeCell ref="AC93:AC94"/>
    <mergeCell ref="AL93:AL94"/>
    <mergeCell ref="AM93:AM94"/>
    <mergeCell ref="AN93:AN94"/>
    <mergeCell ref="AO93:AO94"/>
    <mergeCell ref="AD93:AD94"/>
    <mergeCell ref="AE93:AE94"/>
    <mergeCell ref="AF93:AF94"/>
    <mergeCell ref="AG93:AG94"/>
    <mergeCell ref="AH93:AH94"/>
    <mergeCell ref="AI93:AI94"/>
    <mergeCell ref="AP93:AP94"/>
    <mergeCell ref="AQ93:AQ94"/>
    <mergeCell ref="AR93:AR94"/>
    <mergeCell ref="AS93:AS94"/>
    <mergeCell ref="AT93:AT94"/>
    <mergeCell ref="AU93:AU94"/>
    <mergeCell ref="AV93:AV94"/>
    <mergeCell ref="AW93:AW94"/>
    <mergeCell ref="AX93:AX94"/>
    <mergeCell ref="AY93:AY94"/>
    <mergeCell ref="AZ93:AZ94"/>
    <mergeCell ref="BA93:BA94"/>
    <mergeCell ref="BB93:BB94"/>
    <mergeCell ref="BC93:BC94"/>
    <mergeCell ref="BD93:BD94"/>
    <mergeCell ref="J93:J94"/>
    <mergeCell ref="N93:N94"/>
    <mergeCell ref="Q93:Q94"/>
    <mergeCell ref="AT91:AT92"/>
    <mergeCell ref="AU91:AU92"/>
    <mergeCell ref="R93:R94"/>
    <mergeCell ref="S93:S94"/>
    <mergeCell ref="T93:T94"/>
    <mergeCell ref="U93:U94"/>
    <mergeCell ref="V93:V94"/>
    <mergeCell ref="W93:W94"/>
    <mergeCell ref="AJ93:AJ94"/>
    <mergeCell ref="AK93:AK94"/>
    <mergeCell ref="AD91:AD92"/>
    <mergeCell ref="AE91:AE92"/>
    <mergeCell ref="AF91:AF92"/>
    <mergeCell ref="AG91:AG92"/>
    <mergeCell ref="AH91:AH92"/>
    <mergeCell ref="AI91:AI92"/>
    <mergeCell ref="AJ91:AJ92"/>
    <mergeCell ref="A91:A92"/>
    <mergeCell ref="B91:B92"/>
    <mergeCell ref="C91:C92"/>
    <mergeCell ref="D91:D92"/>
    <mergeCell ref="E91:E92"/>
    <mergeCell ref="F91:F92"/>
    <mergeCell ref="G91:G92"/>
    <mergeCell ref="H91:H92"/>
    <mergeCell ref="I91:I92"/>
    <mergeCell ref="J91:J92"/>
    <mergeCell ref="N91:N92"/>
    <mergeCell ref="Q91:Q92"/>
    <mergeCell ref="BD91:BD92"/>
    <mergeCell ref="BE91:BE92"/>
    <mergeCell ref="BF91:BF92"/>
    <mergeCell ref="BG91:BG92"/>
    <mergeCell ref="AV91:AV92"/>
    <mergeCell ref="AW91:AW92"/>
    <mergeCell ref="AX91:AX92"/>
    <mergeCell ref="AY91:AY92"/>
    <mergeCell ref="AZ91:AZ92"/>
    <mergeCell ref="BA91:BA92"/>
    <mergeCell ref="Z91:Z92"/>
    <mergeCell ref="AA91:AA92"/>
    <mergeCell ref="AB91:AB92"/>
    <mergeCell ref="AC91:AC92"/>
    <mergeCell ref="BB91:BB92"/>
    <mergeCell ref="BC91:BC92"/>
    <mergeCell ref="AP91:AP92"/>
    <mergeCell ref="AQ91:AQ92"/>
    <mergeCell ref="AR91:AR92"/>
    <mergeCell ref="AS91:AS92"/>
    <mergeCell ref="AK91:AK92"/>
    <mergeCell ref="AL91:AL92"/>
    <mergeCell ref="AM91:AM92"/>
    <mergeCell ref="AN91:AN92"/>
    <mergeCell ref="AO91:AO92"/>
    <mergeCell ref="Y88:Y89"/>
    <mergeCell ref="Z88:Z89"/>
    <mergeCell ref="R91:R92"/>
    <mergeCell ref="S91:S92"/>
    <mergeCell ref="T91:T92"/>
    <mergeCell ref="U91:U92"/>
    <mergeCell ref="V91:V92"/>
    <mergeCell ref="W91:W92"/>
    <mergeCell ref="X91:X92"/>
    <mergeCell ref="Y91:Y92"/>
    <mergeCell ref="AE88:AE89"/>
    <mergeCell ref="AF88:AF89"/>
    <mergeCell ref="AG88:AG89"/>
    <mergeCell ref="AH88:AH89"/>
    <mergeCell ref="AI88:AI89"/>
    <mergeCell ref="BG88:BG89"/>
    <mergeCell ref="A90:I90"/>
    <mergeCell ref="AW88:AW89"/>
    <mergeCell ref="AX88:AX89"/>
    <mergeCell ref="AY88:AY89"/>
    <mergeCell ref="AZ88:AZ89"/>
    <mergeCell ref="BA88:BA89"/>
    <mergeCell ref="BB88:BB89"/>
    <mergeCell ref="AQ88:AQ89"/>
    <mergeCell ref="AR88:AR89"/>
    <mergeCell ref="H88:H89"/>
    <mergeCell ref="I88:I89"/>
    <mergeCell ref="S88:S89"/>
    <mergeCell ref="T88:T89"/>
    <mergeCell ref="U88:U89"/>
    <mergeCell ref="V88:V89"/>
    <mergeCell ref="W88:W89"/>
    <mergeCell ref="X88:X89"/>
    <mergeCell ref="BE88:BE89"/>
    <mergeCell ref="BF88:BF89"/>
    <mergeCell ref="AS88:AS89"/>
    <mergeCell ref="AT88:AT89"/>
    <mergeCell ref="AU88:AU89"/>
    <mergeCell ref="AV88:AV89"/>
    <mergeCell ref="BD88:BD89"/>
    <mergeCell ref="G88:G89"/>
    <mergeCell ref="BE86:BE87"/>
    <mergeCell ref="AL86:AL87"/>
    <mergeCell ref="AA86:AA87"/>
    <mergeCell ref="AB86:AB87"/>
    <mergeCell ref="AC86:AC87"/>
    <mergeCell ref="AD86:AD87"/>
    <mergeCell ref="AE86:AE87"/>
    <mergeCell ref="AF86:AF87"/>
    <mergeCell ref="AA88:AA89"/>
    <mergeCell ref="AB88:AB89"/>
    <mergeCell ref="AC88:AC89"/>
    <mergeCell ref="AD88:AD89"/>
    <mergeCell ref="AJ88:AJ89"/>
    <mergeCell ref="AK88:AK89"/>
    <mergeCell ref="AL88:AL89"/>
    <mergeCell ref="AM88:AM89"/>
    <mergeCell ref="AN88:AN89"/>
    <mergeCell ref="AO88:AO89"/>
    <mergeCell ref="AP88:AP89"/>
    <mergeCell ref="AG86:AG87"/>
    <mergeCell ref="AH86:AH87"/>
    <mergeCell ref="AI86:AI87"/>
    <mergeCell ref="AJ86:AJ87"/>
    <mergeCell ref="AK86:AK87"/>
    <mergeCell ref="BD86:BD87"/>
    <mergeCell ref="AS86:AS87"/>
    <mergeCell ref="AT86:AT87"/>
    <mergeCell ref="AU86:AU87"/>
    <mergeCell ref="AV86:AV87"/>
    <mergeCell ref="AW86:AW87"/>
    <mergeCell ref="AX86:AX87"/>
    <mergeCell ref="AY86:AY87"/>
    <mergeCell ref="AZ86:AZ87"/>
    <mergeCell ref="BA86:BA87"/>
    <mergeCell ref="BB86:BB87"/>
    <mergeCell ref="BC86:BC87"/>
    <mergeCell ref="AM86:AM87"/>
    <mergeCell ref="AN86:AN87"/>
    <mergeCell ref="AO86:AO87"/>
    <mergeCell ref="AP86:AP87"/>
    <mergeCell ref="S86:S87"/>
    <mergeCell ref="T86:T87"/>
    <mergeCell ref="J86:J87"/>
    <mergeCell ref="N86:N87"/>
    <mergeCell ref="BC88:BC89"/>
    <mergeCell ref="J88:J89"/>
    <mergeCell ref="N88:N89"/>
    <mergeCell ref="Q88:Q89"/>
    <mergeCell ref="R88:R89"/>
    <mergeCell ref="U86:U87"/>
    <mergeCell ref="V86:V87"/>
    <mergeCell ref="W86:W87"/>
    <mergeCell ref="X86:X87"/>
    <mergeCell ref="Y86:Y87"/>
    <mergeCell ref="Z86:Z87"/>
    <mergeCell ref="BF86:BF87"/>
    <mergeCell ref="BG86:BG87"/>
    <mergeCell ref="A88:A89"/>
    <mergeCell ref="B88:B89"/>
    <mergeCell ref="C88:C89"/>
    <mergeCell ref="D88:D89"/>
    <mergeCell ref="E88:E89"/>
    <mergeCell ref="F88:F89"/>
    <mergeCell ref="BC84:BC85"/>
    <mergeCell ref="BD84:BD85"/>
    <mergeCell ref="BE84:BE85"/>
    <mergeCell ref="BF84:BF85"/>
    <mergeCell ref="AU84:AU85"/>
    <mergeCell ref="AV84:AV85"/>
    <mergeCell ref="AW84:AW85"/>
    <mergeCell ref="AX84:AX85"/>
    <mergeCell ref="AY84:AY85"/>
    <mergeCell ref="AZ84:AZ85"/>
    <mergeCell ref="F86:F87"/>
    <mergeCell ref="G86:G87"/>
    <mergeCell ref="H86:H87"/>
    <mergeCell ref="I86:I87"/>
    <mergeCell ref="BA84:BA85"/>
    <mergeCell ref="BB84:BB85"/>
    <mergeCell ref="AO84:AO85"/>
    <mergeCell ref="AP84:AP85"/>
    <mergeCell ref="AQ84:AQ85"/>
    <mergeCell ref="AR84:AR85"/>
    <mergeCell ref="Q86:Q87"/>
    <mergeCell ref="R86:R87"/>
    <mergeCell ref="AQ86:AQ87"/>
    <mergeCell ref="AR86:AR87"/>
    <mergeCell ref="BG84:BG85"/>
    <mergeCell ref="A86:A87"/>
    <mergeCell ref="B86:B87"/>
    <mergeCell ref="C86:C87"/>
    <mergeCell ref="D86:D87"/>
    <mergeCell ref="E86:E87"/>
    <mergeCell ref="W84:W85"/>
    <mergeCell ref="X84:X85"/>
    <mergeCell ref="Y84:Y85"/>
    <mergeCell ref="Z84:Z85"/>
    <mergeCell ref="AA84:AA85"/>
    <mergeCell ref="AB84:AB85"/>
    <mergeCell ref="AC84:AC85"/>
    <mergeCell ref="AD84:AD85"/>
    <mergeCell ref="AE84:AE85"/>
    <mergeCell ref="AF84:AF85"/>
    <mergeCell ref="AG84:AG85"/>
    <mergeCell ref="AH84:AH85"/>
    <mergeCell ref="AI84:AI85"/>
    <mergeCell ref="AJ84:AJ85"/>
    <mergeCell ref="AK84:AK85"/>
    <mergeCell ref="AL84:AL85"/>
    <mergeCell ref="AM84:AM85"/>
    <mergeCell ref="AN84:AN85"/>
    <mergeCell ref="F84:F85"/>
    <mergeCell ref="G84:G85"/>
    <mergeCell ref="H84:H85"/>
    <mergeCell ref="I84:I85"/>
    <mergeCell ref="J84:J85"/>
    <mergeCell ref="N84:N85"/>
    <mergeCell ref="Q84:Q85"/>
    <mergeCell ref="R84:R85"/>
    <mergeCell ref="BC82:BC83"/>
    <mergeCell ref="BD82:BD83"/>
    <mergeCell ref="BE82:BE83"/>
    <mergeCell ref="BF82:BF83"/>
    <mergeCell ref="BG82:BG83"/>
    <mergeCell ref="AB82:AB83"/>
    <mergeCell ref="AC82:AC83"/>
    <mergeCell ref="AD82:AD83"/>
    <mergeCell ref="AP82:AP83"/>
    <mergeCell ref="AQ82:AQ83"/>
    <mergeCell ref="AR82:AR83"/>
    <mergeCell ref="AS82:AS83"/>
    <mergeCell ref="AT82:AT83"/>
    <mergeCell ref="AU82:AU83"/>
    <mergeCell ref="AV82:AV83"/>
    <mergeCell ref="AW82:AW83"/>
    <mergeCell ref="AX82:AX83"/>
    <mergeCell ref="AY82:AY83"/>
    <mergeCell ref="AZ82:AZ83"/>
    <mergeCell ref="BA82:BA83"/>
    <mergeCell ref="BA80:BA81"/>
    <mergeCell ref="BB80:BB81"/>
    <mergeCell ref="S84:S85"/>
    <mergeCell ref="T84:T85"/>
    <mergeCell ref="U84:U85"/>
    <mergeCell ref="V84:V85"/>
    <mergeCell ref="AF82:AF83"/>
    <mergeCell ref="AG82:AG83"/>
    <mergeCell ref="AH82:AH83"/>
    <mergeCell ref="AI82:AI83"/>
    <mergeCell ref="AJ82:AJ83"/>
    <mergeCell ref="Y82:Y83"/>
    <mergeCell ref="Z82:Z83"/>
    <mergeCell ref="AA82:AA83"/>
    <mergeCell ref="AK82:AK83"/>
    <mergeCell ref="AL82:AL83"/>
    <mergeCell ref="AM82:AM83"/>
    <mergeCell ref="AN82:AN83"/>
    <mergeCell ref="AO82:AO83"/>
    <mergeCell ref="S82:S83"/>
    <mergeCell ref="T82:T83"/>
    <mergeCell ref="U82:U83"/>
    <mergeCell ref="V82:V83"/>
    <mergeCell ref="W82:W83"/>
    <mergeCell ref="X82:X83"/>
    <mergeCell ref="AS84:AS85"/>
    <mergeCell ref="AT84:AT85"/>
    <mergeCell ref="AZ80:AZ81"/>
    <mergeCell ref="A84:A85"/>
    <mergeCell ref="B84:B85"/>
    <mergeCell ref="C84:C85"/>
    <mergeCell ref="D84:D85"/>
    <mergeCell ref="E84:E85"/>
    <mergeCell ref="AE82:AE83"/>
    <mergeCell ref="AM80:AM81"/>
    <mergeCell ref="AN80:AN81"/>
    <mergeCell ref="AO80:AO81"/>
    <mergeCell ref="AP80:AP81"/>
    <mergeCell ref="AQ80:AQ81"/>
    <mergeCell ref="AR80:AR81"/>
    <mergeCell ref="AS80:AS81"/>
    <mergeCell ref="AT80:AT81"/>
    <mergeCell ref="AU80:AU81"/>
    <mergeCell ref="AV80:AV81"/>
    <mergeCell ref="AW80:AW81"/>
    <mergeCell ref="H82:H83"/>
    <mergeCell ref="I82:I83"/>
    <mergeCell ref="J82:J83"/>
    <mergeCell ref="N82:N83"/>
    <mergeCell ref="Q82:Q83"/>
    <mergeCell ref="R82:R83"/>
    <mergeCell ref="AE80:AE81"/>
    <mergeCell ref="AF80:AF81"/>
    <mergeCell ref="AK80:AK81"/>
    <mergeCell ref="AL80:AL81"/>
    <mergeCell ref="AA80:AA81"/>
    <mergeCell ref="AB80:AB81"/>
    <mergeCell ref="AC80:AC81"/>
    <mergeCell ref="AD80:AD81"/>
    <mergeCell ref="AK77:AK78"/>
    <mergeCell ref="BC80:BC81"/>
    <mergeCell ref="BD80:BD81"/>
    <mergeCell ref="BE80:BE81"/>
    <mergeCell ref="BF80:BF81"/>
    <mergeCell ref="BG80:BG81"/>
    <mergeCell ref="A82:A83"/>
    <mergeCell ref="B82:B83"/>
    <mergeCell ref="C82:C83"/>
    <mergeCell ref="D82:D83"/>
    <mergeCell ref="E82:E83"/>
    <mergeCell ref="F82:F83"/>
    <mergeCell ref="G82:G83"/>
    <mergeCell ref="J80:J81"/>
    <mergeCell ref="N80:N81"/>
    <mergeCell ref="Q80:Q81"/>
    <mergeCell ref="R80:R81"/>
    <mergeCell ref="S80:S81"/>
    <mergeCell ref="T80:T81"/>
    <mergeCell ref="U80:U81"/>
    <mergeCell ref="V80:V81"/>
    <mergeCell ref="W80:W81"/>
    <mergeCell ref="X80:X81"/>
    <mergeCell ref="Y80:Y81"/>
    <mergeCell ref="Z80:Z81"/>
    <mergeCell ref="BB82:BB83"/>
    <mergeCell ref="AG80:AG81"/>
    <mergeCell ref="AH80:AH81"/>
    <mergeCell ref="AI80:AI81"/>
    <mergeCell ref="AJ80:AJ81"/>
    <mergeCell ref="AX80:AX81"/>
    <mergeCell ref="AY80:AY81"/>
    <mergeCell ref="AZ77:AZ78"/>
    <mergeCell ref="BA77:BA78"/>
    <mergeCell ref="BB77:BB78"/>
    <mergeCell ref="BC77:BC78"/>
    <mergeCell ref="BD77:BD78"/>
    <mergeCell ref="BE77:BE78"/>
    <mergeCell ref="BF77:BF78"/>
    <mergeCell ref="BG77:BG78"/>
    <mergeCell ref="A79:I79"/>
    <mergeCell ref="A80:A81"/>
    <mergeCell ref="B80:B81"/>
    <mergeCell ref="C80:C81"/>
    <mergeCell ref="D80:D81"/>
    <mergeCell ref="E80:E81"/>
    <mergeCell ref="F80:F81"/>
    <mergeCell ref="G80:G81"/>
    <mergeCell ref="H80:H81"/>
    <mergeCell ref="I80:I81"/>
    <mergeCell ref="R77:R78"/>
    <mergeCell ref="S77:S78"/>
    <mergeCell ref="T77:T78"/>
    <mergeCell ref="U77:U78"/>
    <mergeCell ref="V77:V78"/>
    <mergeCell ref="W77:W78"/>
    <mergeCell ref="X77:X78"/>
    <mergeCell ref="Y77:Y78"/>
    <mergeCell ref="Z77:Z78"/>
    <mergeCell ref="AA77:AA78"/>
    <mergeCell ref="AB77:AB78"/>
    <mergeCell ref="AL77:AL78"/>
    <mergeCell ref="AP77:AP78"/>
    <mergeCell ref="AQ77:AQ78"/>
    <mergeCell ref="I75:I76"/>
    <mergeCell ref="J75:J76"/>
    <mergeCell ref="AD75:AD76"/>
    <mergeCell ref="AE75:AE76"/>
    <mergeCell ref="AF75:AF76"/>
    <mergeCell ref="AG75:AG76"/>
    <mergeCell ref="AH75:AH76"/>
    <mergeCell ref="AR75:AR76"/>
    <mergeCell ref="AS75:AS76"/>
    <mergeCell ref="AT75:AT76"/>
    <mergeCell ref="AU75:AU76"/>
    <mergeCell ref="AW77:AW78"/>
    <mergeCell ref="AM77:AM78"/>
    <mergeCell ref="AB75:AB76"/>
    <mergeCell ref="AC75:AC76"/>
    <mergeCell ref="AX77:AX78"/>
    <mergeCell ref="AY77:AY78"/>
    <mergeCell ref="AR77:AR78"/>
    <mergeCell ref="AS77:AS78"/>
    <mergeCell ref="AT77:AT78"/>
    <mergeCell ref="AU77:AU78"/>
    <mergeCell ref="AV77:AV78"/>
    <mergeCell ref="AC77:AC78"/>
    <mergeCell ref="AN77:AN78"/>
    <mergeCell ref="AO77:AO78"/>
    <mergeCell ref="AD77:AD78"/>
    <mergeCell ref="AE77:AE78"/>
    <mergeCell ref="AF77:AF78"/>
    <mergeCell ref="AG77:AG78"/>
    <mergeCell ref="AH77:AH78"/>
    <mergeCell ref="AI77:AI78"/>
    <mergeCell ref="AJ77:AJ78"/>
    <mergeCell ref="A77:A78"/>
    <mergeCell ref="B77:B78"/>
    <mergeCell ref="C77:C78"/>
    <mergeCell ref="D77:D78"/>
    <mergeCell ref="E77:E78"/>
    <mergeCell ref="F77:F78"/>
    <mergeCell ref="AO75:AO76"/>
    <mergeCell ref="G77:G78"/>
    <mergeCell ref="H77:H78"/>
    <mergeCell ref="I77:I78"/>
    <mergeCell ref="J77:J78"/>
    <mergeCell ref="N77:N78"/>
    <mergeCell ref="Q77:Q78"/>
    <mergeCell ref="AI75:AI76"/>
    <mergeCell ref="X75:X76"/>
    <mergeCell ref="Y75:Y76"/>
    <mergeCell ref="AQ75:AQ76"/>
    <mergeCell ref="AJ75:AJ76"/>
    <mergeCell ref="AK75:AK76"/>
    <mergeCell ref="AL75:AL76"/>
    <mergeCell ref="AM75:AM76"/>
    <mergeCell ref="AN75:AN76"/>
    <mergeCell ref="A75:A76"/>
    <mergeCell ref="B75:B76"/>
    <mergeCell ref="C75:C76"/>
    <mergeCell ref="N75:N76"/>
    <mergeCell ref="Q75:Q76"/>
    <mergeCell ref="D75:D76"/>
    <mergeCell ref="E75:E76"/>
    <mergeCell ref="F75:F76"/>
    <mergeCell ref="G75:G76"/>
    <mergeCell ref="H75:H76"/>
    <mergeCell ref="AS73:AS74"/>
    <mergeCell ref="AT73:AT74"/>
    <mergeCell ref="AU73:AU74"/>
    <mergeCell ref="BD73:BD74"/>
    <mergeCell ref="BE73:BE74"/>
    <mergeCell ref="BF73:BF74"/>
    <mergeCell ref="AV73:AV74"/>
    <mergeCell ref="AW73:AW74"/>
    <mergeCell ref="AX73:AX74"/>
    <mergeCell ref="AY73:AY74"/>
    <mergeCell ref="AZ73:AZ74"/>
    <mergeCell ref="BA73:BA74"/>
    <mergeCell ref="BG75:BG76"/>
    <mergeCell ref="AV75:AV76"/>
    <mergeCell ref="AW75:AW76"/>
    <mergeCell ref="AX75:AX76"/>
    <mergeCell ref="AY75:AY76"/>
    <mergeCell ref="AZ75:AZ76"/>
    <mergeCell ref="BA75:BA76"/>
    <mergeCell ref="BB73:BB74"/>
    <mergeCell ref="BC73:BC74"/>
    <mergeCell ref="BG73:BG74"/>
    <mergeCell ref="BB75:BB76"/>
    <mergeCell ref="BC75:BC76"/>
    <mergeCell ref="BD75:BD76"/>
    <mergeCell ref="BE75:BE76"/>
    <mergeCell ref="BF75:BF76"/>
    <mergeCell ref="T73:T74"/>
    <mergeCell ref="U75:U76"/>
    <mergeCell ref="V75:V76"/>
    <mergeCell ref="W75:W76"/>
    <mergeCell ref="R75:R76"/>
    <mergeCell ref="S75:S76"/>
    <mergeCell ref="T75:T76"/>
    <mergeCell ref="AJ73:AJ74"/>
    <mergeCell ref="AK73:AK74"/>
    <mergeCell ref="AL73:AL74"/>
    <mergeCell ref="AM73:AM74"/>
    <mergeCell ref="AN73:AN74"/>
    <mergeCell ref="AO73:AO74"/>
    <mergeCell ref="AP73:AP74"/>
    <mergeCell ref="AP75:AP76"/>
    <mergeCell ref="X73:X74"/>
    <mergeCell ref="Y73:Y74"/>
    <mergeCell ref="Z73:Z74"/>
    <mergeCell ref="AA73:AA74"/>
    <mergeCell ref="AB73:AB74"/>
    <mergeCell ref="AC73:AC74"/>
    <mergeCell ref="AD73:AD74"/>
    <mergeCell ref="AE73:AE74"/>
    <mergeCell ref="AF73:AF74"/>
    <mergeCell ref="AG73:AG74"/>
    <mergeCell ref="AH73:AH74"/>
    <mergeCell ref="AI73:AI74"/>
    <mergeCell ref="Z75:Z76"/>
    <mergeCell ref="AA75:AA76"/>
    <mergeCell ref="AA71:AA72"/>
    <mergeCell ref="AB71:AB72"/>
    <mergeCell ref="AC71:AC72"/>
    <mergeCell ref="AD71:AD72"/>
    <mergeCell ref="AE71:AE72"/>
    <mergeCell ref="AF71:AF72"/>
    <mergeCell ref="AG71:AG72"/>
    <mergeCell ref="AH71:AH72"/>
    <mergeCell ref="AI71:AI72"/>
    <mergeCell ref="BD71:BD72"/>
    <mergeCell ref="BE71:BE72"/>
    <mergeCell ref="AP71:AP72"/>
    <mergeCell ref="AQ71:AQ72"/>
    <mergeCell ref="A73:A74"/>
    <mergeCell ref="B73:B74"/>
    <mergeCell ref="C73:C74"/>
    <mergeCell ref="D73:D74"/>
    <mergeCell ref="E73:E74"/>
    <mergeCell ref="F73:F74"/>
    <mergeCell ref="U73:U74"/>
    <mergeCell ref="V73:V74"/>
    <mergeCell ref="W73:W74"/>
    <mergeCell ref="G73:G74"/>
    <mergeCell ref="H73:H74"/>
    <mergeCell ref="I73:I74"/>
    <mergeCell ref="J73:J74"/>
    <mergeCell ref="N73:N74"/>
    <mergeCell ref="Q73:Q74"/>
    <mergeCell ref="R73:R74"/>
    <mergeCell ref="AQ73:AQ74"/>
    <mergeCell ref="AR73:AR74"/>
    <mergeCell ref="S73:S74"/>
    <mergeCell ref="BB65:BB66"/>
    <mergeCell ref="BC65:BC66"/>
    <mergeCell ref="AJ71:AJ72"/>
    <mergeCell ref="AK71:AK72"/>
    <mergeCell ref="AL71:AL72"/>
    <mergeCell ref="AM71:AM72"/>
    <mergeCell ref="AN71:AN72"/>
    <mergeCell ref="AO71:AO72"/>
    <mergeCell ref="BF71:BF72"/>
    <mergeCell ref="BG71:BG72"/>
    <mergeCell ref="AV71:AV72"/>
    <mergeCell ref="AW71:AW72"/>
    <mergeCell ref="AX71:AX72"/>
    <mergeCell ref="AY71:AY72"/>
    <mergeCell ref="AZ71:AZ72"/>
    <mergeCell ref="BA71:BA72"/>
    <mergeCell ref="BB71:BB72"/>
    <mergeCell ref="BC71:BC72"/>
    <mergeCell ref="AT71:AT72"/>
    <mergeCell ref="AU71:AU72"/>
    <mergeCell ref="AM65:AM66"/>
    <mergeCell ref="AN65:AN66"/>
    <mergeCell ref="AR71:AR72"/>
    <mergeCell ref="AS71:AS72"/>
    <mergeCell ref="AO65:AO66"/>
    <mergeCell ref="AP65:AP66"/>
    <mergeCell ref="AQ65:AQ66"/>
    <mergeCell ref="AR65:AR66"/>
    <mergeCell ref="AS65:AS66"/>
    <mergeCell ref="AT65:AT66"/>
    <mergeCell ref="AU65:AU66"/>
    <mergeCell ref="A69:O69"/>
    <mergeCell ref="A70:O70"/>
    <mergeCell ref="S71:S72"/>
    <mergeCell ref="T71:T72"/>
    <mergeCell ref="U71:U72"/>
    <mergeCell ref="V71:V72"/>
    <mergeCell ref="W71:W72"/>
    <mergeCell ref="Q65:Q66"/>
    <mergeCell ref="R65:R66"/>
    <mergeCell ref="S65:S66"/>
    <mergeCell ref="T65:T66"/>
    <mergeCell ref="U65:U66"/>
    <mergeCell ref="V65:V66"/>
    <mergeCell ref="W65:W66"/>
    <mergeCell ref="X65:X66"/>
    <mergeCell ref="Y65:Y66"/>
    <mergeCell ref="Z65:Z66"/>
    <mergeCell ref="X71:X72"/>
    <mergeCell ref="Y71:Y72"/>
    <mergeCell ref="Z71:Z72"/>
    <mergeCell ref="AT63:AT64"/>
    <mergeCell ref="AU63:AU64"/>
    <mergeCell ref="AV63:AV64"/>
    <mergeCell ref="AW63:AW64"/>
    <mergeCell ref="AX63:AX64"/>
    <mergeCell ref="AY63:AY64"/>
    <mergeCell ref="AZ63:AZ64"/>
    <mergeCell ref="BA63:BA64"/>
    <mergeCell ref="BF65:BF66"/>
    <mergeCell ref="BG65:BG66"/>
    <mergeCell ref="A67:I67"/>
    <mergeCell ref="A68:I68"/>
    <mergeCell ref="AA65:AA66"/>
    <mergeCell ref="AB65:AB66"/>
    <mergeCell ref="AC65:AC66"/>
    <mergeCell ref="AD65:AD66"/>
    <mergeCell ref="AE65:AE66"/>
    <mergeCell ref="AF65:AF66"/>
    <mergeCell ref="AG65:AG66"/>
    <mergeCell ref="AH65:AH66"/>
    <mergeCell ref="AI65:AI66"/>
    <mergeCell ref="AJ65:AJ66"/>
    <mergeCell ref="AK65:AK66"/>
    <mergeCell ref="AL65:AL66"/>
    <mergeCell ref="BD65:BD66"/>
    <mergeCell ref="BE65:BE66"/>
    <mergeCell ref="AV65:AV66"/>
    <mergeCell ref="AW65:AW66"/>
    <mergeCell ref="AX65:AX66"/>
    <mergeCell ref="AY65:AY66"/>
    <mergeCell ref="AZ65:AZ66"/>
    <mergeCell ref="BA65:BA66"/>
    <mergeCell ref="AY61:AY62"/>
    <mergeCell ref="AZ61:AZ62"/>
    <mergeCell ref="AI61:AI62"/>
    <mergeCell ref="AJ61:AJ62"/>
    <mergeCell ref="AK61:AK62"/>
    <mergeCell ref="AL61:AL62"/>
    <mergeCell ref="BB63:BB64"/>
    <mergeCell ref="BC63:BC64"/>
    <mergeCell ref="BD63:BD64"/>
    <mergeCell ref="BE63:BE64"/>
    <mergeCell ref="BF63:BF64"/>
    <mergeCell ref="BG63:BG64"/>
    <mergeCell ref="A65:A66"/>
    <mergeCell ref="B65:B66"/>
    <mergeCell ref="C65:C66"/>
    <mergeCell ref="D65:D66"/>
    <mergeCell ref="E65:E66"/>
    <mergeCell ref="F65:F66"/>
    <mergeCell ref="G65:G66"/>
    <mergeCell ref="H65:H66"/>
    <mergeCell ref="I65:I66"/>
    <mergeCell ref="J65:J66"/>
    <mergeCell ref="N65:N66"/>
    <mergeCell ref="S63:S64"/>
    <mergeCell ref="T63:T64"/>
    <mergeCell ref="U63:U64"/>
    <mergeCell ref="V63:V64"/>
    <mergeCell ref="W63:W64"/>
    <mergeCell ref="X63:X64"/>
    <mergeCell ref="Y63:Y64"/>
    <mergeCell ref="Z63:Z64"/>
    <mergeCell ref="AA63:AA64"/>
    <mergeCell ref="V61:V62"/>
    <mergeCell ref="W61:W62"/>
    <mergeCell ref="X61:X62"/>
    <mergeCell ref="Y61:Y62"/>
    <mergeCell ref="Z61:Z62"/>
    <mergeCell ref="AG61:AG62"/>
    <mergeCell ref="AH61:AH62"/>
    <mergeCell ref="AH63:AH64"/>
    <mergeCell ref="AI63:AI64"/>
    <mergeCell ref="AJ63:AJ64"/>
    <mergeCell ref="AM61:AM62"/>
    <mergeCell ref="AN61:AN62"/>
    <mergeCell ref="AO61:AO62"/>
    <mergeCell ref="AP61:AP62"/>
    <mergeCell ref="AO63:AO64"/>
    <mergeCell ref="AP63:AP64"/>
    <mergeCell ref="AS61:AS62"/>
    <mergeCell ref="AB63:AB64"/>
    <mergeCell ref="AC63:AC64"/>
    <mergeCell ref="AD63:AD64"/>
    <mergeCell ref="AE63:AE64"/>
    <mergeCell ref="AF63:AF64"/>
    <mergeCell ref="AG63:AG64"/>
    <mergeCell ref="AK63:AK64"/>
    <mergeCell ref="AL63:AL64"/>
    <mergeCell ref="AM63:AM64"/>
    <mergeCell ref="AN63:AN64"/>
    <mergeCell ref="AQ63:AQ64"/>
    <mergeCell ref="AR63:AR64"/>
    <mergeCell ref="AS63:AS64"/>
    <mergeCell ref="AY59:AY60"/>
    <mergeCell ref="AZ59:AZ60"/>
    <mergeCell ref="BA59:BA60"/>
    <mergeCell ref="BB59:BB60"/>
    <mergeCell ref="BC59:BC60"/>
    <mergeCell ref="BD59:BD60"/>
    <mergeCell ref="BE59:BE60"/>
    <mergeCell ref="BA61:BA62"/>
    <mergeCell ref="BB61:BB62"/>
    <mergeCell ref="BC61:BC62"/>
    <mergeCell ref="BD61:BD62"/>
    <mergeCell ref="BE61:BE62"/>
    <mergeCell ref="BF61:BF62"/>
    <mergeCell ref="BG61:BG62"/>
    <mergeCell ref="A63:A64"/>
    <mergeCell ref="B63:B64"/>
    <mergeCell ref="C63:C64"/>
    <mergeCell ref="D63:D64"/>
    <mergeCell ref="E63:E64"/>
    <mergeCell ref="F63:F64"/>
    <mergeCell ref="G63:G64"/>
    <mergeCell ref="H63:H64"/>
    <mergeCell ref="I63:I64"/>
    <mergeCell ref="J63:J64"/>
    <mergeCell ref="N63:N64"/>
    <mergeCell ref="Q63:Q64"/>
    <mergeCell ref="R63:R64"/>
    <mergeCell ref="AC61:AC62"/>
    <mergeCell ref="AD61:AD62"/>
    <mergeCell ref="AE61:AE62"/>
    <mergeCell ref="AF61:AF62"/>
    <mergeCell ref="U61:U62"/>
    <mergeCell ref="AG59:AG60"/>
    <mergeCell ref="AH59:AH60"/>
    <mergeCell ref="W59:W60"/>
    <mergeCell ref="X59:X60"/>
    <mergeCell ref="Y59:Y60"/>
    <mergeCell ref="Z59:Z60"/>
    <mergeCell ref="AA59:AA60"/>
    <mergeCell ref="AO59:AO60"/>
    <mergeCell ref="AP59:AP60"/>
    <mergeCell ref="AQ59:AQ60"/>
    <mergeCell ref="AR59:AR60"/>
    <mergeCell ref="AQ61:AQ62"/>
    <mergeCell ref="AR61:AR62"/>
    <mergeCell ref="AU59:AU60"/>
    <mergeCell ref="AV59:AV60"/>
    <mergeCell ref="AW59:AW60"/>
    <mergeCell ref="AX59:AX60"/>
    <mergeCell ref="AT61:AT62"/>
    <mergeCell ref="AU61:AU62"/>
    <mergeCell ref="AV61:AV62"/>
    <mergeCell ref="AW61:AW62"/>
    <mergeCell ref="AX61:AX62"/>
    <mergeCell ref="V57:V58"/>
    <mergeCell ref="W57:W58"/>
    <mergeCell ref="X57:X58"/>
    <mergeCell ref="H57:H58"/>
    <mergeCell ref="I57:I58"/>
    <mergeCell ref="J57:J58"/>
    <mergeCell ref="N57:N58"/>
    <mergeCell ref="Q57:Q58"/>
    <mergeCell ref="AJ57:AJ58"/>
    <mergeCell ref="BF59:BF60"/>
    <mergeCell ref="BG59:BG60"/>
    <mergeCell ref="A61:A62"/>
    <mergeCell ref="B61:B62"/>
    <mergeCell ref="C61:C62"/>
    <mergeCell ref="D61:D62"/>
    <mergeCell ref="E61:E62"/>
    <mergeCell ref="F61:F62"/>
    <mergeCell ref="G61:G62"/>
    <mergeCell ref="H61:H62"/>
    <mergeCell ref="I61:I62"/>
    <mergeCell ref="AB59:AB60"/>
    <mergeCell ref="J61:J62"/>
    <mergeCell ref="N61:N62"/>
    <mergeCell ref="Q61:Q62"/>
    <mergeCell ref="R61:R62"/>
    <mergeCell ref="S61:S62"/>
    <mergeCell ref="T61:T62"/>
    <mergeCell ref="AA61:AA62"/>
    <mergeCell ref="AB61:AB62"/>
    <mergeCell ref="AD59:AD60"/>
    <mergeCell ref="AE59:AE60"/>
    <mergeCell ref="AF59:AF60"/>
    <mergeCell ref="BC57:BC58"/>
    <mergeCell ref="BD57:BD58"/>
    <mergeCell ref="BE57:BE58"/>
    <mergeCell ref="BF57:BF58"/>
    <mergeCell ref="BG57:BG58"/>
    <mergeCell ref="AB57:AB58"/>
    <mergeCell ref="AC57:AC58"/>
    <mergeCell ref="AD57:AD58"/>
    <mergeCell ref="F59:F60"/>
    <mergeCell ref="G59:G60"/>
    <mergeCell ref="H59:H60"/>
    <mergeCell ref="I59:I60"/>
    <mergeCell ref="J59:J60"/>
    <mergeCell ref="N59:N60"/>
    <mergeCell ref="Y57:Y58"/>
    <mergeCell ref="Z57:Z58"/>
    <mergeCell ref="AA57:AA58"/>
    <mergeCell ref="Q59:Q60"/>
    <mergeCell ref="R59:R60"/>
    <mergeCell ref="S59:S60"/>
    <mergeCell ref="T59:T60"/>
    <mergeCell ref="U59:U60"/>
    <mergeCell ref="V59:V60"/>
    <mergeCell ref="S57:S58"/>
    <mergeCell ref="AN57:AN58"/>
    <mergeCell ref="AO57:AO58"/>
    <mergeCell ref="AP57:AP58"/>
    <mergeCell ref="AE57:AE58"/>
    <mergeCell ref="AF57:AF58"/>
    <mergeCell ref="AG57:AG58"/>
    <mergeCell ref="AH57:AH58"/>
    <mergeCell ref="AI57:AI58"/>
    <mergeCell ref="AX57:AX58"/>
    <mergeCell ref="AY57:AY58"/>
    <mergeCell ref="AZ57:AZ58"/>
    <mergeCell ref="BA57:BA58"/>
    <mergeCell ref="BB57:BB58"/>
    <mergeCell ref="AQ57:AQ58"/>
    <mergeCell ref="AR57:AR58"/>
    <mergeCell ref="AS57:AS58"/>
    <mergeCell ref="AT57:AT58"/>
    <mergeCell ref="AU57:AU58"/>
    <mergeCell ref="A59:A60"/>
    <mergeCell ref="B59:B60"/>
    <mergeCell ref="C59:C60"/>
    <mergeCell ref="D59:D60"/>
    <mergeCell ref="E59:E60"/>
    <mergeCell ref="AW57:AW58"/>
    <mergeCell ref="AV57:AV58"/>
    <mergeCell ref="AK57:AK58"/>
    <mergeCell ref="AL57:AL58"/>
    <mergeCell ref="AM57:AM58"/>
    <mergeCell ref="R57:R58"/>
    <mergeCell ref="AS59:AS60"/>
    <mergeCell ref="AT59:AT60"/>
    <mergeCell ref="AI59:AI60"/>
    <mergeCell ref="AJ59:AJ60"/>
    <mergeCell ref="AK59:AK60"/>
    <mergeCell ref="AL59:AL60"/>
    <mergeCell ref="AM59:AM60"/>
    <mergeCell ref="AN59:AN60"/>
    <mergeCell ref="AC59:AC60"/>
    <mergeCell ref="T57:T58"/>
    <mergeCell ref="U57:U58"/>
    <mergeCell ref="AN55:AN56"/>
    <mergeCell ref="AO55:AO56"/>
    <mergeCell ref="AP55:AP56"/>
    <mergeCell ref="AQ55:AQ56"/>
    <mergeCell ref="AR55:AR56"/>
    <mergeCell ref="AG55:AG56"/>
    <mergeCell ref="AH55:AH56"/>
    <mergeCell ref="AI55:AI56"/>
    <mergeCell ref="AJ55:AJ56"/>
    <mergeCell ref="AS55:AS56"/>
    <mergeCell ref="AT55:AT56"/>
    <mergeCell ref="AU55:AU56"/>
    <mergeCell ref="AV55:AV56"/>
    <mergeCell ref="AW55:AW56"/>
    <mergeCell ref="AX55:AX56"/>
    <mergeCell ref="AY55:AY56"/>
    <mergeCell ref="AZ55:AZ56"/>
    <mergeCell ref="BA55:BA56"/>
    <mergeCell ref="BB55:BB56"/>
    <mergeCell ref="BC55:BC56"/>
    <mergeCell ref="BD55:BD56"/>
    <mergeCell ref="BE55:BE56"/>
    <mergeCell ref="BF55:BF56"/>
    <mergeCell ref="BG55:BG56"/>
    <mergeCell ref="A57:A58"/>
    <mergeCell ref="B57:B58"/>
    <mergeCell ref="C57:C58"/>
    <mergeCell ref="D57:D58"/>
    <mergeCell ref="E57:E58"/>
    <mergeCell ref="F57:F58"/>
    <mergeCell ref="G57:G58"/>
    <mergeCell ref="J55:J56"/>
    <mergeCell ref="N55:N56"/>
    <mergeCell ref="Q55:Q56"/>
    <mergeCell ref="R55:R56"/>
    <mergeCell ref="S55:S56"/>
    <mergeCell ref="T55:T56"/>
    <mergeCell ref="U55:U56"/>
    <mergeCell ref="V55:V56"/>
    <mergeCell ref="W55:W56"/>
    <mergeCell ref="X55:X56"/>
    <mergeCell ref="Y55:Y56"/>
    <mergeCell ref="Z55:Z56"/>
    <mergeCell ref="AA55:AA56"/>
    <mergeCell ref="AB55:AB56"/>
    <mergeCell ref="AC55:AC56"/>
    <mergeCell ref="AD55:AD56"/>
    <mergeCell ref="AE55:AE56"/>
    <mergeCell ref="AF55:AF56"/>
    <mergeCell ref="BF52:BF53"/>
    <mergeCell ref="BG52:BG53"/>
    <mergeCell ref="A54:I54"/>
    <mergeCell ref="A55:A56"/>
    <mergeCell ref="B55:B56"/>
    <mergeCell ref="C55:C56"/>
    <mergeCell ref="D55:D56"/>
    <mergeCell ref="E55:E56"/>
    <mergeCell ref="F55:F56"/>
    <mergeCell ref="G55:G56"/>
    <mergeCell ref="H55:H56"/>
    <mergeCell ref="I55:I56"/>
    <mergeCell ref="R52:R53"/>
    <mergeCell ref="S52:S53"/>
    <mergeCell ref="T52:T53"/>
    <mergeCell ref="U52:U53"/>
    <mergeCell ref="V52:V53"/>
    <mergeCell ref="W52:W53"/>
    <mergeCell ref="X52:X53"/>
    <mergeCell ref="Y52:Y53"/>
    <mergeCell ref="Z52:Z53"/>
    <mergeCell ref="AA52:AA53"/>
    <mergeCell ref="AB52:AB53"/>
    <mergeCell ref="AC52:AC53"/>
    <mergeCell ref="AJ52:AJ53"/>
    <mergeCell ref="AK52:AK53"/>
    <mergeCell ref="AL52:AL53"/>
    <mergeCell ref="AM52:AM53"/>
    <mergeCell ref="AK55:AK56"/>
    <mergeCell ref="AL55:AL56"/>
    <mergeCell ref="AM55:AM56"/>
    <mergeCell ref="AP52:AP53"/>
    <mergeCell ref="AN52:AN53"/>
    <mergeCell ref="AO52:AO53"/>
    <mergeCell ref="AD52:AD53"/>
    <mergeCell ref="AE52:AE53"/>
    <mergeCell ref="AF52:AF53"/>
    <mergeCell ref="AG52:AG53"/>
    <mergeCell ref="AH52:AH53"/>
    <mergeCell ref="AI52:AI53"/>
    <mergeCell ref="X50:X51"/>
    <mergeCell ref="Y50:Y51"/>
    <mergeCell ref="Z50:Z51"/>
    <mergeCell ref="AA50:AA51"/>
    <mergeCell ref="AB50:AB51"/>
    <mergeCell ref="AC50:AC51"/>
    <mergeCell ref="BE50:BE51"/>
    <mergeCell ref="AZ52:AZ53"/>
    <mergeCell ref="BA52:BA53"/>
    <mergeCell ref="BB52:BB53"/>
    <mergeCell ref="BC52:BC53"/>
    <mergeCell ref="BD52:BD53"/>
    <mergeCell ref="BE52:BE53"/>
    <mergeCell ref="AQ52:AQ53"/>
    <mergeCell ref="AR52:AR53"/>
    <mergeCell ref="AS52:AS53"/>
    <mergeCell ref="AT52:AT53"/>
    <mergeCell ref="AU52:AU53"/>
    <mergeCell ref="AV52:AV53"/>
    <mergeCell ref="AW52:AW53"/>
    <mergeCell ref="AX52:AX53"/>
    <mergeCell ref="AY52:AY53"/>
    <mergeCell ref="BF50:BF51"/>
    <mergeCell ref="AD50:AD51"/>
    <mergeCell ref="AE50:AE51"/>
    <mergeCell ref="AF50:AF51"/>
    <mergeCell ref="AG50:AG51"/>
    <mergeCell ref="AH50:AH51"/>
    <mergeCell ref="AI50:AI51"/>
    <mergeCell ref="A52:A53"/>
    <mergeCell ref="B52:B53"/>
    <mergeCell ref="C52:C53"/>
    <mergeCell ref="D52:D53"/>
    <mergeCell ref="E52:E53"/>
    <mergeCell ref="F52:F53"/>
    <mergeCell ref="G52:G53"/>
    <mergeCell ref="H52:H53"/>
    <mergeCell ref="I52:I53"/>
    <mergeCell ref="J52:J53"/>
    <mergeCell ref="N52:N53"/>
    <mergeCell ref="Q52:Q53"/>
    <mergeCell ref="AJ50:AJ51"/>
    <mergeCell ref="AK50:AK51"/>
    <mergeCell ref="AL50:AL51"/>
    <mergeCell ref="AM50:AM51"/>
    <mergeCell ref="AN50:AN51"/>
    <mergeCell ref="AO50:AO51"/>
    <mergeCell ref="AP50:AP51"/>
    <mergeCell ref="AQ50:AQ51"/>
    <mergeCell ref="AR50:AR51"/>
    <mergeCell ref="AS50:AS51"/>
    <mergeCell ref="AT50:AT51"/>
    <mergeCell ref="AU50:AU51"/>
    <mergeCell ref="A50:A51"/>
    <mergeCell ref="BG50:BG51"/>
    <mergeCell ref="AV50:AV51"/>
    <mergeCell ref="AW50:AW51"/>
    <mergeCell ref="AX50:AX51"/>
    <mergeCell ref="AY50:AY51"/>
    <mergeCell ref="AZ50:AZ51"/>
    <mergeCell ref="BA50:BA51"/>
    <mergeCell ref="BB50:BB51"/>
    <mergeCell ref="BC50:BC51"/>
    <mergeCell ref="BD50:BD51"/>
    <mergeCell ref="AA48:AA49"/>
    <mergeCell ref="AB48:AB49"/>
    <mergeCell ref="AC48:AC49"/>
    <mergeCell ref="R48:R49"/>
    <mergeCell ref="S48:S49"/>
    <mergeCell ref="T48:T49"/>
    <mergeCell ref="BB48:BB49"/>
    <mergeCell ref="BC48:BC49"/>
    <mergeCell ref="AD48:AD49"/>
    <mergeCell ref="AE48:AE49"/>
    <mergeCell ref="AF48:AF49"/>
    <mergeCell ref="AG48:AG49"/>
    <mergeCell ref="AH48:AH49"/>
    <mergeCell ref="AI48:AI49"/>
    <mergeCell ref="AL48:AL49"/>
    <mergeCell ref="AM48:AM49"/>
    <mergeCell ref="AN48:AN49"/>
    <mergeCell ref="AO48:AO49"/>
    <mergeCell ref="AP48:AP49"/>
    <mergeCell ref="AQ48:AQ49"/>
    <mergeCell ref="AR48:AR49"/>
    <mergeCell ref="AS48:AS49"/>
    <mergeCell ref="B50:B51"/>
    <mergeCell ref="C50:C51"/>
    <mergeCell ref="D50:D51"/>
    <mergeCell ref="E50:E51"/>
    <mergeCell ref="F50:F51"/>
    <mergeCell ref="U50:U51"/>
    <mergeCell ref="V50:V51"/>
    <mergeCell ref="W50:W51"/>
    <mergeCell ref="G50:G51"/>
    <mergeCell ref="H50:H51"/>
    <mergeCell ref="I50:I51"/>
    <mergeCell ref="J50:J51"/>
    <mergeCell ref="N50:N51"/>
    <mergeCell ref="Q50:Q51"/>
    <mergeCell ref="R50:R51"/>
    <mergeCell ref="AJ48:AJ49"/>
    <mergeCell ref="AK48:AK49"/>
    <mergeCell ref="S50:S51"/>
    <mergeCell ref="T50:T51"/>
    <mergeCell ref="AT48:AT49"/>
    <mergeCell ref="AU48:AU49"/>
    <mergeCell ref="BD48:BD49"/>
    <mergeCell ref="BE48:BE49"/>
    <mergeCell ref="BF48:BF49"/>
    <mergeCell ref="BG48:BG49"/>
    <mergeCell ref="AV48:AV49"/>
    <mergeCell ref="AW48:AW49"/>
    <mergeCell ref="AX48:AX49"/>
    <mergeCell ref="AY48:AY49"/>
    <mergeCell ref="AZ48:AZ49"/>
    <mergeCell ref="BA48:BA49"/>
    <mergeCell ref="H45:H46"/>
    <mergeCell ref="I45:I46"/>
    <mergeCell ref="J45:J46"/>
    <mergeCell ref="N45:N46"/>
    <mergeCell ref="Q45:Q46"/>
    <mergeCell ref="R45:R46"/>
    <mergeCell ref="BC45:BC46"/>
    <mergeCell ref="BD45:BD46"/>
    <mergeCell ref="AC45:AC46"/>
    <mergeCell ref="AD45:AD46"/>
    <mergeCell ref="S45:S46"/>
    <mergeCell ref="T45:T46"/>
    <mergeCell ref="U45:U46"/>
    <mergeCell ref="V45:V46"/>
    <mergeCell ref="W45:W46"/>
    <mergeCell ref="X45:X46"/>
    <mergeCell ref="AE45:AE46"/>
    <mergeCell ref="AF45:AF46"/>
    <mergeCell ref="AG45:AG46"/>
    <mergeCell ref="AH45:AH46"/>
    <mergeCell ref="Z43:Z44"/>
    <mergeCell ref="AA43:AA44"/>
    <mergeCell ref="AB43:AB44"/>
    <mergeCell ref="AC43:AC44"/>
    <mergeCell ref="AD43:AD44"/>
    <mergeCell ref="AE43:AE44"/>
    <mergeCell ref="AF43:AF44"/>
    <mergeCell ref="AG43:AG44"/>
    <mergeCell ref="AH43:AH44"/>
    <mergeCell ref="A48:A49"/>
    <mergeCell ref="B48:B49"/>
    <mergeCell ref="C48:C49"/>
    <mergeCell ref="D48:D49"/>
    <mergeCell ref="E48:E49"/>
    <mergeCell ref="F48:F49"/>
    <mergeCell ref="G48:G49"/>
    <mergeCell ref="H48:H49"/>
    <mergeCell ref="I48:I49"/>
    <mergeCell ref="J48:J49"/>
    <mergeCell ref="N48:N49"/>
    <mergeCell ref="Q48:Q49"/>
    <mergeCell ref="Y45:Y46"/>
    <mergeCell ref="Z45:Z46"/>
    <mergeCell ref="AA45:AA46"/>
    <mergeCell ref="AB45:AB46"/>
    <mergeCell ref="U48:U49"/>
    <mergeCell ref="V48:V49"/>
    <mergeCell ref="W48:W49"/>
    <mergeCell ref="X48:X49"/>
    <mergeCell ref="Y48:Y49"/>
    <mergeCell ref="Z48:Z49"/>
    <mergeCell ref="AI45:AI46"/>
    <mergeCell ref="AJ45:AJ46"/>
    <mergeCell ref="AK45:AK46"/>
    <mergeCell ref="AL45:AL46"/>
    <mergeCell ref="AM45:AM46"/>
    <mergeCell ref="AN45:AN46"/>
    <mergeCell ref="AO45:AO46"/>
    <mergeCell ref="AP45:AP46"/>
    <mergeCell ref="BG45:BG46"/>
    <mergeCell ref="A47:I47"/>
    <mergeCell ref="AW45:AW46"/>
    <mergeCell ref="AX45:AX46"/>
    <mergeCell ref="AY45:AY46"/>
    <mergeCell ref="AZ45:AZ46"/>
    <mergeCell ref="BA45:BA46"/>
    <mergeCell ref="BB45:BB46"/>
    <mergeCell ref="AQ45:AQ46"/>
    <mergeCell ref="AR45:AR46"/>
    <mergeCell ref="AR43:AR44"/>
    <mergeCell ref="AS43:AS44"/>
    <mergeCell ref="AT43:AT44"/>
    <mergeCell ref="AU43:AU44"/>
    <mergeCell ref="AV43:AV44"/>
    <mergeCell ref="AW43:AW44"/>
    <mergeCell ref="AX43:AX44"/>
    <mergeCell ref="AY43:AY44"/>
    <mergeCell ref="AZ43:AZ44"/>
    <mergeCell ref="BA43:BA44"/>
    <mergeCell ref="AK43:AK44"/>
    <mergeCell ref="AL43:AL44"/>
    <mergeCell ref="BB43:BB44"/>
    <mergeCell ref="BC43:BC44"/>
    <mergeCell ref="BD43:BD44"/>
    <mergeCell ref="BE43:BE44"/>
    <mergeCell ref="BF43:BF44"/>
    <mergeCell ref="BG43:BG44"/>
    <mergeCell ref="A45:A46"/>
    <mergeCell ref="B45:B46"/>
    <mergeCell ref="C45:C46"/>
    <mergeCell ref="D45:D46"/>
    <mergeCell ref="E45:E46"/>
    <mergeCell ref="F45:F46"/>
    <mergeCell ref="G45:G46"/>
    <mergeCell ref="J43:J44"/>
    <mergeCell ref="N43:N44"/>
    <mergeCell ref="Q43:Q44"/>
    <mergeCell ref="R43:R44"/>
    <mergeCell ref="S43:S44"/>
    <mergeCell ref="T43:T44"/>
    <mergeCell ref="U43:U44"/>
    <mergeCell ref="V43:V44"/>
    <mergeCell ref="W43:W44"/>
    <mergeCell ref="X43:X44"/>
    <mergeCell ref="Y43:Y44"/>
    <mergeCell ref="AI43:AI44"/>
    <mergeCell ref="AJ43:AJ44"/>
    <mergeCell ref="BE45:BE46"/>
    <mergeCell ref="BF45:BF46"/>
    <mergeCell ref="AS45:AS46"/>
    <mergeCell ref="AT45:AT46"/>
    <mergeCell ref="AU45:AU46"/>
    <mergeCell ref="AV45:AV46"/>
    <mergeCell ref="AM43:AM44"/>
    <mergeCell ref="AN43:AN44"/>
    <mergeCell ref="AO43:AO44"/>
    <mergeCell ref="AP43:AP44"/>
    <mergeCell ref="AQ43:AQ44"/>
    <mergeCell ref="BE41:BE42"/>
    <mergeCell ref="BF41:BF42"/>
    <mergeCell ref="BG41:BG42"/>
    <mergeCell ref="A43:A44"/>
    <mergeCell ref="B43:B44"/>
    <mergeCell ref="C43:C44"/>
    <mergeCell ref="D43:D44"/>
    <mergeCell ref="E43:E44"/>
    <mergeCell ref="F43:F44"/>
    <mergeCell ref="G43:G44"/>
    <mergeCell ref="H43:H44"/>
    <mergeCell ref="I43:I44"/>
    <mergeCell ref="Q41:Q42"/>
    <mergeCell ref="R41:R42"/>
    <mergeCell ref="S41:S42"/>
    <mergeCell ref="T41:T42"/>
    <mergeCell ref="U41:U42"/>
    <mergeCell ref="V41:V42"/>
    <mergeCell ref="W41:W42"/>
    <mergeCell ref="X41:X42"/>
    <mergeCell ref="Y41:Y42"/>
    <mergeCell ref="Z41:Z42"/>
    <mergeCell ref="AA41:AA42"/>
    <mergeCell ref="AB41:AB42"/>
    <mergeCell ref="AC41:AC42"/>
    <mergeCell ref="AD41:AD42"/>
    <mergeCell ref="AE41:AE42"/>
    <mergeCell ref="AI41:AI42"/>
    <mergeCell ref="AG41:AG42"/>
    <mergeCell ref="AH41:AH42"/>
    <mergeCell ref="AO41:AO42"/>
    <mergeCell ref="AP41:AP42"/>
    <mergeCell ref="BC41:BC42"/>
    <mergeCell ref="BD41:BD42"/>
    <mergeCell ref="AQ41:AQ42"/>
    <mergeCell ref="AR41:AR42"/>
    <mergeCell ref="AS41:AS42"/>
    <mergeCell ref="AT41:AT42"/>
    <mergeCell ref="AU41:AU42"/>
    <mergeCell ref="AV41:AV42"/>
    <mergeCell ref="AW41:AW42"/>
    <mergeCell ref="AX41:AX42"/>
    <mergeCell ref="AY41:AY42"/>
    <mergeCell ref="BA41:BA42"/>
    <mergeCell ref="BB41:BB42"/>
    <mergeCell ref="BA39:BA40"/>
    <mergeCell ref="BB39:BB40"/>
    <mergeCell ref="BC39:BC40"/>
    <mergeCell ref="BD39:BD40"/>
    <mergeCell ref="AY39:AY40"/>
    <mergeCell ref="AC39:AC40"/>
    <mergeCell ref="AD39:AD40"/>
    <mergeCell ref="AF41:AF42"/>
    <mergeCell ref="AF39:AF40"/>
    <mergeCell ref="AG39:AG40"/>
    <mergeCell ref="AH39:AH40"/>
    <mergeCell ref="AI39:AI40"/>
    <mergeCell ref="AJ39:AJ40"/>
    <mergeCell ref="AM41:AM42"/>
    <mergeCell ref="AN41:AN42"/>
    <mergeCell ref="AQ39:AQ40"/>
    <mergeCell ref="AR39:AR40"/>
    <mergeCell ref="AS39:AS40"/>
    <mergeCell ref="AE39:AE40"/>
    <mergeCell ref="AZ41:AZ42"/>
    <mergeCell ref="AJ41:AJ42"/>
    <mergeCell ref="AK41:AK42"/>
    <mergeCell ref="AL41:AL42"/>
    <mergeCell ref="AZ39:AZ40"/>
    <mergeCell ref="AP39:AP40"/>
    <mergeCell ref="A39:A40"/>
    <mergeCell ref="B39:B40"/>
    <mergeCell ref="C39:C40"/>
    <mergeCell ref="D39:D40"/>
    <mergeCell ref="E39:E40"/>
    <mergeCell ref="F39:F40"/>
    <mergeCell ref="G39:G40"/>
    <mergeCell ref="H39:H40"/>
    <mergeCell ref="I39:I40"/>
    <mergeCell ref="J39:J40"/>
    <mergeCell ref="N39:N40"/>
    <mergeCell ref="Q39:Q40"/>
    <mergeCell ref="R39:R40"/>
    <mergeCell ref="Y39:Y40"/>
    <mergeCell ref="Z39:Z40"/>
    <mergeCell ref="AA39:AA40"/>
    <mergeCell ref="AB39:AB40"/>
    <mergeCell ref="BF39:BF40"/>
    <mergeCell ref="BG39:BG40"/>
    <mergeCell ref="AT39:AT40"/>
    <mergeCell ref="AU39:AU40"/>
    <mergeCell ref="AV39:AV40"/>
    <mergeCell ref="AW39:AW40"/>
    <mergeCell ref="AX39:AX40"/>
    <mergeCell ref="BF37:BF38"/>
    <mergeCell ref="BG37:BG38"/>
    <mergeCell ref="AX37:AX38"/>
    <mergeCell ref="AS37:AS38"/>
    <mergeCell ref="AT37:AT38"/>
    <mergeCell ref="AU37:AU38"/>
    <mergeCell ref="AV37:AV38"/>
    <mergeCell ref="AW37:AW38"/>
    <mergeCell ref="A41:A42"/>
    <mergeCell ref="B41:B42"/>
    <mergeCell ref="C41:C42"/>
    <mergeCell ref="D41:D42"/>
    <mergeCell ref="E41:E42"/>
    <mergeCell ref="F41:F42"/>
    <mergeCell ref="G41:G42"/>
    <mergeCell ref="H41:H42"/>
    <mergeCell ref="I41:I42"/>
    <mergeCell ref="J41:J42"/>
    <mergeCell ref="N41:N42"/>
    <mergeCell ref="S39:S40"/>
    <mergeCell ref="T39:T40"/>
    <mergeCell ref="U39:U40"/>
    <mergeCell ref="V39:V40"/>
    <mergeCell ref="W39:W40"/>
    <mergeCell ref="X39:X40"/>
    <mergeCell ref="AO39:AO40"/>
    <mergeCell ref="AG37:AG38"/>
    <mergeCell ref="AH37:AH38"/>
    <mergeCell ref="AI37:AI38"/>
    <mergeCell ref="AJ37:AJ38"/>
    <mergeCell ref="AK37:AK38"/>
    <mergeCell ref="AL37:AL38"/>
    <mergeCell ref="AM37:AM38"/>
    <mergeCell ref="AY37:AY38"/>
    <mergeCell ref="AK39:AK40"/>
    <mergeCell ref="AL39:AL40"/>
    <mergeCell ref="AM39:AM40"/>
    <mergeCell ref="AN39:AN40"/>
    <mergeCell ref="BE39:BE40"/>
    <mergeCell ref="AZ37:AZ38"/>
    <mergeCell ref="BA37:BA38"/>
    <mergeCell ref="BB37:BB38"/>
    <mergeCell ref="BC37:BC38"/>
    <mergeCell ref="BD37:BD38"/>
    <mergeCell ref="BE37:BE38"/>
    <mergeCell ref="AQ37:AQ38"/>
    <mergeCell ref="AR37:AR38"/>
    <mergeCell ref="AX35:AX36"/>
    <mergeCell ref="AE35:AE36"/>
    <mergeCell ref="AF35:AF36"/>
    <mergeCell ref="AG35:AG36"/>
    <mergeCell ref="AH35:AH36"/>
    <mergeCell ref="AS35:AS36"/>
    <mergeCell ref="AT35:AT36"/>
    <mergeCell ref="AI35:AI36"/>
    <mergeCell ref="AJ35:AJ36"/>
    <mergeCell ref="AK35:AK36"/>
    <mergeCell ref="AL35:AL36"/>
    <mergeCell ref="AM35:AM36"/>
    <mergeCell ref="AN35:AN36"/>
    <mergeCell ref="AO35:AO36"/>
    <mergeCell ref="AP35:AP36"/>
    <mergeCell ref="U37:U38"/>
    <mergeCell ref="V37:V38"/>
    <mergeCell ref="W37:W38"/>
    <mergeCell ref="X37:X38"/>
    <mergeCell ref="Y37:Y38"/>
    <mergeCell ref="Z37:Z38"/>
    <mergeCell ref="AA37:AA38"/>
    <mergeCell ref="AB37:AB38"/>
    <mergeCell ref="AC37:AC38"/>
    <mergeCell ref="AD37:AD38"/>
    <mergeCell ref="AE37:AE38"/>
    <mergeCell ref="AF37:AF38"/>
    <mergeCell ref="AN37:AN38"/>
    <mergeCell ref="AO37:AO38"/>
    <mergeCell ref="AP37:AP38"/>
    <mergeCell ref="AY35:AY36"/>
    <mergeCell ref="AZ35:AZ36"/>
    <mergeCell ref="BA35:BA36"/>
    <mergeCell ref="BB35:BB36"/>
    <mergeCell ref="BC35:BC36"/>
    <mergeCell ref="BD35:BD36"/>
    <mergeCell ref="BE35:BE36"/>
    <mergeCell ref="BF35:BF36"/>
    <mergeCell ref="BG35:BG36"/>
    <mergeCell ref="A37:A38"/>
    <mergeCell ref="B37:B38"/>
    <mergeCell ref="C37:C38"/>
    <mergeCell ref="D37:D38"/>
    <mergeCell ref="E37:E38"/>
    <mergeCell ref="F37:F38"/>
    <mergeCell ref="G37:G38"/>
    <mergeCell ref="H37:H38"/>
    <mergeCell ref="I37:I38"/>
    <mergeCell ref="J37:J38"/>
    <mergeCell ref="N37:N38"/>
    <mergeCell ref="Q37:Q38"/>
    <mergeCell ref="R37:R38"/>
    <mergeCell ref="S37:S38"/>
    <mergeCell ref="T37:T38"/>
    <mergeCell ref="W35:W36"/>
    <mergeCell ref="X35:X36"/>
    <mergeCell ref="Y35:Y36"/>
    <mergeCell ref="Z35:Z36"/>
    <mergeCell ref="AA35:AA36"/>
    <mergeCell ref="AB35:AB36"/>
    <mergeCell ref="AC35:AC36"/>
    <mergeCell ref="AD35:AD36"/>
    <mergeCell ref="BC33:BC34"/>
    <mergeCell ref="BD33:BD34"/>
    <mergeCell ref="BE33:BE34"/>
    <mergeCell ref="BF33:BF34"/>
    <mergeCell ref="BG33:BG34"/>
    <mergeCell ref="AB33:AB34"/>
    <mergeCell ref="AC33:AC34"/>
    <mergeCell ref="AD33:AD34"/>
    <mergeCell ref="AK33:AK34"/>
    <mergeCell ref="AL33:AL34"/>
    <mergeCell ref="AM33:AM34"/>
    <mergeCell ref="AN33:AN34"/>
    <mergeCell ref="AO33:AO34"/>
    <mergeCell ref="AP33:AP34"/>
    <mergeCell ref="AQ33:AQ34"/>
    <mergeCell ref="AR33:AR34"/>
    <mergeCell ref="AS33:AS34"/>
    <mergeCell ref="AT33:AT34"/>
    <mergeCell ref="AU33:AU34"/>
    <mergeCell ref="AV33:AV34"/>
    <mergeCell ref="AX31:AX32"/>
    <mergeCell ref="AY31:AY32"/>
    <mergeCell ref="AZ31:AZ32"/>
    <mergeCell ref="BA31:BA32"/>
    <mergeCell ref="BB31:BB32"/>
    <mergeCell ref="F35:F36"/>
    <mergeCell ref="G35:G36"/>
    <mergeCell ref="H35:H36"/>
    <mergeCell ref="I35:I36"/>
    <mergeCell ref="J35:J36"/>
    <mergeCell ref="N35:N36"/>
    <mergeCell ref="Q35:Q36"/>
    <mergeCell ref="R35:R36"/>
    <mergeCell ref="S35:S36"/>
    <mergeCell ref="T35:T36"/>
    <mergeCell ref="U35:U36"/>
    <mergeCell ref="V35:V36"/>
    <mergeCell ref="AF33:AF34"/>
    <mergeCell ref="AG33:AG34"/>
    <mergeCell ref="AH33:AH34"/>
    <mergeCell ref="AI33:AI34"/>
    <mergeCell ref="AJ33:AJ34"/>
    <mergeCell ref="Y33:Y34"/>
    <mergeCell ref="Z33:Z34"/>
    <mergeCell ref="AA33:AA34"/>
    <mergeCell ref="H33:H34"/>
    <mergeCell ref="I33:I34"/>
    <mergeCell ref="J33:J34"/>
    <mergeCell ref="N33:N34"/>
    <mergeCell ref="Q33:Q34"/>
    <mergeCell ref="R33:R34"/>
    <mergeCell ref="S33:S34"/>
    <mergeCell ref="A35:A36"/>
    <mergeCell ref="B35:B36"/>
    <mergeCell ref="C35:C36"/>
    <mergeCell ref="D35:D36"/>
    <mergeCell ref="E35:E36"/>
    <mergeCell ref="AE33:AE34"/>
    <mergeCell ref="AM31:AM32"/>
    <mergeCell ref="AN31:AN32"/>
    <mergeCell ref="AO31:AO32"/>
    <mergeCell ref="AP31:AP32"/>
    <mergeCell ref="AQ31:AQ32"/>
    <mergeCell ref="AR31:AR32"/>
    <mergeCell ref="AS31:AS32"/>
    <mergeCell ref="AT31:AT32"/>
    <mergeCell ref="AU31:AU32"/>
    <mergeCell ref="AV31:AV32"/>
    <mergeCell ref="AW31:AW32"/>
    <mergeCell ref="T33:T34"/>
    <mergeCell ref="U33:U34"/>
    <mergeCell ref="V33:V34"/>
    <mergeCell ref="W33:W34"/>
    <mergeCell ref="X33:X34"/>
    <mergeCell ref="AQ35:AQ36"/>
    <mergeCell ref="AR35:AR36"/>
    <mergeCell ref="AU35:AU36"/>
    <mergeCell ref="AV35:AV36"/>
    <mergeCell ref="AW35:AW36"/>
    <mergeCell ref="BC31:BC32"/>
    <mergeCell ref="BD31:BD32"/>
    <mergeCell ref="BE31:BE32"/>
    <mergeCell ref="BF31:BF32"/>
    <mergeCell ref="BG31:BG32"/>
    <mergeCell ref="A33:A34"/>
    <mergeCell ref="B33:B34"/>
    <mergeCell ref="C33:C34"/>
    <mergeCell ref="D33:D34"/>
    <mergeCell ref="E33:E34"/>
    <mergeCell ref="F33:F34"/>
    <mergeCell ref="G33:G34"/>
    <mergeCell ref="J31:J32"/>
    <mergeCell ref="N31:N32"/>
    <mergeCell ref="Q31:Q32"/>
    <mergeCell ref="R31:R32"/>
    <mergeCell ref="S31:S32"/>
    <mergeCell ref="T31:T32"/>
    <mergeCell ref="U31:U32"/>
    <mergeCell ref="V31:V32"/>
    <mergeCell ref="W31:W32"/>
    <mergeCell ref="X31:X32"/>
    <mergeCell ref="Y31:Y32"/>
    <mergeCell ref="Z31:Z32"/>
    <mergeCell ref="AW33:AW34"/>
    <mergeCell ref="AX33:AX34"/>
    <mergeCell ref="AY33:AY34"/>
    <mergeCell ref="AZ33:AZ34"/>
    <mergeCell ref="BA33:BA34"/>
    <mergeCell ref="BB33:BB34"/>
    <mergeCell ref="AG31:AG32"/>
    <mergeCell ref="AH31:AH32"/>
    <mergeCell ref="AK29:AK30"/>
    <mergeCell ref="AL29:AL30"/>
    <mergeCell ref="AK31:AK32"/>
    <mergeCell ref="AL31:AL32"/>
    <mergeCell ref="AA31:AA32"/>
    <mergeCell ref="AB31:AB32"/>
    <mergeCell ref="AC31:AC32"/>
    <mergeCell ref="AD31:AD32"/>
    <mergeCell ref="AE31:AE32"/>
    <mergeCell ref="AF31:AF32"/>
    <mergeCell ref="AO29:AO30"/>
    <mergeCell ref="AP29:AP30"/>
    <mergeCell ref="AQ29:AQ30"/>
    <mergeCell ref="AR29:AR30"/>
    <mergeCell ref="AS29:AS30"/>
    <mergeCell ref="AT29:AT30"/>
    <mergeCell ref="AU29:AU30"/>
    <mergeCell ref="AB29:AB30"/>
    <mergeCell ref="AM29:AM30"/>
    <mergeCell ref="AN29:AN30"/>
    <mergeCell ref="AC29:AC30"/>
    <mergeCell ref="AD29:AD30"/>
    <mergeCell ref="AE29:AE30"/>
    <mergeCell ref="AF29:AF30"/>
    <mergeCell ref="AG29:AG30"/>
    <mergeCell ref="AH29:AH30"/>
    <mergeCell ref="AI29:AI30"/>
    <mergeCell ref="AJ29:AJ30"/>
    <mergeCell ref="AI31:AI32"/>
    <mergeCell ref="AJ31:AJ32"/>
    <mergeCell ref="AV29:AV30"/>
    <mergeCell ref="AW29:AW30"/>
    <mergeCell ref="AX29:AX30"/>
    <mergeCell ref="AY29:AY30"/>
    <mergeCell ref="AZ29:AZ30"/>
    <mergeCell ref="BA29:BA30"/>
    <mergeCell ref="BB29:BB30"/>
    <mergeCell ref="BC29:BC30"/>
    <mergeCell ref="BD29:BD30"/>
    <mergeCell ref="BE29:BE30"/>
    <mergeCell ref="BF29:BF30"/>
    <mergeCell ref="BG29:BG30"/>
    <mergeCell ref="A31:A32"/>
    <mergeCell ref="B31:B32"/>
    <mergeCell ref="C31:C32"/>
    <mergeCell ref="D31:D32"/>
    <mergeCell ref="E31:E32"/>
    <mergeCell ref="F31:F32"/>
    <mergeCell ref="G31:G32"/>
    <mergeCell ref="H31:H32"/>
    <mergeCell ref="I31:I32"/>
    <mergeCell ref="Q29:Q30"/>
    <mergeCell ref="R29:R30"/>
    <mergeCell ref="S29:S30"/>
    <mergeCell ref="T29:T30"/>
    <mergeCell ref="U29:U30"/>
    <mergeCell ref="V29:V30"/>
    <mergeCell ref="W29:W30"/>
    <mergeCell ref="X29:X30"/>
    <mergeCell ref="Y29:Y30"/>
    <mergeCell ref="Z29:Z30"/>
    <mergeCell ref="AA29:AA30"/>
    <mergeCell ref="A29:A30"/>
    <mergeCell ref="B29:B30"/>
    <mergeCell ref="C29:C30"/>
    <mergeCell ref="D29:D30"/>
    <mergeCell ref="E29:E30"/>
    <mergeCell ref="BE25:BE26"/>
    <mergeCell ref="AS25:AS26"/>
    <mergeCell ref="AT25:AT26"/>
    <mergeCell ref="AU25:AU26"/>
    <mergeCell ref="AV25:AV26"/>
    <mergeCell ref="F29:F30"/>
    <mergeCell ref="G29:G30"/>
    <mergeCell ref="H29:H30"/>
    <mergeCell ref="I29:I30"/>
    <mergeCell ref="J29:J30"/>
    <mergeCell ref="N29:N30"/>
    <mergeCell ref="U25:U26"/>
    <mergeCell ref="V25:V26"/>
    <mergeCell ref="W25:W26"/>
    <mergeCell ref="X25:X26"/>
    <mergeCell ref="Y25:Y26"/>
    <mergeCell ref="Z25:Z26"/>
    <mergeCell ref="AA25:AA26"/>
    <mergeCell ref="AB25:AB26"/>
    <mergeCell ref="AC25:AC26"/>
    <mergeCell ref="AD25:AD26"/>
    <mergeCell ref="AE25:AE26"/>
    <mergeCell ref="AF25:AF26"/>
    <mergeCell ref="AG25:AG26"/>
    <mergeCell ref="AH25:AH26"/>
    <mergeCell ref="AI25:AI26"/>
    <mergeCell ref="AJ25:AJ26"/>
    <mergeCell ref="BA21:BA22"/>
    <mergeCell ref="BB21:BB22"/>
    <mergeCell ref="BC21:BC22"/>
    <mergeCell ref="BD21:BD22"/>
    <mergeCell ref="BE21:BE22"/>
    <mergeCell ref="BF21:BF22"/>
    <mergeCell ref="BG21:BG22"/>
    <mergeCell ref="AW23:AW24"/>
    <mergeCell ref="AX23:AX24"/>
    <mergeCell ref="A25:A26"/>
    <mergeCell ref="B25:B26"/>
    <mergeCell ref="C25:C26"/>
    <mergeCell ref="D25:D26"/>
    <mergeCell ref="E25:E26"/>
    <mergeCell ref="F25:F26"/>
    <mergeCell ref="G25:G26"/>
    <mergeCell ref="H25:H26"/>
    <mergeCell ref="I25:I26"/>
    <mergeCell ref="J25:J26"/>
    <mergeCell ref="N25:N26"/>
    <mergeCell ref="Q25:Q26"/>
    <mergeCell ref="R25:R26"/>
    <mergeCell ref="S25:S26"/>
    <mergeCell ref="T25:T26"/>
    <mergeCell ref="W21:W22"/>
    <mergeCell ref="X21:X22"/>
    <mergeCell ref="F21:F22"/>
    <mergeCell ref="G21:G22"/>
    <mergeCell ref="H21:H22"/>
    <mergeCell ref="I21:I22"/>
    <mergeCell ref="J21:J22"/>
    <mergeCell ref="N21:N22"/>
    <mergeCell ref="Q21:Q22"/>
    <mergeCell ref="R21:R22"/>
    <mergeCell ref="S21:S22"/>
    <mergeCell ref="T21:T22"/>
    <mergeCell ref="U21:U22"/>
    <mergeCell ref="V21:V22"/>
    <mergeCell ref="A21:A22"/>
    <mergeCell ref="B21:B22"/>
    <mergeCell ref="C21:C22"/>
    <mergeCell ref="Y21:Y22"/>
    <mergeCell ref="Z21:Z22"/>
    <mergeCell ref="AA21:AA22"/>
    <mergeCell ref="AB21:AB22"/>
    <mergeCell ref="D21:D22"/>
    <mergeCell ref="E21:E22"/>
    <mergeCell ref="Z19:Z20"/>
    <mergeCell ref="AA19:AA20"/>
    <mergeCell ref="W19:W20"/>
    <mergeCell ref="X19:X20"/>
    <mergeCell ref="H19:H20"/>
    <mergeCell ref="AK19:AK20"/>
    <mergeCell ref="AL19:AL20"/>
    <mergeCell ref="AM19:AM20"/>
    <mergeCell ref="AN19:AN20"/>
    <mergeCell ref="AE19:AE20"/>
    <mergeCell ref="AT21:AT22"/>
    <mergeCell ref="AI21:AI22"/>
    <mergeCell ref="AJ21:AJ22"/>
    <mergeCell ref="AK21:AK22"/>
    <mergeCell ref="AL21:AL22"/>
    <mergeCell ref="AM21:AM22"/>
    <mergeCell ref="AN21:AN22"/>
    <mergeCell ref="AO21:AO22"/>
    <mergeCell ref="AP21:AP22"/>
    <mergeCell ref="AQ19:AQ20"/>
    <mergeCell ref="AR19:AR20"/>
    <mergeCell ref="AS19:AS20"/>
    <mergeCell ref="AT19:AT20"/>
    <mergeCell ref="BC19:BC20"/>
    <mergeCell ref="BD19:BD20"/>
    <mergeCell ref="BE19:BE20"/>
    <mergeCell ref="BA17:BA18"/>
    <mergeCell ref="BB17:BB18"/>
    <mergeCell ref="BD17:BD18"/>
    <mergeCell ref="BE17:BE18"/>
    <mergeCell ref="BF19:BF20"/>
    <mergeCell ref="BG19:BG20"/>
    <mergeCell ref="AB19:AB20"/>
    <mergeCell ref="AC19:AC20"/>
    <mergeCell ref="AD19:AD20"/>
    <mergeCell ref="AF19:AF20"/>
    <mergeCell ref="AG19:AG20"/>
    <mergeCell ref="AH19:AH20"/>
    <mergeCell ref="AI19:AI20"/>
    <mergeCell ref="AJ19:AJ20"/>
    <mergeCell ref="AB17:AB18"/>
    <mergeCell ref="AC17:AC18"/>
    <mergeCell ref="AD17:AD18"/>
    <mergeCell ref="AE17:AE18"/>
    <mergeCell ref="AF17:AF18"/>
    <mergeCell ref="BA19:BA20"/>
    <mergeCell ref="BB19:BB20"/>
    <mergeCell ref="AJ17:AJ18"/>
    <mergeCell ref="AM17:AM18"/>
    <mergeCell ref="AN17:AN18"/>
    <mergeCell ref="AO17:AO18"/>
    <mergeCell ref="AY17:AY18"/>
    <mergeCell ref="AZ17:AZ18"/>
    <mergeCell ref="AO19:AO20"/>
    <mergeCell ref="AP19:AP20"/>
    <mergeCell ref="AU19:AU20"/>
    <mergeCell ref="AV19:AV20"/>
    <mergeCell ref="AW19:AW20"/>
    <mergeCell ref="AX19:AX20"/>
    <mergeCell ref="AY19:AY20"/>
    <mergeCell ref="AZ19:AZ20"/>
    <mergeCell ref="A19:A20"/>
    <mergeCell ref="B19:B20"/>
    <mergeCell ref="C19:C20"/>
    <mergeCell ref="D19:D20"/>
    <mergeCell ref="E19:E20"/>
    <mergeCell ref="F19:F20"/>
    <mergeCell ref="G19:G20"/>
    <mergeCell ref="J17:J18"/>
    <mergeCell ref="N17:N18"/>
    <mergeCell ref="Q17:Q18"/>
    <mergeCell ref="R17:R18"/>
    <mergeCell ref="S17:S18"/>
    <mergeCell ref="T17:T18"/>
    <mergeCell ref="U17:U18"/>
    <mergeCell ref="V17:V18"/>
    <mergeCell ref="W17:W18"/>
    <mergeCell ref="X17:X18"/>
    <mergeCell ref="I19:I20"/>
    <mergeCell ref="J19:J20"/>
    <mergeCell ref="N19:N20"/>
    <mergeCell ref="Q19:Q20"/>
    <mergeCell ref="R19:R20"/>
    <mergeCell ref="S19:S20"/>
    <mergeCell ref="T19:T20"/>
    <mergeCell ref="U19:U20"/>
    <mergeCell ref="V19:V20"/>
    <mergeCell ref="AU17:AU18"/>
    <mergeCell ref="AV17:AV18"/>
    <mergeCell ref="AW17:AW18"/>
    <mergeCell ref="AX17:AX18"/>
    <mergeCell ref="Y17:Y18"/>
    <mergeCell ref="Z17:Z18"/>
    <mergeCell ref="BF17:BF18"/>
    <mergeCell ref="AZ15:AZ16"/>
    <mergeCell ref="BA15:BA16"/>
    <mergeCell ref="BB15:BB16"/>
    <mergeCell ref="BC15:BC16"/>
    <mergeCell ref="BD15:BD16"/>
    <mergeCell ref="BE15:BE16"/>
    <mergeCell ref="BF15:BF16"/>
    <mergeCell ref="AK17:AK18"/>
    <mergeCell ref="AL17:AL18"/>
    <mergeCell ref="AO15:AO16"/>
    <mergeCell ref="AP15:AP16"/>
    <mergeCell ref="AQ15:AQ16"/>
    <mergeCell ref="AR15:AR16"/>
    <mergeCell ref="AS15:AS16"/>
    <mergeCell ref="AT15:AT16"/>
    <mergeCell ref="AU15:AU16"/>
    <mergeCell ref="AV15:AV16"/>
    <mergeCell ref="AW15:AW16"/>
    <mergeCell ref="AX15:AX16"/>
    <mergeCell ref="AY15:AY16"/>
    <mergeCell ref="BC17:BC18"/>
    <mergeCell ref="AI15:AI16"/>
    <mergeCell ref="AJ15:AJ16"/>
    <mergeCell ref="AK15:AK16"/>
    <mergeCell ref="BG15:BG16"/>
    <mergeCell ref="A17:A18"/>
    <mergeCell ref="B17:B18"/>
    <mergeCell ref="C17:C18"/>
    <mergeCell ref="D17:D18"/>
    <mergeCell ref="E17:E18"/>
    <mergeCell ref="F17:F18"/>
    <mergeCell ref="G17:G18"/>
    <mergeCell ref="H17:H18"/>
    <mergeCell ref="I17:I18"/>
    <mergeCell ref="Q15:Q16"/>
    <mergeCell ref="R15:R16"/>
    <mergeCell ref="S15:S16"/>
    <mergeCell ref="T15:T16"/>
    <mergeCell ref="U15:U16"/>
    <mergeCell ref="V15:V16"/>
    <mergeCell ref="W15:W16"/>
    <mergeCell ref="X15:X16"/>
    <mergeCell ref="Y15:Y16"/>
    <mergeCell ref="Z15:Z16"/>
    <mergeCell ref="AA15:AA16"/>
    <mergeCell ref="AB15:AB16"/>
    <mergeCell ref="BG17:BG18"/>
    <mergeCell ref="AA17:AA18"/>
    <mergeCell ref="AG17:AG18"/>
    <mergeCell ref="AH17:AH18"/>
    <mergeCell ref="AI17:AI18"/>
    <mergeCell ref="AP17:AP18"/>
    <mergeCell ref="AQ17:AQ18"/>
    <mergeCell ref="AR17:AR18"/>
    <mergeCell ref="AS17:AS18"/>
    <mergeCell ref="AT17:AT18"/>
    <mergeCell ref="AN11:AN12"/>
    <mergeCell ref="AM15:AM16"/>
    <mergeCell ref="AN15:AN16"/>
    <mergeCell ref="AC15:AC16"/>
    <mergeCell ref="AD15:AD16"/>
    <mergeCell ref="AE15:AE16"/>
    <mergeCell ref="AF15:AF16"/>
    <mergeCell ref="AG15:AG16"/>
    <mergeCell ref="AH15:AH16"/>
    <mergeCell ref="AQ11:AQ12"/>
    <mergeCell ref="AR11:AR12"/>
    <mergeCell ref="AS11:AS12"/>
    <mergeCell ref="AT11:AT12"/>
    <mergeCell ref="AU11:AU12"/>
    <mergeCell ref="AV11:AV12"/>
    <mergeCell ref="AW11:AW12"/>
    <mergeCell ref="AD11:AD12"/>
    <mergeCell ref="AO11:AO12"/>
    <mergeCell ref="AP11:AP12"/>
    <mergeCell ref="AE11:AE12"/>
    <mergeCell ref="AF11:AF12"/>
    <mergeCell ref="AG11:AG12"/>
    <mergeCell ref="AH11:AH12"/>
    <mergeCell ref="AI11:AI12"/>
    <mergeCell ref="AJ11:AJ12"/>
    <mergeCell ref="AK11:AK12"/>
    <mergeCell ref="AL11:AL12"/>
    <mergeCell ref="AL15:AL16"/>
    <mergeCell ref="AJ13:AJ14"/>
    <mergeCell ref="AY11:AY12"/>
    <mergeCell ref="AZ11:AZ12"/>
    <mergeCell ref="BA11:BA12"/>
    <mergeCell ref="BB11:BB12"/>
    <mergeCell ref="BC11:BC12"/>
    <mergeCell ref="BD11:BD12"/>
    <mergeCell ref="BE11:BE12"/>
    <mergeCell ref="BF11:BF12"/>
    <mergeCell ref="BG11:BG12"/>
    <mergeCell ref="A15:A16"/>
    <mergeCell ref="B15:B16"/>
    <mergeCell ref="C15:C16"/>
    <mergeCell ref="D15:D16"/>
    <mergeCell ref="E15:E16"/>
    <mergeCell ref="F15:F16"/>
    <mergeCell ref="G15:G16"/>
    <mergeCell ref="H15:H16"/>
    <mergeCell ref="I15:I16"/>
    <mergeCell ref="J15:J16"/>
    <mergeCell ref="N15:N16"/>
    <mergeCell ref="S11:S12"/>
    <mergeCell ref="T11:T12"/>
    <mergeCell ref="U11:U12"/>
    <mergeCell ref="V11:V12"/>
    <mergeCell ref="W11:W12"/>
    <mergeCell ref="X11:X12"/>
    <mergeCell ref="Y11:Y12"/>
    <mergeCell ref="Z11:Z12"/>
    <mergeCell ref="AA11:AA12"/>
    <mergeCell ref="AB11:AB12"/>
    <mergeCell ref="AC11:AC12"/>
    <mergeCell ref="AM11:AM12"/>
    <mergeCell ref="A13:A14"/>
    <mergeCell ref="AX9:AX10"/>
    <mergeCell ref="AY9:AY10"/>
    <mergeCell ref="AZ9:AZ10"/>
    <mergeCell ref="AO9:AO10"/>
    <mergeCell ref="AP9:AP10"/>
    <mergeCell ref="AQ9:AQ10"/>
    <mergeCell ref="AR9:AR10"/>
    <mergeCell ref="AS9:AS10"/>
    <mergeCell ref="AT9:AT10"/>
    <mergeCell ref="G11:G12"/>
    <mergeCell ref="BG9:BG10"/>
    <mergeCell ref="BA9:BA10"/>
    <mergeCell ref="BB9:BB10"/>
    <mergeCell ref="BC9:BC10"/>
    <mergeCell ref="BD9:BD10"/>
    <mergeCell ref="BE9:BE10"/>
    <mergeCell ref="BF9:BF10"/>
    <mergeCell ref="AU9:AU10"/>
    <mergeCell ref="AV9:AV10"/>
    <mergeCell ref="AB9:AB10"/>
    <mergeCell ref="AC9:AC10"/>
    <mergeCell ref="AD9:AD10"/>
    <mergeCell ref="AE9:AE10"/>
    <mergeCell ref="AF9:AF10"/>
    <mergeCell ref="AG9:AG10"/>
    <mergeCell ref="AH9:AH10"/>
    <mergeCell ref="AI9:AI10"/>
    <mergeCell ref="AJ9:AJ10"/>
    <mergeCell ref="AK9:AK10"/>
    <mergeCell ref="AL9:AL10"/>
    <mergeCell ref="AM9:AM10"/>
    <mergeCell ref="AX11:AX12"/>
    <mergeCell ref="BC7:BC8"/>
    <mergeCell ref="BD7:BD8"/>
    <mergeCell ref="BE7:BE8"/>
    <mergeCell ref="BF7:BF8"/>
    <mergeCell ref="AS7:AS8"/>
    <mergeCell ref="AT7:AT8"/>
    <mergeCell ref="AU7:AU8"/>
    <mergeCell ref="AV7:AV8"/>
    <mergeCell ref="AW7:AW8"/>
    <mergeCell ref="AX7:AX8"/>
    <mergeCell ref="AY7:AY8"/>
    <mergeCell ref="AZ7:AZ8"/>
    <mergeCell ref="BA7:BA8"/>
    <mergeCell ref="BB7:BB8"/>
    <mergeCell ref="A11:A12"/>
    <mergeCell ref="B11:B12"/>
    <mergeCell ref="C11:C12"/>
    <mergeCell ref="D11:D12"/>
    <mergeCell ref="E11:E12"/>
    <mergeCell ref="F11:F12"/>
    <mergeCell ref="H11:H12"/>
    <mergeCell ref="I11:I12"/>
    <mergeCell ref="J11:J12"/>
    <mergeCell ref="N11:N12"/>
    <mergeCell ref="Q11:Q12"/>
    <mergeCell ref="R11:R12"/>
    <mergeCell ref="W9:W10"/>
    <mergeCell ref="X9:X10"/>
    <mergeCell ref="Y9:Y10"/>
    <mergeCell ref="Z9:Z10"/>
    <mergeCell ref="AA9:AA10"/>
    <mergeCell ref="AW9:AW10"/>
    <mergeCell ref="AL7:AL8"/>
    <mergeCell ref="AM7:AM8"/>
    <mergeCell ref="AN7:AN8"/>
    <mergeCell ref="AO7:AO8"/>
    <mergeCell ref="AP7:AP8"/>
    <mergeCell ref="AQ7:AQ8"/>
    <mergeCell ref="AR7:AR8"/>
    <mergeCell ref="AN9:AN10"/>
    <mergeCell ref="H7:H8"/>
    <mergeCell ref="I7:I8"/>
    <mergeCell ref="J7:J8"/>
    <mergeCell ref="N7:N8"/>
    <mergeCell ref="Q7:Q8"/>
    <mergeCell ref="R7:R8"/>
    <mergeCell ref="S7:S8"/>
    <mergeCell ref="T7:T8"/>
    <mergeCell ref="U7:U8"/>
    <mergeCell ref="V7:V8"/>
    <mergeCell ref="W7:W8"/>
    <mergeCell ref="X7:X8"/>
    <mergeCell ref="A9:A10"/>
    <mergeCell ref="B9:B10"/>
    <mergeCell ref="C9:C10"/>
    <mergeCell ref="D9:D10"/>
    <mergeCell ref="E9:E10"/>
    <mergeCell ref="AE7:AE8"/>
    <mergeCell ref="AM5:AM6"/>
    <mergeCell ref="AN5:AN6"/>
    <mergeCell ref="AO5:AO6"/>
    <mergeCell ref="AP5:AP6"/>
    <mergeCell ref="AQ5:AQ6"/>
    <mergeCell ref="AR5:AR6"/>
    <mergeCell ref="AS5:AS6"/>
    <mergeCell ref="Z5:Z6"/>
    <mergeCell ref="BG7:BG8"/>
    <mergeCell ref="AB7:AB8"/>
    <mergeCell ref="AC7:AC8"/>
    <mergeCell ref="AD7:AD8"/>
    <mergeCell ref="F9:F10"/>
    <mergeCell ref="G9:G10"/>
    <mergeCell ref="H9:H10"/>
    <mergeCell ref="I9:I10"/>
    <mergeCell ref="J9:J10"/>
    <mergeCell ref="N9:N10"/>
    <mergeCell ref="Q9:Q10"/>
    <mergeCell ref="R9:R10"/>
    <mergeCell ref="S9:S10"/>
    <mergeCell ref="T9:T10"/>
    <mergeCell ref="U9:U10"/>
    <mergeCell ref="V9:V10"/>
    <mergeCell ref="AF7:AF8"/>
    <mergeCell ref="AG7:AG8"/>
    <mergeCell ref="BE5:BE6"/>
    <mergeCell ref="BF5:BF6"/>
    <mergeCell ref="BG5:BG6"/>
    <mergeCell ref="A7:A8"/>
    <mergeCell ref="B7:B8"/>
    <mergeCell ref="C7:C8"/>
    <mergeCell ref="D7:D8"/>
    <mergeCell ref="E7:E8"/>
    <mergeCell ref="F7:F8"/>
    <mergeCell ref="G7:G8"/>
    <mergeCell ref="J5:J6"/>
    <mergeCell ref="N5:N6"/>
    <mergeCell ref="Q5:Q6"/>
    <mergeCell ref="R5:R6"/>
    <mergeCell ref="S5:S6"/>
    <mergeCell ref="T5:T6"/>
    <mergeCell ref="U5:U6"/>
    <mergeCell ref="V5:V6"/>
    <mergeCell ref="W5:W6"/>
    <mergeCell ref="X5:X6"/>
    <mergeCell ref="Y5:Y6"/>
    <mergeCell ref="AG5:AG6"/>
    <mergeCell ref="AH5:AH6"/>
    <mergeCell ref="AI5:AI6"/>
    <mergeCell ref="AJ5:AJ6"/>
    <mergeCell ref="AH7:AH8"/>
    <mergeCell ref="AI7:AI8"/>
    <mergeCell ref="AJ7:AJ8"/>
    <mergeCell ref="Y7:Y8"/>
    <mergeCell ref="Z7:Z8"/>
    <mergeCell ref="AA7:AA8"/>
    <mergeCell ref="AK7:AK8"/>
    <mergeCell ref="AW5:AW6"/>
    <mergeCell ref="AX5:AX6"/>
    <mergeCell ref="AY5:AY6"/>
    <mergeCell ref="AZ5:AZ6"/>
    <mergeCell ref="BA5:BA6"/>
    <mergeCell ref="BB5:BB6"/>
    <mergeCell ref="BC5:BC6"/>
    <mergeCell ref="BD5:BD6"/>
    <mergeCell ref="AV3:AV4"/>
    <mergeCell ref="AW3:AW4"/>
    <mergeCell ref="AX3:AX4"/>
    <mergeCell ref="AY3:AY4"/>
    <mergeCell ref="AZ3:AZ4"/>
    <mergeCell ref="BA3:BA4"/>
    <mergeCell ref="BB3:BB4"/>
    <mergeCell ref="BC3:BC4"/>
    <mergeCell ref="BD3:BD4"/>
    <mergeCell ref="BE3:BE4"/>
    <mergeCell ref="BF3:BF4"/>
    <mergeCell ref="BG3:BG4"/>
    <mergeCell ref="A5:A6"/>
    <mergeCell ref="B5:B6"/>
    <mergeCell ref="C5:C6"/>
    <mergeCell ref="D5:D6"/>
    <mergeCell ref="E5:E6"/>
    <mergeCell ref="F5:F6"/>
    <mergeCell ref="G5:G6"/>
    <mergeCell ref="H5:H6"/>
    <mergeCell ref="I5:I6"/>
    <mergeCell ref="AK3:AK4"/>
    <mergeCell ref="AL3:AL4"/>
    <mergeCell ref="AK5:AK6"/>
    <mergeCell ref="AL5:AL6"/>
    <mergeCell ref="AA5:AA6"/>
    <mergeCell ref="AB5:AB6"/>
    <mergeCell ref="AC5:AC6"/>
    <mergeCell ref="AD5:AD6"/>
    <mergeCell ref="AE5:AE6"/>
    <mergeCell ref="AF5:AF6"/>
    <mergeCell ref="AO3:AO4"/>
    <mergeCell ref="AP3:AP4"/>
    <mergeCell ref="AQ3:AQ4"/>
    <mergeCell ref="AR3:AR4"/>
    <mergeCell ref="AS3:AS4"/>
    <mergeCell ref="AT3:AT4"/>
    <mergeCell ref="AU3:AU4"/>
    <mergeCell ref="AT5:AT6"/>
    <mergeCell ref="AU5:AU6"/>
    <mergeCell ref="AV5:AV6"/>
    <mergeCell ref="A1:O1"/>
    <mergeCell ref="A2:O2"/>
    <mergeCell ref="S3:S4"/>
    <mergeCell ref="T3:T4"/>
    <mergeCell ref="U3:U4"/>
    <mergeCell ref="V3:V4"/>
    <mergeCell ref="W3:W4"/>
    <mergeCell ref="X3:X4"/>
    <mergeCell ref="Y3:Y4"/>
    <mergeCell ref="Z3:Z4"/>
    <mergeCell ref="AA3:AA4"/>
    <mergeCell ref="AB3:AB4"/>
    <mergeCell ref="AM3:AM4"/>
    <mergeCell ref="AN3:AN4"/>
    <mergeCell ref="AC3:AC4"/>
    <mergeCell ref="AD3:AD4"/>
    <mergeCell ref="AE3:AE4"/>
    <mergeCell ref="AF3:AF4"/>
    <mergeCell ref="AG3:AG4"/>
    <mergeCell ref="AH3:AH4"/>
    <mergeCell ref="AI3:AI4"/>
    <mergeCell ref="AJ3:AJ4"/>
  </mergeCells>
  <phoneticPr fontId="61" type="noConversion"/>
  <pageMargins left="0" right="0" top="0" bottom="0" header="0" footer="0"/>
  <pageSetup paperSize="9" scale="65"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5"/>
  <sheetViews>
    <sheetView zoomScale="70" zoomScaleNormal="70" workbookViewId="0">
      <pane xSplit="10" ySplit="4" topLeftCell="K20" activePane="bottomRight" state="frozen"/>
      <selection activeCell="R1" sqref="R1"/>
      <selection pane="topRight" activeCell="R1" sqref="R1"/>
      <selection pane="bottomLeft" activeCell="R1" sqref="R1"/>
      <selection pane="bottomRight" activeCell="P15" sqref="P15"/>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45278</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6" si="0">L5-M5</f>
        <v>0</v>
      </c>
      <c r="P5" s="27">
        <v>0</v>
      </c>
      <c r="Q5" s="99">
        <f>+L6-P6</f>
        <v>1</v>
      </c>
      <c r="R5" s="85" t="s">
        <v>87</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2194+35</f>
        <v>2229</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45278</v>
      </c>
      <c r="B7" s="87" t="s">
        <v>37</v>
      </c>
      <c r="C7" s="89">
        <v>1</v>
      </c>
      <c r="D7" s="91" t="s">
        <v>38</v>
      </c>
      <c r="E7" s="89">
        <v>84217</v>
      </c>
      <c r="F7" s="89" t="s">
        <v>49</v>
      </c>
      <c r="G7" s="93" t="s">
        <v>63</v>
      </c>
      <c r="H7" s="90" t="s">
        <v>39</v>
      </c>
      <c r="I7" s="90">
        <v>4965</v>
      </c>
      <c r="J7" s="90">
        <v>965</v>
      </c>
      <c r="K7" s="20">
        <v>0</v>
      </c>
      <c r="L7" s="20">
        <v>0</v>
      </c>
      <c r="M7" s="20">
        <v>0</v>
      </c>
      <c r="N7" s="97">
        <f>O8/L8</f>
        <v>0.66357069143446856</v>
      </c>
      <c r="O7" s="21">
        <f t="shared" si="0"/>
        <v>0</v>
      </c>
      <c r="P7" s="27">
        <v>72</v>
      </c>
      <c r="Q7" s="99">
        <f>+L8-P8</f>
        <v>28</v>
      </c>
      <c r="R7" s="85"/>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5+13+70+100+67+52+57+45+75+145+72+45+98+99+26</f>
        <v>969</v>
      </c>
      <c r="L8" s="18">
        <f>5+13+60+10+10+10+50+150+40+160+120+20+30+180+75+36</f>
        <v>969</v>
      </c>
      <c r="M8" s="18">
        <f>10+10+40+30+40+60+10+10+60+20+36</f>
        <v>326</v>
      </c>
      <c r="N8" s="98"/>
      <c r="O8" s="19">
        <f t="shared" si="0"/>
        <v>643</v>
      </c>
      <c r="P8" s="22">
        <f>10+30+30+10+38+41+53+189+142+63+63+40+125+35+72</f>
        <v>941</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45278</v>
      </c>
      <c r="B9" s="87" t="s">
        <v>37</v>
      </c>
      <c r="C9" s="89">
        <v>1</v>
      </c>
      <c r="D9" s="91" t="s">
        <v>38</v>
      </c>
      <c r="E9" s="89">
        <v>84217</v>
      </c>
      <c r="F9" s="89" t="s">
        <v>49</v>
      </c>
      <c r="G9" s="93" t="s">
        <v>63</v>
      </c>
      <c r="H9" s="90" t="s">
        <v>41</v>
      </c>
      <c r="I9" s="90">
        <v>1219</v>
      </c>
      <c r="J9" s="90">
        <v>1219</v>
      </c>
      <c r="K9" s="20">
        <v>0</v>
      </c>
      <c r="L9" s="20">
        <v>0</v>
      </c>
      <c r="M9" s="20">
        <v>0</v>
      </c>
      <c r="N9" s="97">
        <f>O10/L10</f>
        <v>0.62264150943396224</v>
      </c>
      <c r="O9" s="21">
        <f t="shared" si="0"/>
        <v>0</v>
      </c>
      <c r="P9" s="27">
        <v>55</v>
      </c>
      <c r="Q9" s="99">
        <f>+L10-P10</f>
        <v>50</v>
      </c>
      <c r="R9" s="85"/>
      <c r="S9" s="96"/>
      <c r="T9" s="96"/>
      <c r="U9" s="96"/>
      <c r="V9" s="96"/>
      <c r="W9" s="96"/>
      <c r="X9" s="96"/>
      <c r="Y9" s="96"/>
      <c r="Z9" s="96"/>
      <c r="AA9" s="96"/>
      <c r="AB9" s="96"/>
      <c r="AC9" s="96"/>
      <c r="AD9" s="96"/>
      <c r="AE9" s="96"/>
      <c r="AF9" s="96"/>
      <c r="AG9" s="96"/>
      <c r="AH9" s="96"/>
      <c r="AI9" s="96"/>
      <c r="AJ9" s="96"/>
      <c r="AK9" s="96"/>
      <c r="AL9" s="96"/>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103+85+198+61+57+39+86+192+134+36+37+120+71</f>
        <v>1219</v>
      </c>
      <c r="L10" s="18">
        <f>9+46+10+10+10+10+164+10+70+330+96+30+266+82+76</f>
        <v>1219</v>
      </c>
      <c r="M10" s="18">
        <f>9+17+10+106+21+120+38+9+83+21+26</f>
        <v>460</v>
      </c>
      <c r="N10" s="98"/>
      <c r="O10" s="19">
        <f t="shared" si="0"/>
        <v>759</v>
      </c>
      <c r="P10" s="22">
        <f>9+17+10+10+10+96+10+37+164+132+89+249+160+86+35+55</f>
        <v>1169</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45278</v>
      </c>
      <c r="B11" s="87" t="s">
        <v>37</v>
      </c>
      <c r="C11" s="89">
        <v>1</v>
      </c>
      <c r="D11" s="91" t="s">
        <v>38</v>
      </c>
      <c r="E11" s="89">
        <v>84217</v>
      </c>
      <c r="F11" s="89" t="s">
        <v>49</v>
      </c>
      <c r="G11" s="93" t="s">
        <v>71</v>
      </c>
      <c r="H11" s="90" t="s">
        <v>47</v>
      </c>
      <c r="I11" s="90">
        <v>2804</v>
      </c>
      <c r="J11" s="90">
        <v>2804</v>
      </c>
      <c r="K11" s="20">
        <v>323</v>
      </c>
      <c r="L11" s="20">
        <v>363</v>
      </c>
      <c r="M11" s="20">
        <v>194</v>
      </c>
      <c r="N11" s="97">
        <f>O12/L12</f>
        <v>0.50784077201447531</v>
      </c>
      <c r="O11" s="21">
        <f t="shared" si="0"/>
        <v>169</v>
      </c>
      <c r="P11" s="27">
        <v>501</v>
      </c>
      <c r="Q11" s="99">
        <f>+L12-P12</f>
        <v>386</v>
      </c>
      <c r="R11" s="85"/>
      <c r="S11" s="96">
        <v>87</v>
      </c>
      <c r="T11" s="96"/>
      <c r="U11" s="96"/>
      <c r="V11" s="96"/>
      <c r="W11" s="96"/>
      <c r="X11" s="96">
        <v>1</v>
      </c>
      <c r="Y11" s="96">
        <v>1</v>
      </c>
      <c r="Z11" s="96"/>
      <c r="AA11" s="96"/>
      <c r="AB11" s="96"/>
      <c r="AC11" s="96">
        <v>10</v>
      </c>
      <c r="AD11" s="96"/>
      <c r="AE11" s="96">
        <v>9</v>
      </c>
      <c r="AF11" s="96">
        <v>16</v>
      </c>
      <c r="AG11" s="96">
        <v>7</v>
      </c>
      <c r="AH11" s="96">
        <v>9</v>
      </c>
      <c r="AI11" s="96"/>
      <c r="AJ11" s="96"/>
      <c r="AK11" s="96"/>
      <c r="AL11" s="96">
        <v>29</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380+305+280+275+155+323</f>
        <v>1718</v>
      </c>
      <c r="L12" s="18">
        <f>270+420+350+255+363</f>
        <v>1658</v>
      </c>
      <c r="M12" s="18">
        <f>75+240+191+116+194</f>
        <v>816</v>
      </c>
      <c r="N12" s="98"/>
      <c r="O12" s="19">
        <f t="shared" si="0"/>
        <v>842</v>
      </c>
      <c r="P12" s="22">
        <f>75+240+269+187+501</f>
        <v>1272</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45278</v>
      </c>
      <c r="B13" s="87" t="s">
        <v>37</v>
      </c>
      <c r="C13" s="89">
        <v>1</v>
      </c>
      <c r="D13" s="91" t="s">
        <v>38</v>
      </c>
      <c r="E13" s="89">
        <v>84217</v>
      </c>
      <c r="F13" s="89" t="s">
        <v>76</v>
      </c>
      <c r="G13" s="93" t="s">
        <v>71</v>
      </c>
      <c r="H13" s="90" t="s">
        <v>80</v>
      </c>
      <c r="I13" s="90">
        <v>1452</v>
      </c>
      <c r="J13" s="90">
        <v>1452</v>
      </c>
      <c r="K13" s="20">
        <v>47</v>
      </c>
      <c r="L13" s="20">
        <v>80</v>
      </c>
      <c r="M13" s="20">
        <v>20</v>
      </c>
      <c r="N13" s="97">
        <f>O14/L14</f>
        <v>0.71962616822429903</v>
      </c>
      <c r="O13" s="21">
        <f t="shared" si="0"/>
        <v>60</v>
      </c>
      <c r="P13" s="27">
        <v>20</v>
      </c>
      <c r="Q13" s="99">
        <f>+L14-P14</f>
        <v>110</v>
      </c>
      <c r="R13" s="85"/>
      <c r="S13" s="96"/>
      <c r="T13" s="96">
        <v>14</v>
      </c>
      <c r="U13" s="96">
        <v>5</v>
      </c>
      <c r="V13" s="96"/>
      <c r="W13" s="96"/>
      <c r="X13" s="96"/>
      <c r="Y13" s="96"/>
      <c r="Z13" s="96"/>
      <c r="AA13" s="96"/>
      <c r="AB13" s="96"/>
      <c r="AC13" s="96">
        <v>9</v>
      </c>
      <c r="AD13" s="96"/>
      <c r="AE13" s="96"/>
      <c r="AF13" s="96">
        <v>10</v>
      </c>
      <c r="AG13" s="96"/>
      <c r="AH13" s="96">
        <v>12</v>
      </c>
      <c r="AI13" s="96"/>
      <c r="AJ13" s="96"/>
      <c r="AK13" s="96"/>
      <c r="AL13" s="96">
        <v>10</v>
      </c>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53+88+29+47</f>
        <v>217</v>
      </c>
      <c r="L14" s="18">
        <f>10+44+80+80</f>
        <v>214</v>
      </c>
      <c r="M14" s="18">
        <f>10+30+20</f>
        <v>60</v>
      </c>
      <c r="N14" s="98"/>
      <c r="O14" s="19">
        <f t="shared" si="0"/>
        <v>154</v>
      </c>
      <c r="P14" s="22">
        <f>10+74+20</f>
        <v>104</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45278</v>
      </c>
      <c r="B15" s="87" t="s">
        <v>37</v>
      </c>
      <c r="C15" s="89">
        <v>1</v>
      </c>
      <c r="D15" s="91" t="s">
        <v>38</v>
      </c>
      <c r="E15" s="89">
        <v>84217</v>
      </c>
      <c r="F15" s="89" t="s">
        <v>76</v>
      </c>
      <c r="G15" s="93" t="s">
        <v>71</v>
      </c>
      <c r="H15" s="90" t="s">
        <v>75</v>
      </c>
      <c r="I15" s="90">
        <v>2615</v>
      </c>
      <c r="J15" s="90">
        <v>2615</v>
      </c>
      <c r="K15" s="20">
        <v>127</v>
      </c>
      <c r="L15" s="20">
        <v>198</v>
      </c>
      <c r="M15" s="20">
        <v>70</v>
      </c>
      <c r="N15" s="97">
        <f>O16/L16</f>
        <v>0.66346153846153844</v>
      </c>
      <c r="O15" s="21">
        <f t="shared" si="0"/>
        <v>128</v>
      </c>
      <c r="P15" s="27">
        <v>80</v>
      </c>
      <c r="Q15" s="99">
        <f>+L16-P16</f>
        <v>128</v>
      </c>
      <c r="R15" s="85"/>
      <c r="S15" s="96">
        <v>20</v>
      </c>
      <c r="T15" s="96">
        <v>28</v>
      </c>
      <c r="U15" s="96"/>
      <c r="V15" s="96"/>
      <c r="W15" s="96"/>
      <c r="X15" s="96">
        <v>1</v>
      </c>
      <c r="Y15" s="96"/>
      <c r="Z15" s="96"/>
      <c r="AA15" s="96"/>
      <c r="AB15" s="96"/>
      <c r="AC15" s="96">
        <v>39</v>
      </c>
      <c r="AD15" s="96"/>
      <c r="AE15" s="96"/>
      <c r="AF15" s="96">
        <v>20</v>
      </c>
      <c r="AG15" s="96"/>
      <c r="AH15" s="96">
        <v>10</v>
      </c>
      <c r="AI15" s="96"/>
      <c r="AJ15" s="96"/>
      <c r="AK15" s="96"/>
      <c r="AL15" s="96">
        <v>10</v>
      </c>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111+127</f>
        <v>238</v>
      </c>
      <c r="L16" s="18">
        <f>10+198</f>
        <v>208</v>
      </c>
      <c r="M16" s="18">
        <f>70</f>
        <v>70</v>
      </c>
      <c r="N16" s="98"/>
      <c r="O16" s="19">
        <f t="shared" si="0"/>
        <v>138</v>
      </c>
      <c r="P16" s="22">
        <f>80</f>
        <v>80</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45278</v>
      </c>
      <c r="B17" s="87" t="s">
        <v>37</v>
      </c>
      <c r="C17" s="89">
        <v>1</v>
      </c>
      <c r="D17" s="91" t="s">
        <v>38</v>
      </c>
      <c r="E17" s="89">
        <v>84212</v>
      </c>
      <c r="F17" s="89" t="s">
        <v>49</v>
      </c>
      <c r="G17" s="93" t="s">
        <v>55</v>
      </c>
      <c r="H17" s="90" t="s">
        <v>59</v>
      </c>
      <c r="I17" s="90">
        <v>708</v>
      </c>
      <c r="J17" s="90">
        <v>708</v>
      </c>
      <c r="K17" s="20">
        <v>0</v>
      </c>
      <c r="L17" s="20">
        <v>0</v>
      </c>
      <c r="M17" s="20">
        <v>0</v>
      </c>
      <c r="N17" s="97">
        <f>O18/L18</f>
        <v>0.72507122507122512</v>
      </c>
      <c r="O17" s="21">
        <f t="shared" si="0"/>
        <v>0</v>
      </c>
      <c r="P17" s="27">
        <v>20</v>
      </c>
      <c r="Q17" s="99">
        <f>+L18-P18</f>
        <v>0</v>
      </c>
      <c r="R17" s="85"/>
      <c r="S17" s="96"/>
      <c r="T17" s="96"/>
      <c r="U17" s="96"/>
      <c r="V17" s="96"/>
      <c r="W17" s="96"/>
      <c r="X17" s="96"/>
      <c r="Y17" s="96"/>
      <c r="Z17" s="96"/>
      <c r="AA17" s="96"/>
      <c r="AB17" s="96"/>
      <c r="AC17" s="96"/>
      <c r="AD17" s="96"/>
      <c r="AE17" s="96"/>
      <c r="AF17" s="96"/>
      <c r="AG17" s="96"/>
      <c r="AH17" s="96"/>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105+109+70+77+65+110+122+34+3+3+4</f>
        <v>702</v>
      </c>
      <c r="L18" s="18">
        <f>25+50+65+80+80+30+80+50+160+78+4</f>
        <v>702</v>
      </c>
      <c r="M18" s="18">
        <f>15+20+20+15+5+11+20+50+33+4</f>
        <v>193</v>
      </c>
      <c r="N18" s="98"/>
      <c r="O18" s="19">
        <f t="shared" si="0"/>
        <v>509</v>
      </c>
      <c r="P18" s="22">
        <f>15+20+35+15+5+11+53+50+335+120+10+13+20</f>
        <v>702</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45278</v>
      </c>
      <c r="B19" s="87" t="s">
        <v>37</v>
      </c>
      <c r="C19" s="89">
        <v>1</v>
      </c>
      <c r="D19" s="91" t="s">
        <v>38</v>
      </c>
      <c r="E19" s="89">
        <v>84212</v>
      </c>
      <c r="F19" s="89" t="s">
        <v>49</v>
      </c>
      <c r="G19" s="93" t="s">
        <v>55</v>
      </c>
      <c r="H19" s="90" t="s">
        <v>67</v>
      </c>
      <c r="I19" s="90">
        <v>1813</v>
      </c>
      <c r="J19" s="90">
        <v>1813</v>
      </c>
      <c r="K19" s="20">
        <v>0</v>
      </c>
      <c r="L19" s="20">
        <v>0</v>
      </c>
      <c r="M19" s="20">
        <v>0</v>
      </c>
      <c r="N19" s="97">
        <f>O20/L20</f>
        <v>0.76349471341124098</v>
      </c>
      <c r="O19" s="21">
        <f t="shared" si="0"/>
        <v>0</v>
      </c>
      <c r="P19" s="27">
        <v>171</v>
      </c>
      <c r="Q19" s="99">
        <f>+L20-P20</f>
        <v>325</v>
      </c>
      <c r="R19" s="85"/>
      <c r="S19" s="96"/>
      <c r="T19" s="96"/>
      <c r="U19" s="96"/>
      <c r="V19" s="96"/>
      <c r="W19" s="96"/>
      <c r="X19" s="96"/>
      <c r="Y19" s="96"/>
      <c r="Z19" s="96"/>
      <c r="AA19" s="96"/>
      <c r="AB19" s="96"/>
      <c r="AC19" s="96"/>
      <c r="AD19" s="96"/>
      <c r="AE19" s="96"/>
      <c r="AF19" s="96"/>
      <c r="AG19" s="96"/>
      <c r="AH19" s="96"/>
      <c r="AI19" s="96"/>
      <c r="AJ19" s="96"/>
      <c r="AK19" s="96"/>
      <c r="AL19" s="96"/>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272+145+148+175+345+259+198+95+65+82+13</f>
        <v>1797</v>
      </c>
      <c r="L20" s="18">
        <f>30+110+235+150+484+100+160+348+142+38</f>
        <v>1797</v>
      </c>
      <c r="M20" s="18">
        <f>5+10+50+40+110+10+55+118+27</f>
        <v>425</v>
      </c>
      <c r="N20" s="98"/>
      <c r="O20" s="19">
        <f t="shared" si="0"/>
        <v>1372</v>
      </c>
      <c r="P20" s="22">
        <f>5+10+65+80+262+130+217+170+330+32+171</f>
        <v>1472</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45278</v>
      </c>
      <c r="B21" s="87" t="s">
        <v>37</v>
      </c>
      <c r="C21" s="89">
        <v>1</v>
      </c>
      <c r="D21" s="91" t="s">
        <v>38</v>
      </c>
      <c r="E21" s="89">
        <v>84212</v>
      </c>
      <c r="F21" s="89" t="s">
        <v>49</v>
      </c>
      <c r="G21" s="93" t="s">
        <v>55</v>
      </c>
      <c r="H21" s="90" t="s">
        <v>62</v>
      </c>
      <c r="I21" s="90">
        <v>2218</v>
      </c>
      <c r="J21" s="90">
        <v>1640</v>
      </c>
      <c r="K21" s="20">
        <v>120</v>
      </c>
      <c r="L21" s="20">
        <v>340</v>
      </c>
      <c r="M21" s="20">
        <v>90</v>
      </c>
      <c r="N21" s="97">
        <f>O22/L22</f>
        <v>0.63898916967509023</v>
      </c>
      <c r="O21" s="21">
        <f t="shared" si="0"/>
        <v>250</v>
      </c>
      <c r="P21" s="27">
        <v>253</v>
      </c>
      <c r="Q21" s="99">
        <f>+L22-P22</f>
        <v>356</v>
      </c>
      <c r="R21" s="85"/>
      <c r="S21" s="96"/>
      <c r="T21" s="96">
        <v>37</v>
      </c>
      <c r="U21" s="96"/>
      <c r="V21" s="96"/>
      <c r="W21" s="96"/>
      <c r="X21" s="96">
        <v>11</v>
      </c>
      <c r="Y21" s="96"/>
      <c r="Z21" s="96">
        <v>15</v>
      </c>
      <c r="AA21" s="96"/>
      <c r="AB21" s="96"/>
      <c r="AC21" s="96">
        <v>30</v>
      </c>
      <c r="AD21" s="96">
        <v>10</v>
      </c>
      <c r="AE21" s="96">
        <v>18</v>
      </c>
      <c r="AF21" s="96">
        <v>15</v>
      </c>
      <c r="AG21" s="96">
        <v>40</v>
      </c>
      <c r="AH21" s="96">
        <v>48</v>
      </c>
      <c r="AI21" s="96"/>
      <c r="AJ21" s="96"/>
      <c r="AK21" s="96"/>
      <c r="AL21" s="96">
        <v>26</v>
      </c>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166+95+22+85+70+260+370+120</f>
        <v>1188</v>
      </c>
      <c r="L22" s="18">
        <f>40+40+160+43+115+140+230+340</f>
        <v>1108</v>
      </c>
      <c r="M22" s="18">
        <f>6+14+50+20+50+60+110+90</f>
        <v>400</v>
      </c>
      <c r="N22" s="98"/>
      <c r="O22" s="19">
        <f t="shared" si="0"/>
        <v>708</v>
      </c>
      <c r="P22" s="22">
        <f>6+14+50+28+64+69+71+77+120+253</f>
        <v>752</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45278</v>
      </c>
      <c r="B23" s="87" t="s">
        <v>37</v>
      </c>
      <c r="C23" s="89">
        <v>1</v>
      </c>
      <c r="D23" s="91" t="s">
        <v>38</v>
      </c>
      <c r="E23" s="89">
        <v>84212</v>
      </c>
      <c r="F23" s="89" t="s">
        <v>49</v>
      </c>
      <c r="G23" s="93" t="s">
        <v>55</v>
      </c>
      <c r="H23" s="90" t="s">
        <v>78</v>
      </c>
      <c r="I23" s="90">
        <v>747</v>
      </c>
      <c r="J23" s="90">
        <v>747</v>
      </c>
      <c r="K23" s="20">
        <v>4</v>
      </c>
      <c r="L23" s="20">
        <v>66</v>
      </c>
      <c r="M23" s="20">
        <v>21</v>
      </c>
      <c r="N23" s="97">
        <f>O24/L24</f>
        <v>0.78982597054886217</v>
      </c>
      <c r="O23" s="21">
        <f t="shared" si="0"/>
        <v>45</v>
      </c>
      <c r="P23" s="27">
        <v>32</v>
      </c>
      <c r="Q23" s="99">
        <f>+L24-P24</f>
        <v>72</v>
      </c>
      <c r="R23" s="85"/>
      <c r="S23" s="96"/>
      <c r="T23" s="96">
        <v>25</v>
      </c>
      <c r="U23" s="96">
        <v>2</v>
      </c>
      <c r="V23" s="96"/>
      <c r="W23" s="96"/>
      <c r="X23" s="96"/>
      <c r="Y23" s="96"/>
      <c r="Z23" s="96"/>
      <c r="AA23" s="96"/>
      <c r="AB23" s="96"/>
      <c r="AC23" s="96">
        <v>2</v>
      </c>
      <c r="AD23" s="96"/>
      <c r="AE23" s="96">
        <v>2</v>
      </c>
      <c r="AF23" s="96">
        <v>3</v>
      </c>
      <c r="AG23" s="96">
        <v>7</v>
      </c>
      <c r="AH23" s="96">
        <v>4</v>
      </c>
      <c r="AI23" s="96"/>
      <c r="AJ23" s="96"/>
      <c r="AK23" s="96"/>
      <c r="AL23" s="96"/>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117+41+130+144+90+84+85+52+4</f>
        <v>747</v>
      </c>
      <c r="L24" s="18">
        <f>80+50+150+150+176+75+66</f>
        <v>747</v>
      </c>
      <c r="M24" s="18">
        <f>10+5+30+30+36+25+21</f>
        <v>157</v>
      </c>
      <c r="N24" s="98"/>
      <c r="O24" s="19">
        <f t="shared" si="0"/>
        <v>590</v>
      </c>
      <c r="P24" s="22">
        <f>10+5+30+171+80+133+152+62+32</f>
        <v>675</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45278</v>
      </c>
      <c r="B25" s="87" t="s">
        <v>37</v>
      </c>
      <c r="C25" s="89">
        <v>1</v>
      </c>
      <c r="D25" s="91" t="s">
        <v>38</v>
      </c>
      <c r="E25" s="89">
        <v>84212</v>
      </c>
      <c r="F25" s="89" t="s">
        <v>49</v>
      </c>
      <c r="G25" s="93" t="s">
        <v>55</v>
      </c>
      <c r="H25" s="90" t="s">
        <v>50</v>
      </c>
      <c r="I25" s="90">
        <v>588</v>
      </c>
      <c r="J25" s="90">
        <v>588</v>
      </c>
      <c r="K25" s="20">
        <v>135</v>
      </c>
      <c r="L25" s="20">
        <v>105</v>
      </c>
      <c r="M25" s="20">
        <v>57</v>
      </c>
      <c r="N25" s="97">
        <f>O26/L26</f>
        <v>0.48351648351648352</v>
      </c>
      <c r="O25" s="21">
        <f t="shared" si="0"/>
        <v>48</v>
      </c>
      <c r="P25" s="27">
        <v>57</v>
      </c>
      <c r="Q25" s="99">
        <f>+L26-P26</f>
        <v>88</v>
      </c>
      <c r="R25" s="85"/>
      <c r="S25" s="96"/>
      <c r="T25" s="96">
        <v>2</v>
      </c>
      <c r="U25" s="96"/>
      <c r="V25" s="96"/>
      <c r="W25" s="96"/>
      <c r="X25" s="96"/>
      <c r="Y25" s="96"/>
      <c r="Z25" s="96"/>
      <c r="AA25" s="96"/>
      <c r="AB25" s="96"/>
      <c r="AC25" s="96"/>
      <c r="AD25" s="96"/>
      <c r="AE25" s="96">
        <v>2</v>
      </c>
      <c r="AF25" s="96">
        <v>9</v>
      </c>
      <c r="AG25" s="96">
        <v>31</v>
      </c>
      <c r="AH25" s="96">
        <v>2</v>
      </c>
      <c r="AI25" s="96"/>
      <c r="AJ25" s="96"/>
      <c r="AK25" s="96"/>
      <c r="AL25" s="96">
        <v>2</v>
      </c>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5"/>
      <c r="B26" s="88"/>
      <c r="C26" s="90"/>
      <c r="D26" s="92"/>
      <c r="E26" s="90"/>
      <c r="F26" s="90"/>
      <c r="G26" s="94"/>
      <c r="H26" s="95"/>
      <c r="I26" s="95"/>
      <c r="J26" s="95"/>
      <c r="K26" s="22">
        <f>114+135</f>
        <v>249</v>
      </c>
      <c r="L26" s="18">
        <f>77+105</f>
        <v>182</v>
      </c>
      <c r="M26" s="18">
        <f>37+57</f>
        <v>94</v>
      </c>
      <c r="N26" s="98"/>
      <c r="O26" s="19">
        <f t="shared" si="0"/>
        <v>88</v>
      </c>
      <c r="P26" s="22">
        <f>37+57</f>
        <v>94</v>
      </c>
      <c r="Q26" s="100"/>
      <c r="R26" s="86"/>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108">
        <v>45278</v>
      </c>
      <c r="B27" s="87" t="s">
        <v>37</v>
      </c>
      <c r="C27" s="89">
        <v>1</v>
      </c>
      <c r="D27" s="91" t="s">
        <v>38</v>
      </c>
      <c r="E27" s="89">
        <v>84212</v>
      </c>
      <c r="F27" s="89" t="s">
        <v>49</v>
      </c>
      <c r="G27" s="93" t="s">
        <v>61</v>
      </c>
      <c r="H27" s="89" t="s">
        <v>59</v>
      </c>
      <c r="I27" s="89">
        <v>515</v>
      </c>
      <c r="J27" s="89">
        <v>515</v>
      </c>
      <c r="K27" s="20">
        <v>76</v>
      </c>
      <c r="L27" s="20">
        <v>115</v>
      </c>
      <c r="M27" s="20">
        <v>39</v>
      </c>
      <c r="N27" s="146">
        <f>O28/L28</f>
        <v>0.64027149321266963</v>
      </c>
      <c r="O27" s="21">
        <f t="shared" si="0"/>
        <v>76</v>
      </c>
      <c r="P27" s="27">
        <v>145</v>
      </c>
      <c r="Q27" s="99">
        <f>+L28-P28</f>
        <v>100</v>
      </c>
      <c r="R27" s="108"/>
      <c r="S27" s="149"/>
      <c r="T27" s="149">
        <v>15</v>
      </c>
      <c r="U27" s="149">
        <v>6</v>
      </c>
      <c r="V27" s="149"/>
      <c r="W27" s="149"/>
      <c r="X27" s="149"/>
      <c r="Y27" s="149"/>
      <c r="Z27" s="149"/>
      <c r="AA27" s="149"/>
      <c r="AB27" s="149"/>
      <c r="AC27" s="149">
        <v>13</v>
      </c>
      <c r="AD27" s="149"/>
      <c r="AE27" s="149">
        <v>5</v>
      </c>
      <c r="AF27" s="149">
        <v>5</v>
      </c>
      <c r="AG27" s="149">
        <v>10</v>
      </c>
      <c r="AH27" s="149">
        <v>10</v>
      </c>
      <c r="AI27" s="149"/>
      <c r="AJ27" s="149"/>
      <c r="AK27" s="149"/>
      <c r="AL27" s="149">
        <v>12</v>
      </c>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149+124+88+81+76</f>
        <v>518</v>
      </c>
      <c r="L28" s="18">
        <f>149+138+40+115</f>
        <v>442</v>
      </c>
      <c r="M28" s="18">
        <f>60+50+10+39</f>
        <v>159</v>
      </c>
      <c r="N28" s="147"/>
      <c r="O28" s="19">
        <f t="shared" si="0"/>
        <v>283</v>
      </c>
      <c r="P28" s="22">
        <f>60+60+77+145</f>
        <v>342</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45278</v>
      </c>
      <c r="B29" s="87" t="s">
        <v>37</v>
      </c>
      <c r="C29" s="89">
        <v>1</v>
      </c>
      <c r="D29" s="91" t="s">
        <v>38</v>
      </c>
      <c r="E29" s="89">
        <v>84212</v>
      </c>
      <c r="F29" s="89" t="s">
        <v>49</v>
      </c>
      <c r="G29" s="93" t="s">
        <v>63</v>
      </c>
      <c r="H29" s="89" t="s">
        <v>62</v>
      </c>
      <c r="I29" s="89">
        <v>2344</v>
      </c>
      <c r="J29" s="89">
        <v>2344</v>
      </c>
      <c r="K29" s="20">
        <v>90</v>
      </c>
      <c r="L29" s="20">
        <v>110</v>
      </c>
      <c r="M29" s="20">
        <v>20</v>
      </c>
      <c r="N29" s="146">
        <f>O30/L30</f>
        <v>0.85915492957746475</v>
      </c>
      <c r="O29" s="21">
        <f t="shared" si="0"/>
        <v>90</v>
      </c>
      <c r="P29" s="27">
        <v>20</v>
      </c>
      <c r="Q29" s="99">
        <f>+L30-P30</f>
        <v>122</v>
      </c>
      <c r="R29" s="108"/>
      <c r="S29" s="149"/>
      <c r="T29" s="149">
        <v>25</v>
      </c>
      <c r="U29" s="149"/>
      <c r="V29" s="149"/>
      <c r="W29" s="149"/>
      <c r="X29" s="149"/>
      <c r="Y29" s="149"/>
      <c r="Z29" s="149"/>
      <c r="AA29" s="149"/>
      <c r="AB29" s="149"/>
      <c r="AC29" s="149">
        <v>18</v>
      </c>
      <c r="AD29" s="149"/>
      <c r="AE29" s="149">
        <v>5</v>
      </c>
      <c r="AF29" s="149">
        <v>17</v>
      </c>
      <c r="AG29" s="149"/>
      <c r="AH29" s="149">
        <v>20</v>
      </c>
      <c r="AI29" s="149"/>
      <c r="AJ29" s="149"/>
      <c r="AK29" s="149"/>
      <c r="AL29" s="149">
        <v>5</v>
      </c>
      <c r="AM29" s="163"/>
      <c r="AN29" s="163"/>
      <c r="AO29" s="163"/>
      <c r="AP29" s="163"/>
      <c r="AQ29" s="163"/>
      <c r="AR29" s="163"/>
      <c r="AS29" s="163"/>
      <c r="AT29" s="163"/>
      <c r="AU29" s="163"/>
      <c r="AV29" s="163"/>
      <c r="AW29" s="163"/>
      <c r="AX29" s="163"/>
      <c r="AY29" s="167"/>
      <c r="AZ29" s="167"/>
      <c r="BA29" s="167"/>
      <c r="BB29" s="167"/>
      <c r="BC29" s="167"/>
      <c r="BD29" s="167"/>
      <c r="BE29" s="163"/>
      <c r="BF29" s="165"/>
      <c r="BG29" s="165"/>
    </row>
    <row r="30" spans="1:59" s="17" customFormat="1" ht="15.75" customHeight="1">
      <c r="A30" s="85"/>
      <c r="B30" s="88"/>
      <c r="C30" s="90"/>
      <c r="D30" s="92"/>
      <c r="E30" s="90"/>
      <c r="F30" s="90"/>
      <c r="G30" s="94"/>
      <c r="H30" s="90"/>
      <c r="I30" s="90"/>
      <c r="J30" s="90"/>
      <c r="K30" s="22">
        <f>102+90</f>
        <v>192</v>
      </c>
      <c r="L30" s="18">
        <f>32+110</f>
        <v>142</v>
      </c>
      <c r="M30" s="18">
        <f>20</f>
        <v>20</v>
      </c>
      <c r="N30" s="147"/>
      <c r="O30" s="19">
        <f t="shared" si="0"/>
        <v>122</v>
      </c>
      <c r="P30" s="22">
        <f>20</f>
        <v>20</v>
      </c>
      <c r="Q30" s="100"/>
      <c r="R30" s="85"/>
      <c r="S30" s="150"/>
      <c r="T30" s="150"/>
      <c r="U30" s="150"/>
      <c r="V30" s="150"/>
      <c r="W30" s="150"/>
      <c r="X30" s="150"/>
      <c r="Y30" s="150"/>
      <c r="Z30" s="150"/>
      <c r="AA30" s="150"/>
      <c r="AB30" s="150"/>
      <c r="AC30" s="150"/>
      <c r="AD30" s="150"/>
      <c r="AE30" s="150"/>
      <c r="AF30" s="150"/>
      <c r="AG30" s="150"/>
      <c r="AH30" s="150"/>
      <c r="AI30" s="150"/>
      <c r="AJ30" s="150"/>
      <c r="AK30" s="150"/>
      <c r="AL30" s="150"/>
      <c r="AM30" s="164"/>
      <c r="AN30" s="164"/>
      <c r="AO30" s="164"/>
      <c r="AP30" s="164"/>
      <c r="AQ30" s="164"/>
      <c r="AR30" s="164"/>
      <c r="AS30" s="164"/>
      <c r="AT30" s="164"/>
      <c r="AU30" s="164"/>
      <c r="AV30" s="164"/>
      <c r="AW30" s="164"/>
      <c r="AX30" s="164"/>
      <c r="AY30" s="168"/>
      <c r="AZ30" s="168"/>
      <c r="BA30" s="168"/>
      <c r="BB30" s="168"/>
      <c r="BC30" s="168"/>
      <c r="BD30" s="168"/>
      <c r="BE30" s="164"/>
      <c r="BF30" s="166"/>
      <c r="BG30" s="166"/>
    </row>
    <row r="31" spans="1:59" s="17" customFormat="1" ht="15.75" customHeight="1">
      <c r="A31" s="108">
        <v>45278</v>
      </c>
      <c r="B31" s="87" t="s">
        <v>37</v>
      </c>
      <c r="C31" s="89">
        <v>1</v>
      </c>
      <c r="D31" s="91" t="s">
        <v>38</v>
      </c>
      <c r="E31" s="89">
        <v>84426</v>
      </c>
      <c r="F31" s="89" t="s">
        <v>49</v>
      </c>
      <c r="G31" s="93" t="s">
        <v>55</v>
      </c>
      <c r="H31" s="90" t="s">
        <v>58</v>
      </c>
      <c r="I31" s="90">
        <v>549</v>
      </c>
      <c r="J31" s="90">
        <v>549</v>
      </c>
      <c r="K31" s="20">
        <v>0</v>
      </c>
      <c r="L31" s="20">
        <v>0</v>
      </c>
      <c r="M31" s="20">
        <v>0</v>
      </c>
      <c r="N31" s="97">
        <f>O32/L32</f>
        <v>0.81238615664845171</v>
      </c>
      <c r="O31" s="21">
        <f t="shared" si="0"/>
        <v>0</v>
      </c>
      <c r="P31" s="27">
        <v>0</v>
      </c>
      <c r="Q31" s="99">
        <f>+L32-P32</f>
        <v>3</v>
      </c>
      <c r="R31" s="108"/>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49">
        <f>483+66</f>
        <v>549</v>
      </c>
      <c r="L32" s="18">
        <f>483+66</f>
        <v>549</v>
      </c>
      <c r="M32" s="18">
        <f>86+17</f>
        <v>103</v>
      </c>
      <c r="N32" s="98"/>
      <c r="O32" s="19">
        <f t="shared" si="0"/>
        <v>446</v>
      </c>
      <c r="P32" s="22">
        <f>453+80+11+2</f>
        <v>546</v>
      </c>
      <c r="Q32" s="100"/>
      <c r="R32" s="85"/>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45278</v>
      </c>
      <c r="B33" s="87" t="s">
        <v>37</v>
      </c>
      <c r="C33" s="89">
        <v>1</v>
      </c>
      <c r="D33" s="91" t="s">
        <v>38</v>
      </c>
      <c r="E33" s="89">
        <v>84352</v>
      </c>
      <c r="F33" s="89" t="s">
        <v>49</v>
      </c>
      <c r="G33" s="93" t="s">
        <v>55</v>
      </c>
      <c r="H33" s="109" t="s">
        <v>39</v>
      </c>
      <c r="I33" s="90">
        <v>1050</v>
      </c>
      <c r="J33" s="170">
        <v>1053</v>
      </c>
      <c r="K33" s="43">
        <v>0</v>
      </c>
      <c r="L33" s="48">
        <v>0</v>
      </c>
      <c r="M33" s="20">
        <v>0</v>
      </c>
      <c r="N33" s="97">
        <f>O34/L34</f>
        <v>0.64411764705882357</v>
      </c>
      <c r="O33" s="21">
        <f t="shared" si="0"/>
        <v>0</v>
      </c>
      <c r="P33" s="27">
        <v>0</v>
      </c>
      <c r="Q33" s="99">
        <f>+L34-P34</f>
        <v>0</v>
      </c>
      <c r="R33" s="85"/>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171"/>
      <c r="K34" s="47">
        <f>320+108+237+109+43+100+35+68</f>
        <v>1020</v>
      </c>
      <c r="L34" s="46">
        <f>10+10+10+235+60+10+150+85+185+102+40+95+28</f>
        <v>1020</v>
      </c>
      <c r="M34" s="18">
        <f>75+30+45+42+80+30+8+40+13</f>
        <v>363</v>
      </c>
      <c r="N34" s="98"/>
      <c r="O34" s="19">
        <f t="shared" si="0"/>
        <v>657</v>
      </c>
      <c r="P34" s="22">
        <f>105+70+80+92+96+70+74+165+91+21+40+50+46+20</f>
        <v>1020</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45278</v>
      </c>
      <c r="B35" s="87" t="s">
        <v>37</v>
      </c>
      <c r="C35" s="89">
        <v>1</v>
      </c>
      <c r="D35" s="91" t="s">
        <v>38</v>
      </c>
      <c r="E35" s="89">
        <v>84352</v>
      </c>
      <c r="F35" s="89" t="s">
        <v>49</v>
      </c>
      <c r="G35" s="93" t="s">
        <v>55</v>
      </c>
      <c r="H35" s="109" t="s">
        <v>57</v>
      </c>
      <c r="I35" s="90">
        <v>525</v>
      </c>
      <c r="J35" s="90">
        <v>525</v>
      </c>
      <c r="K35" s="20">
        <f>18+53</f>
        <v>71</v>
      </c>
      <c r="L35" s="20">
        <v>71</v>
      </c>
      <c r="M35" s="20">
        <v>31</v>
      </c>
      <c r="N35" s="97">
        <f>O36/L36</f>
        <v>0.65714285714285714</v>
      </c>
      <c r="O35" s="21">
        <f t="shared" si="0"/>
        <v>40</v>
      </c>
      <c r="P35" s="27">
        <f>124+40</f>
        <v>164</v>
      </c>
      <c r="Q35" s="99">
        <f>+L36-P36</f>
        <v>87</v>
      </c>
      <c r="R35" s="85"/>
      <c r="S35" s="96"/>
      <c r="T35" s="96">
        <v>4</v>
      </c>
      <c r="U35" s="96"/>
      <c r="V35" s="96"/>
      <c r="W35" s="96"/>
      <c r="X35" s="96">
        <v>2</v>
      </c>
      <c r="Y35" s="96"/>
      <c r="Z35" s="96"/>
      <c r="AA35" s="96"/>
      <c r="AB35" s="96"/>
      <c r="AC35" s="96">
        <v>2</v>
      </c>
      <c r="AD35" s="96"/>
      <c r="AE35" s="96">
        <v>4</v>
      </c>
      <c r="AF35" s="96">
        <v>6</v>
      </c>
      <c r="AG35" s="96"/>
      <c r="AH35" s="96">
        <v>5</v>
      </c>
      <c r="AI35" s="96"/>
      <c r="AJ35" s="96"/>
      <c r="AK35" s="96"/>
      <c r="AL35" s="96">
        <v>17</v>
      </c>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41">
        <f>70+50+122+102+35+75+71</f>
        <v>525</v>
      </c>
      <c r="L36" s="18">
        <f>20+60+162+37+125+50+71</f>
        <v>525</v>
      </c>
      <c r="M36" s="18">
        <f>9+30+22+7+65+16+31</f>
        <v>180</v>
      </c>
      <c r="N36" s="98"/>
      <c r="O36" s="19">
        <f t="shared" si="0"/>
        <v>345</v>
      </c>
      <c r="P36" s="22">
        <f>9+30+32+8+90+90+15+164</f>
        <v>438</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45278</v>
      </c>
      <c r="B37" s="87" t="s">
        <v>37</v>
      </c>
      <c r="C37" s="89">
        <v>1</v>
      </c>
      <c r="D37" s="91" t="s">
        <v>38</v>
      </c>
      <c r="E37" s="89">
        <v>84031</v>
      </c>
      <c r="F37" s="89" t="s">
        <v>49</v>
      </c>
      <c r="G37" s="93" t="s">
        <v>53</v>
      </c>
      <c r="H37" s="90" t="s">
        <v>57</v>
      </c>
      <c r="I37" s="90">
        <v>563</v>
      </c>
      <c r="J37" s="90">
        <v>563</v>
      </c>
      <c r="K37" s="43">
        <v>0</v>
      </c>
      <c r="L37" s="20">
        <v>0</v>
      </c>
      <c r="M37" s="20">
        <v>0</v>
      </c>
      <c r="N37" s="97">
        <f>O38/L38</f>
        <v>0.85343228200371057</v>
      </c>
      <c r="O37" s="21">
        <f t="shared" si="0"/>
        <v>0</v>
      </c>
      <c r="P37" s="27">
        <v>0</v>
      </c>
      <c r="Q37" s="99">
        <f>+L38-P38</f>
        <v>0</v>
      </c>
      <c r="R37" s="85" t="s">
        <v>86</v>
      </c>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516+20+3</f>
        <v>539</v>
      </c>
      <c r="L38" s="18">
        <f>516+20+3</f>
        <v>539</v>
      </c>
      <c r="M38" s="18">
        <f>74+2+3</f>
        <v>79</v>
      </c>
      <c r="N38" s="98"/>
      <c r="O38" s="19">
        <f t="shared" si="0"/>
        <v>460</v>
      </c>
      <c r="P38" s="22">
        <f>516+20+3</f>
        <v>539</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45278</v>
      </c>
      <c r="B39" s="87" t="s">
        <v>37</v>
      </c>
      <c r="C39" s="89">
        <v>1</v>
      </c>
      <c r="D39" s="91" t="s">
        <v>38</v>
      </c>
      <c r="E39" s="89">
        <v>84031</v>
      </c>
      <c r="F39" s="89" t="s">
        <v>49</v>
      </c>
      <c r="G39" s="93" t="s">
        <v>53</v>
      </c>
      <c r="H39" s="90" t="s">
        <v>39</v>
      </c>
      <c r="I39" s="90">
        <v>623</v>
      </c>
      <c r="J39" s="90">
        <v>623</v>
      </c>
      <c r="K39" s="20">
        <v>0</v>
      </c>
      <c r="L39" s="20">
        <v>0</v>
      </c>
      <c r="M39" s="20">
        <v>0</v>
      </c>
      <c r="N39" s="97">
        <f>O40/L40</f>
        <v>0.79710144927536231</v>
      </c>
      <c r="O39" s="21">
        <f t="shared" si="0"/>
        <v>0</v>
      </c>
      <c r="P39" s="27">
        <v>0</v>
      </c>
      <c r="Q39" s="99">
        <f>+L40-P40</f>
        <v>0</v>
      </c>
      <c r="R39" s="85" t="s">
        <v>86</v>
      </c>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574+9+30+5+3</f>
        <v>621</v>
      </c>
      <c r="L40" s="18">
        <f>574+9+30+5+3</f>
        <v>621</v>
      </c>
      <c r="M40" s="18">
        <f>109+9+5+3</f>
        <v>126</v>
      </c>
      <c r="N40" s="98"/>
      <c r="O40" s="19">
        <f t="shared" si="0"/>
        <v>495</v>
      </c>
      <c r="P40" s="22">
        <f>574+9+30+5+3</f>
        <v>621</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45278</v>
      </c>
      <c r="B41" s="87" t="s">
        <v>37</v>
      </c>
      <c r="C41" s="89">
        <v>1</v>
      </c>
      <c r="D41" s="91" t="s">
        <v>77</v>
      </c>
      <c r="E41" s="89">
        <v>20785</v>
      </c>
      <c r="F41" s="89" t="s">
        <v>76</v>
      </c>
      <c r="G41" s="93" t="s">
        <v>71</v>
      </c>
      <c r="H41" s="90" t="s">
        <v>70</v>
      </c>
      <c r="I41" s="90">
        <v>1475</v>
      </c>
      <c r="J41" s="90">
        <v>1475</v>
      </c>
      <c r="K41" s="20">
        <v>0</v>
      </c>
      <c r="L41" s="20">
        <v>0</v>
      </c>
      <c r="M41" s="20">
        <v>0</v>
      </c>
      <c r="N41" s="97">
        <f>O42/L42</f>
        <v>1</v>
      </c>
      <c r="O41" s="21">
        <f t="shared" si="0"/>
        <v>0</v>
      </c>
      <c r="P41" s="27">
        <v>16</v>
      </c>
      <c r="Q41" s="99">
        <f>+L42-P42</f>
        <v>0</v>
      </c>
      <c r="R41" s="85"/>
      <c r="S41" s="96"/>
      <c r="T41" s="96"/>
      <c r="U41" s="96"/>
      <c r="V41" s="96"/>
      <c r="W41" s="96"/>
      <c r="X41" s="96"/>
      <c r="Y41" s="96"/>
      <c r="Z41" s="96"/>
      <c r="AA41" s="96"/>
      <c r="AB41" s="96"/>
      <c r="AC41" s="96"/>
      <c r="AD41" s="96"/>
      <c r="AE41" s="96"/>
      <c r="AF41" s="96"/>
      <c r="AG41" s="96"/>
      <c r="AH41" s="96"/>
      <c r="AI41" s="96"/>
      <c r="AJ41" s="96"/>
      <c r="AK41" s="96"/>
      <c r="AL41" s="96"/>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26+20+20+15+15</f>
        <v>96</v>
      </c>
      <c r="L42" s="18">
        <f>26+10+30+15+15</f>
        <v>96</v>
      </c>
      <c r="M42" s="18">
        <v>0</v>
      </c>
      <c r="N42" s="98"/>
      <c r="O42" s="19">
        <f t="shared" si="0"/>
        <v>96</v>
      </c>
      <c r="P42" s="22">
        <f>10+10+6+5+20+15+14+16</f>
        <v>96</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s="17" customFormat="1" ht="15.75" customHeight="1">
      <c r="A43" s="108">
        <v>45278</v>
      </c>
      <c r="B43" s="87" t="s">
        <v>37</v>
      </c>
      <c r="C43" s="89">
        <v>1</v>
      </c>
      <c r="D43" s="91" t="s">
        <v>77</v>
      </c>
      <c r="E43" s="89">
        <v>20785</v>
      </c>
      <c r="F43" s="89" t="s">
        <v>76</v>
      </c>
      <c r="G43" s="93" t="s">
        <v>71</v>
      </c>
      <c r="H43" s="90" t="s">
        <v>75</v>
      </c>
      <c r="I43" s="90">
        <v>501</v>
      </c>
      <c r="J43" s="90">
        <v>501</v>
      </c>
      <c r="K43" s="20">
        <v>0</v>
      </c>
      <c r="L43" s="20">
        <v>0</v>
      </c>
      <c r="M43" s="20">
        <v>0</v>
      </c>
      <c r="N43" s="97">
        <f>O44/L44</f>
        <v>0.9358974358974359</v>
      </c>
      <c r="O43" s="21">
        <f t="shared" si="0"/>
        <v>0</v>
      </c>
      <c r="P43" s="27">
        <v>0</v>
      </c>
      <c r="Q43" s="99">
        <f>+L44-P44</f>
        <v>0</v>
      </c>
      <c r="R43" s="85"/>
      <c r="S43" s="96"/>
      <c r="T43" s="96"/>
      <c r="U43" s="96"/>
      <c r="V43" s="96"/>
      <c r="W43" s="96"/>
      <c r="X43" s="96"/>
      <c r="Y43" s="96"/>
      <c r="Z43" s="96"/>
      <c r="AA43" s="96"/>
      <c r="AB43" s="96"/>
      <c r="AC43" s="96"/>
      <c r="AD43" s="96"/>
      <c r="AE43" s="96"/>
      <c r="AF43" s="96"/>
      <c r="AG43" s="96"/>
      <c r="AH43" s="96"/>
      <c r="AI43" s="96"/>
      <c r="AJ43" s="96"/>
      <c r="AK43" s="96"/>
      <c r="AL43" s="96"/>
      <c r="AM43" s="103"/>
      <c r="AN43" s="103"/>
      <c r="AO43" s="103"/>
      <c r="AP43" s="103"/>
      <c r="AQ43" s="103"/>
      <c r="AR43" s="103"/>
      <c r="AS43" s="103"/>
      <c r="AT43" s="103"/>
      <c r="AU43" s="103"/>
      <c r="AV43" s="103"/>
      <c r="AW43" s="103"/>
      <c r="AX43" s="103"/>
      <c r="AY43" s="106"/>
      <c r="AZ43" s="106"/>
      <c r="BA43" s="106"/>
      <c r="BB43" s="106"/>
      <c r="BC43" s="106"/>
      <c r="BD43" s="106"/>
      <c r="BE43" s="103"/>
      <c r="BF43" s="104"/>
      <c r="BG43" s="104"/>
    </row>
    <row r="44" spans="1:59" s="17" customFormat="1" ht="15.75" customHeight="1">
      <c r="A44" s="85"/>
      <c r="B44" s="88"/>
      <c r="C44" s="90"/>
      <c r="D44" s="92"/>
      <c r="E44" s="90"/>
      <c r="F44" s="90"/>
      <c r="G44" s="94"/>
      <c r="H44" s="95"/>
      <c r="I44" s="95"/>
      <c r="J44" s="95"/>
      <c r="K44" s="22">
        <f>24+31+23</f>
        <v>78</v>
      </c>
      <c r="L44" s="18">
        <f>10+45+5+18</f>
        <v>78</v>
      </c>
      <c r="M44" s="18">
        <f>5</f>
        <v>5</v>
      </c>
      <c r="N44" s="98"/>
      <c r="O44" s="19">
        <f t="shared" si="0"/>
        <v>73</v>
      </c>
      <c r="P44" s="22">
        <f>5+15+58</f>
        <v>78</v>
      </c>
      <c r="Q44" s="100"/>
      <c r="R44" s="86"/>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7"/>
      <c r="AZ44" s="107"/>
      <c r="BA44" s="107"/>
      <c r="BB44" s="107"/>
      <c r="BC44" s="107"/>
      <c r="BD44" s="107"/>
      <c r="BE44" s="103"/>
      <c r="BF44" s="105"/>
      <c r="BG44" s="105"/>
    </row>
    <row r="45" spans="1:59" s="17" customFormat="1" ht="15.75" customHeight="1">
      <c r="A45" s="108">
        <v>45278</v>
      </c>
      <c r="B45" s="87" t="s">
        <v>37</v>
      </c>
      <c r="C45" s="89">
        <v>1</v>
      </c>
      <c r="D45" s="91" t="s">
        <v>77</v>
      </c>
      <c r="E45" s="89">
        <v>20785</v>
      </c>
      <c r="F45" s="89" t="s">
        <v>76</v>
      </c>
      <c r="G45" s="93" t="s">
        <v>71</v>
      </c>
      <c r="H45" s="90" t="s">
        <v>79</v>
      </c>
      <c r="I45" s="90">
        <v>826</v>
      </c>
      <c r="J45" s="90">
        <v>826</v>
      </c>
      <c r="K45" s="20">
        <v>74</v>
      </c>
      <c r="L45" s="20">
        <v>50</v>
      </c>
      <c r="M45" s="20">
        <v>8</v>
      </c>
      <c r="N45" s="97">
        <f>O46/L46</f>
        <v>0.86861313868613144</v>
      </c>
      <c r="O45" s="21">
        <f t="shared" si="0"/>
        <v>42</v>
      </c>
      <c r="P45" s="27">
        <v>20</v>
      </c>
      <c r="Q45" s="99">
        <f>+L46-P46</f>
        <v>60</v>
      </c>
      <c r="R45" s="85"/>
      <c r="S45" s="96"/>
      <c r="T45" s="96">
        <v>7</v>
      </c>
      <c r="U45" s="96"/>
      <c r="V45" s="96"/>
      <c r="W45" s="96"/>
      <c r="X45" s="96"/>
      <c r="Y45" s="96"/>
      <c r="Z45" s="96"/>
      <c r="AA45" s="96"/>
      <c r="AB45" s="96"/>
      <c r="AC45" s="96">
        <v>5</v>
      </c>
      <c r="AD45" s="96"/>
      <c r="AE45" s="96"/>
      <c r="AF45" s="96">
        <v>9</v>
      </c>
      <c r="AG45" s="96">
        <v>11</v>
      </c>
      <c r="AH45" s="96">
        <v>4</v>
      </c>
      <c r="AI45" s="96"/>
      <c r="AJ45" s="96"/>
      <c r="AK45" s="96"/>
      <c r="AL45" s="96">
        <v>6</v>
      </c>
      <c r="AM45" s="103"/>
      <c r="AN45" s="103"/>
      <c r="AO45" s="103"/>
      <c r="AP45" s="103"/>
      <c r="AQ45" s="103"/>
      <c r="AR45" s="103"/>
      <c r="AS45" s="103"/>
      <c r="AT45" s="103"/>
      <c r="AU45" s="103"/>
      <c r="AV45" s="103"/>
      <c r="AW45" s="103"/>
      <c r="AX45" s="103"/>
      <c r="AY45" s="106"/>
      <c r="AZ45" s="106"/>
      <c r="BA45" s="106"/>
      <c r="BB45" s="106"/>
      <c r="BC45" s="106"/>
      <c r="BD45" s="106"/>
      <c r="BE45" s="103"/>
      <c r="BF45" s="104"/>
      <c r="BG45" s="104"/>
    </row>
    <row r="46" spans="1:59" s="17" customFormat="1" ht="15.75" customHeight="1">
      <c r="A46" s="85"/>
      <c r="B46" s="88"/>
      <c r="C46" s="90"/>
      <c r="D46" s="92"/>
      <c r="E46" s="90"/>
      <c r="F46" s="90"/>
      <c r="G46" s="94"/>
      <c r="H46" s="95"/>
      <c r="I46" s="95"/>
      <c r="J46" s="95"/>
      <c r="K46" s="22">
        <f>8+32+48+44+34+38+20+74</f>
        <v>298</v>
      </c>
      <c r="L46" s="18">
        <f>7+30+45+50+45+47+50</f>
        <v>274</v>
      </c>
      <c r="M46" s="18">
        <f>3+10+5+10+8</f>
        <v>36</v>
      </c>
      <c r="N46" s="98"/>
      <c r="O46" s="19">
        <f t="shared" si="0"/>
        <v>238</v>
      </c>
      <c r="P46" s="22">
        <f>3+10+12+30+25+114+20</f>
        <v>214</v>
      </c>
      <c r="Q46" s="100"/>
      <c r="R46" s="86"/>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7"/>
      <c r="AZ46" s="107"/>
      <c r="BA46" s="107"/>
      <c r="BB46" s="107"/>
      <c r="BC46" s="107"/>
      <c r="BD46" s="107"/>
      <c r="BE46" s="103"/>
      <c r="BF46" s="105"/>
      <c r="BG46" s="105"/>
    </row>
    <row r="47" spans="1:59" ht="24.75" customHeight="1">
      <c r="A47" s="111" t="s">
        <v>15</v>
      </c>
      <c r="B47" s="112"/>
      <c r="C47" s="112"/>
      <c r="D47" s="112"/>
      <c r="E47" s="112"/>
      <c r="F47" s="112"/>
      <c r="G47" s="112"/>
      <c r="H47" s="112"/>
      <c r="I47" s="113"/>
      <c r="J47" s="5">
        <f>SUM(J5:J46)</f>
        <v>25783</v>
      </c>
      <c r="K47" s="5">
        <f>+SUMPRODUCT(((MOD(ROW(K5:K46),2)=1)*(K5:K46)))</f>
        <v>1067</v>
      </c>
      <c r="L47" s="5">
        <f>+SUMPRODUCT(((MOD(ROW(L5:L46),2)=1)*(L5:L46)))</f>
        <v>1498</v>
      </c>
      <c r="M47" s="5">
        <f>+SUMPRODUCT(((MOD(ROW(M5:M46),2)=1)*(M5:M46)))</f>
        <v>550</v>
      </c>
      <c r="N47" s="23">
        <f>O47/L47</f>
        <v>0.63284379172229643</v>
      </c>
      <c r="O47" s="5">
        <f>+SUMPRODUCT(((MOD(ROW(O5:O46),2)=1)*(O5:O46)))</f>
        <v>948</v>
      </c>
      <c r="P47" s="5">
        <f>+SUMPRODUCT(((MOD(ROW(P5:P46),2)=1)*(P5:P46)))</f>
        <v>1626</v>
      </c>
      <c r="Q47" s="5">
        <f>+SUMPRODUCT(((MOD(ROW(Q5:Q46),2)=1)*(Q5:Q46)))</f>
        <v>1916</v>
      </c>
      <c r="R47" s="29"/>
      <c r="S47" s="5">
        <f t="shared" ref="S47:BG47" si="1">SUM(S5:S46)</f>
        <v>107</v>
      </c>
      <c r="T47" s="5">
        <f t="shared" si="1"/>
        <v>157</v>
      </c>
      <c r="U47" s="5">
        <f t="shared" si="1"/>
        <v>13</v>
      </c>
      <c r="V47" s="5">
        <f t="shared" si="1"/>
        <v>0</v>
      </c>
      <c r="W47" s="5">
        <f t="shared" si="1"/>
        <v>0</v>
      </c>
      <c r="X47" s="5">
        <f t="shared" si="1"/>
        <v>15</v>
      </c>
      <c r="Y47" s="5">
        <f t="shared" si="1"/>
        <v>1</v>
      </c>
      <c r="Z47" s="5">
        <f t="shared" si="1"/>
        <v>15</v>
      </c>
      <c r="AA47" s="5">
        <f t="shared" si="1"/>
        <v>0</v>
      </c>
      <c r="AB47" s="5">
        <f t="shared" si="1"/>
        <v>0</v>
      </c>
      <c r="AC47" s="5">
        <f t="shared" si="1"/>
        <v>128</v>
      </c>
      <c r="AD47" s="5">
        <f t="shared" si="1"/>
        <v>10</v>
      </c>
      <c r="AE47" s="5">
        <f t="shared" si="1"/>
        <v>45</v>
      </c>
      <c r="AF47" s="5">
        <f t="shared" si="1"/>
        <v>110</v>
      </c>
      <c r="AG47" s="5">
        <f t="shared" si="1"/>
        <v>106</v>
      </c>
      <c r="AH47" s="5">
        <f t="shared" si="1"/>
        <v>124</v>
      </c>
      <c r="AI47" s="5">
        <f t="shared" si="1"/>
        <v>0</v>
      </c>
      <c r="AJ47" s="5">
        <f t="shared" si="1"/>
        <v>0</v>
      </c>
      <c r="AK47" s="5">
        <f t="shared" si="1"/>
        <v>0</v>
      </c>
      <c r="AL47" s="5">
        <f t="shared" si="1"/>
        <v>117</v>
      </c>
      <c r="AM47" s="5">
        <f t="shared" si="1"/>
        <v>0</v>
      </c>
      <c r="AN47" s="5">
        <f t="shared" si="1"/>
        <v>0</v>
      </c>
      <c r="AO47" s="5">
        <f t="shared" si="1"/>
        <v>0</v>
      </c>
      <c r="AP47" s="5">
        <f t="shared" si="1"/>
        <v>0</v>
      </c>
      <c r="AQ47" s="5">
        <f t="shared" si="1"/>
        <v>0</v>
      </c>
      <c r="AR47" s="5">
        <f t="shared" si="1"/>
        <v>0</v>
      </c>
      <c r="AS47" s="5">
        <f t="shared" si="1"/>
        <v>0</v>
      </c>
      <c r="AT47" s="5">
        <f t="shared" si="1"/>
        <v>0</v>
      </c>
      <c r="AU47" s="5">
        <f t="shared" si="1"/>
        <v>0</v>
      </c>
      <c r="AV47" s="5">
        <f t="shared" si="1"/>
        <v>0</v>
      </c>
      <c r="AW47" s="5">
        <f t="shared" si="1"/>
        <v>0</v>
      </c>
      <c r="AX47" s="5">
        <f t="shared" si="1"/>
        <v>0</v>
      </c>
      <c r="AY47" s="5">
        <f t="shared" si="1"/>
        <v>0</v>
      </c>
      <c r="AZ47" s="5">
        <f t="shared" si="1"/>
        <v>0</v>
      </c>
      <c r="BA47" s="5">
        <f t="shared" si="1"/>
        <v>0</v>
      </c>
      <c r="BB47" s="5">
        <f t="shared" si="1"/>
        <v>0</v>
      </c>
      <c r="BC47" s="5">
        <f t="shared" si="1"/>
        <v>0</v>
      </c>
      <c r="BD47" s="5">
        <f t="shared" si="1"/>
        <v>0</v>
      </c>
      <c r="BE47" s="5">
        <f t="shared" si="1"/>
        <v>0</v>
      </c>
      <c r="BF47" s="5">
        <f t="shared" si="1"/>
        <v>0</v>
      </c>
      <c r="BG47" s="5">
        <f t="shared" si="1"/>
        <v>0</v>
      </c>
    </row>
    <row r="48" spans="1:59" s="17" customFormat="1" ht="15.75" customHeight="1">
      <c r="A48" s="108">
        <v>45278</v>
      </c>
      <c r="B48" s="87" t="s">
        <v>37</v>
      </c>
      <c r="C48" s="89">
        <v>1</v>
      </c>
      <c r="D48" s="91" t="s">
        <v>85</v>
      </c>
      <c r="E48" s="91" t="s">
        <v>84</v>
      </c>
      <c r="F48" s="89" t="s">
        <v>83</v>
      </c>
      <c r="G48" s="93" t="s">
        <v>71</v>
      </c>
      <c r="H48" s="90" t="s">
        <v>82</v>
      </c>
      <c r="I48" s="90">
        <v>13712</v>
      </c>
      <c r="J48" s="90">
        <v>505</v>
      </c>
      <c r="K48" s="20">
        <v>60</v>
      </c>
      <c r="L48" s="20">
        <v>60</v>
      </c>
      <c r="M48" s="20">
        <v>35</v>
      </c>
      <c r="N48" s="97">
        <f>O49/L49</f>
        <v>0.43172690763052207</v>
      </c>
      <c r="O48" s="21">
        <f>+L48-M48</f>
        <v>25</v>
      </c>
      <c r="P48" s="27">
        <v>128</v>
      </c>
      <c r="Q48" s="99">
        <f>+L49-P49</f>
        <v>0</v>
      </c>
      <c r="R48" s="169" t="s">
        <v>81</v>
      </c>
      <c r="S48" s="96">
        <v>6</v>
      </c>
      <c r="T48" s="96"/>
      <c r="U48" s="96">
        <v>4</v>
      </c>
      <c r="V48" s="96"/>
      <c r="W48" s="96"/>
      <c r="X48" s="96"/>
      <c r="Y48" s="96"/>
      <c r="Z48" s="96"/>
      <c r="AA48" s="96"/>
      <c r="AB48" s="96"/>
      <c r="AC48" s="96">
        <v>4</v>
      </c>
      <c r="AD48" s="96"/>
      <c r="AE48" s="96">
        <v>5</v>
      </c>
      <c r="AF48" s="96"/>
      <c r="AG48" s="96"/>
      <c r="AH48" s="96"/>
      <c r="AI48" s="96"/>
      <c r="AJ48" s="96"/>
      <c r="AK48" s="96"/>
      <c r="AL48" s="96">
        <v>6</v>
      </c>
      <c r="AM48" s="103"/>
      <c r="AN48" s="103"/>
      <c r="AO48" s="103"/>
      <c r="AP48" s="103"/>
      <c r="AQ48" s="103"/>
      <c r="AR48" s="103"/>
      <c r="AS48" s="103"/>
      <c r="AT48" s="103"/>
      <c r="AU48" s="103"/>
      <c r="AV48" s="103"/>
      <c r="AW48" s="103"/>
      <c r="AX48" s="103"/>
      <c r="AY48" s="106"/>
      <c r="AZ48" s="106"/>
      <c r="BA48" s="106"/>
      <c r="BB48" s="106"/>
      <c r="BC48" s="106"/>
      <c r="BD48" s="106"/>
      <c r="BE48" s="103"/>
      <c r="BF48" s="104"/>
      <c r="BG48" s="104"/>
    </row>
    <row r="49" spans="1:59" s="17" customFormat="1" ht="15.75" customHeight="1">
      <c r="A49" s="85"/>
      <c r="B49" s="88"/>
      <c r="C49" s="90"/>
      <c r="D49" s="92"/>
      <c r="E49" s="92"/>
      <c r="F49" s="90"/>
      <c r="G49" s="94"/>
      <c r="H49" s="95"/>
      <c r="I49" s="95"/>
      <c r="J49" s="95"/>
      <c r="K49" s="22">
        <f>150+288+60</f>
        <v>498</v>
      </c>
      <c r="L49" s="18">
        <f>150+288+60</f>
        <v>498</v>
      </c>
      <c r="M49" s="18">
        <f>60+188+35</f>
        <v>283</v>
      </c>
      <c r="N49" s="98"/>
      <c r="O49" s="19">
        <f>+L49-M49</f>
        <v>215</v>
      </c>
      <c r="P49" s="22">
        <f>100+270+128</f>
        <v>498</v>
      </c>
      <c r="Q49" s="100"/>
      <c r="R49" s="86"/>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7"/>
      <c r="AZ49" s="107"/>
      <c r="BA49" s="107"/>
      <c r="BB49" s="107"/>
      <c r="BC49" s="107"/>
      <c r="BD49" s="107"/>
      <c r="BE49" s="103"/>
      <c r="BF49" s="105"/>
      <c r="BG49" s="105"/>
    </row>
    <row r="50" spans="1:59" s="17" customFormat="1" ht="15.75" hidden="1" customHeight="1">
      <c r="A50" s="101"/>
      <c r="B50" s="114"/>
      <c r="C50" s="116"/>
      <c r="D50" s="118"/>
      <c r="E50" s="116"/>
      <c r="F50" s="116"/>
      <c r="G50" s="120"/>
      <c r="H50" s="90"/>
      <c r="I50" s="90"/>
      <c r="J50" s="90"/>
      <c r="K50" s="20"/>
      <c r="L50" s="20"/>
      <c r="M50" s="20"/>
      <c r="N50" s="97"/>
      <c r="O50" s="21"/>
      <c r="P50" s="27"/>
      <c r="Q50" s="99"/>
      <c r="R50" s="110"/>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6"/>
      <c r="AZ50" s="106"/>
      <c r="BA50" s="106"/>
      <c r="BB50" s="106"/>
      <c r="BC50" s="106"/>
      <c r="BD50" s="106"/>
      <c r="BE50" s="103"/>
      <c r="BF50" s="104"/>
      <c r="BG50" s="104"/>
    </row>
    <row r="51" spans="1:59" s="17" customFormat="1" ht="15.75" hidden="1" customHeight="1">
      <c r="A51" s="102"/>
      <c r="B51" s="115"/>
      <c r="C51" s="117"/>
      <c r="D51" s="119"/>
      <c r="E51" s="117"/>
      <c r="F51" s="117"/>
      <c r="G51" s="121"/>
      <c r="H51" s="95"/>
      <c r="I51" s="95"/>
      <c r="J51" s="95"/>
      <c r="K51" s="22"/>
      <c r="L51" s="18"/>
      <c r="M51" s="18"/>
      <c r="N51" s="98"/>
      <c r="O51" s="19"/>
      <c r="P51" s="22"/>
      <c r="Q51" s="100"/>
      <c r="R51" s="102"/>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7"/>
      <c r="AZ51" s="107"/>
      <c r="BA51" s="107"/>
      <c r="BB51" s="107"/>
      <c r="BC51" s="107"/>
      <c r="BD51" s="107"/>
      <c r="BE51" s="103"/>
      <c r="BF51" s="105"/>
      <c r="BG51" s="105"/>
    </row>
    <row r="52" spans="1:59" s="17" customFormat="1" ht="15.75" hidden="1" customHeight="1">
      <c r="A52" s="101"/>
      <c r="B52" s="114"/>
      <c r="C52" s="116"/>
      <c r="D52" s="118"/>
      <c r="E52" s="116"/>
      <c r="F52" s="116"/>
      <c r="G52" s="120"/>
      <c r="H52" s="90"/>
      <c r="I52" s="90"/>
      <c r="J52" s="90"/>
      <c r="K52" s="20"/>
      <c r="L52" s="20"/>
      <c r="M52" s="20"/>
      <c r="N52" s="97"/>
      <c r="O52" s="21"/>
      <c r="P52" s="27"/>
      <c r="Q52" s="99"/>
      <c r="R52" s="110"/>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6"/>
      <c r="AZ52" s="106"/>
      <c r="BA52" s="106"/>
      <c r="BB52" s="106"/>
      <c r="BC52" s="106"/>
      <c r="BD52" s="106"/>
      <c r="BE52" s="103"/>
      <c r="BF52" s="104"/>
      <c r="BG52" s="104"/>
    </row>
    <row r="53" spans="1:59" s="17" customFormat="1" ht="15.75" hidden="1" customHeight="1">
      <c r="A53" s="102"/>
      <c r="B53" s="115"/>
      <c r="C53" s="117"/>
      <c r="D53" s="119"/>
      <c r="E53" s="117"/>
      <c r="F53" s="117"/>
      <c r="G53" s="121"/>
      <c r="H53" s="95"/>
      <c r="I53" s="95"/>
      <c r="J53" s="95"/>
      <c r="K53" s="22"/>
      <c r="L53" s="18"/>
      <c r="M53" s="18"/>
      <c r="N53" s="98"/>
      <c r="O53" s="19"/>
      <c r="P53" s="22"/>
      <c r="Q53" s="100"/>
      <c r="R53" s="102"/>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7"/>
      <c r="AZ53" s="107"/>
      <c r="BA53" s="107"/>
      <c r="BB53" s="107"/>
      <c r="BC53" s="107"/>
      <c r="BD53" s="107"/>
      <c r="BE53" s="103"/>
      <c r="BF53" s="105"/>
      <c r="BG53" s="105"/>
    </row>
    <row r="54" spans="1:59" ht="24.75" customHeight="1">
      <c r="A54" s="111" t="s">
        <v>46</v>
      </c>
      <c r="B54" s="112"/>
      <c r="C54" s="112"/>
      <c r="D54" s="112"/>
      <c r="E54" s="112"/>
      <c r="F54" s="112"/>
      <c r="G54" s="112"/>
      <c r="H54" s="112"/>
      <c r="I54" s="113"/>
      <c r="J54" s="5">
        <f>SUM(J48:J53)</f>
        <v>505</v>
      </c>
      <c r="K54" s="5">
        <f>+SUMPRODUCT(((MOD(ROW(K48:K53),2)=0)*(K48:K53)))</f>
        <v>60</v>
      </c>
      <c r="L54" s="5">
        <f>+SUMPRODUCT(((MOD(ROW(L48:L53),2)=0)*(L48:L53)))</f>
        <v>60</v>
      </c>
      <c r="M54" s="5">
        <f>+SUMPRODUCT(((MOD(ROW(M48:M53),2)=0)*(M48:M53)))</f>
        <v>35</v>
      </c>
      <c r="N54" s="23">
        <f>O54/L54</f>
        <v>0.41666666666666669</v>
      </c>
      <c r="O54" s="5">
        <f>+SUMPRODUCT(((MOD(ROW(O48:O53),2)=0)*(O48:O53)))</f>
        <v>25</v>
      </c>
      <c r="P54" s="5">
        <f>+SUMPRODUCT(((MOD(ROW(P48:P53),2)=0)*(P48:P53)))</f>
        <v>128</v>
      </c>
      <c r="Q54" s="29">
        <f>SUM(Q48:Q53)</f>
        <v>0</v>
      </c>
      <c r="R54" s="29"/>
      <c r="S54" s="5">
        <f t="shared" ref="S54:BG54" si="2">SUM(S48:S53)</f>
        <v>6</v>
      </c>
      <c r="T54" s="5">
        <f t="shared" si="2"/>
        <v>0</v>
      </c>
      <c r="U54" s="5">
        <f t="shared" si="2"/>
        <v>4</v>
      </c>
      <c r="V54" s="5">
        <f t="shared" si="2"/>
        <v>0</v>
      </c>
      <c r="W54" s="5">
        <f t="shared" si="2"/>
        <v>0</v>
      </c>
      <c r="X54" s="5">
        <f t="shared" si="2"/>
        <v>0</v>
      </c>
      <c r="Y54" s="5">
        <f t="shared" si="2"/>
        <v>0</v>
      </c>
      <c r="Z54" s="5">
        <f t="shared" si="2"/>
        <v>0</v>
      </c>
      <c r="AA54" s="5">
        <f t="shared" si="2"/>
        <v>0</v>
      </c>
      <c r="AB54" s="5">
        <f t="shared" si="2"/>
        <v>0</v>
      </c>
      <c r="AC54" s="5">
        <f t="shared" si="2"/>
        <v>4</v>
      </c>
      <c r="AD54" s="5">
        <f t="shared" si="2"/>
        <v>0</v>
      </c>
      <c r="AE54" s="5">
        <f t="shared" si="2"/>
        <v>5</v>
      </c>
      <c r="AF54" s="5">
        <f t="shared" si="2"/>
        <v>0</v>
      </c>
      <c r="AG54" s="5">
        <f t="shared" si="2"/>
        <v>0</v>
      </c>
      <c r="AH54" s="5">
        <f t="shared" si="2"/>
        <v>0</v>
      </c>
      <c r="AI54" s="5">
        <f t="shared" si="2"/>
        <v>0</v>
      </c>
      <c r="AJ54" s="5">
        <f t="shared" si="2"/>
        <v>0</v>
      </c>
      <c r="AK54" s="5">
        <f t="shared" si="2"/>
        <v>0</v>
      </c>
      <c r="AL54" s="5">
        <f t="shared" si="2"/>
        <v>6</v>
      </c>
      <c r="AM54" s="5">
        <f t="shared" si="2"/>
        <v>0</v>
      </c>
      <c r="AN54" s="5">
        <f t="shared" si="2"/>
        <v>0</v>
      </c>
      <c r="AO54" s="5">
        <f t="shared" si="2"/>
        <v>0</v>
      </c>
      <c r="AP54" s="5">
        <f t="shared" si="2"/>
        <v>0</v>
      </c>
      <c r="AQ54" s="5">
        <f t="shared" si="2"/>
        <v>0</v>
      </c>
      <c r="AR54" s="5">
        <f t="shared" si="2"/>
        <v>0</v>
      </c>
      <c r="AS54" s="5">
        <f t="shared" si="2"/>
        <v>0</v>
      </c>
      <c r="AT54" s="5">
        <f t="shared" si="2"/>
        <v>0</v>
      </c>
      <c r="AU54" s="5">
        <f t="shared" si="2"/>
        <v>0</v>
      </c>
      <c r="AV54" s="5">
        <f t="shared" si="2"/>
        <v>0</v>
      </c>
      <c r="AW54" s="5">
        <f t="shared" si="2"/>
        <v>0</v>
      </c>
      <c r="AX54" s="5">
        <f t="shared" si="2"/>
        <v>0</v>
      </c>
      <c r="AY54" s="5">
        <f t="shared" si="2"/>
        <v>0</v>
      </c>
      <c r="AZ54" s="5">
        <f t="shared" si="2"/>
        <v>0</v>
      </c>
      <c r="BA54" s="5">
        <f t="shared" si="2"/>
        <v>0</v>
      </c>
      <c r="BB54" s="5">
        <f t="shared" si="2"/>
        <v>0</v>
      </c>
      <c r="BC54" s="5">
        <f t="shared" si="2"/>
        <v>0</v>
      </c>
      <c r="BD54" s="5">
        <f t="shared" si="2"/>
        <v>0</v>
      </c>
      <c r="BE54" s="5">
        <f t="shared" si="2"/>
        <v>0</v>
      </c>
      <c r="BF54" s="5">
        <f t="shared" si="2"/>
        <v>0</v>
      </c>
      <c r="BG54" s="5">
        <f t="shared" si="2"/>
        <v>0</v>
      </c>
    </row>
    <row r="55" spans="1:59" s="17" customFormat="1" ht="15.75" hidden="1" customHeight="1">
      <c r="A55" s="85"/>
      <c r="B55" s="87"/>
      <c r="C55" s="89"/>
      <c r="D55" s="91"/>
      <c r="E55" s="89"/>
      <c r="F55" s="89"/>
      <c r="G55" s="93"/>
      <c r="H55" s="90"/>
      <c r="I55" s="90"/>
      <c r="J55" s="90"/>
      <c r="K55" s="20"/>
      <c r="L55" s="20"/>
      <c r="M55" s="20"/>
      <c r="N55" s="97"/>
      <c r="O55" s="21"/>
      <c r="P55" s="27"/>
      <c r="Q55" s="99"/>
      <c r="R55" s="110"/>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86"/>
      <c r="B56" s="88"/>
      <c r="C56" s="90"/>
      <c r="D56" s="92"/>
      <c r="E56" s="90"/>
      <c r="F56" s="90"/>
      <c r="G56" s="94"/>
      <c r="H56" s="95"/>
      <c r="I56" s="95"/>
      <c r="J56" s="95"/>
      <c r="K56" s="22"/>
      <c r="L56" s="18"/>
      <c r="M56" s="18"/>
      <c r="N56" s="98"/>
      <c r="O56" s="19"/>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ref="O57:O64" si="3">L57-M57</f>
        <v>0</v>
      </c>
      <c r="P57" s="27"/>
      <c r="Q57" s="99">
        <f>+L58-P58</f>
        <v>0</v>
      </c>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90"/>
      <c r="I59" s="90"/>
      <c r="J59" s="90"/>
      <c r="K59" s="20"/>
      <c r="L59" s="20"/>
      <c r="M59" s="20"/>
      <c r="N59" s="97" t="e">
        <f>O60/L60</f>
        <v>#DIV/0!</v>
      </c>
      <c r="O59" s="21">
        <f t="shared" si="3"/>
        <v>0</v>
      </c>
      <c r="P59" s="27"/>
      <c r="Q59" s="99">
        <f>+L60-P60</f>
        <v>0</v>
      </c>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8"/>
      <c r="F61" s="116"/>
      <c r="G61" s="120"/>
      <c r="H61" s="90"/>
      <c r="I61" s="90"/>
      <c r="J61" s="90"/>
      <c r="K61" s="20"/>
      <c r="L61" s="20"/>
      <c r="M61" s="20"/>
      <c r="N61" s="97" t="e">
        <f>O62/L62</f>
        <v>#DIV/0!</v>
      </c>
      <c r="O61" s="21">
        <f t="shared" si="3"/>
        <v>0</v>
      </c>
      <c r="P61" s="27"/>
      <c r="Q61" s="99">
        <f>+L62-P62</f>
        <v>0</v>
      </c>
      <c r="R61" s="110"/>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9"/>
      <c r="F62" s="117"/>
      <c r="G62" s="121"/>
      <c r="H62" s="95"/>
      <c r="I62" s="95"/>
      <c r="J62" s="95"/>
      <c r="K62" s="22"/>
      <c r="L62" s="18"/>
      <c r="M62" s="18"/>
      <c r="N62" s="98"/>
      <c r="O62" s="19">
        <f t="shared" si="3"/>
        <v>0</v>
      </c>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s="17" customFormat="1" ht="15.75" hidden="1" customHeight="1">
      <c r="A63" s="101"/>
      <c r="B63" s="114"/>
      <c r="C63" s="116"/>
      <c r="D63" s="118"/>
      <c r="E63" s="118"/>
      <c r="F63" s="116"/>
      <c r="G63" s="120"/>
      <c r="H63" s="109"/>
      <c r="I63" s="90"/>
      <c r="J63" s="90"/>
      <c r="K63" s="20"/>
      <c r="L63" s="20"/>
      <c r="M63" s="20"/>
      <c r="N63" s="97" t="e">
        <f>O64/L64</f>
        <v>#DIV/0!</v>
      </c>
      <c r="O63" s="21">
        <f t="shared" si="3"/>
        <v>0</v>
      </c>
      <c r="P63" s="27"/>
      <c r="Q63" s="99">
        <f>+L64-P64</f>
        <v>0</v>
      </c>
      <c r="R63" s="110"/>
      <c r="S63" s="96"/>
      <c r="T63" s="96"/>
      <c r="U63" s="96"/>
      <c r="V63" s="96"/>
      <c r="W63" s="96"/>
      <c r="X63" s="96"/>
      <c r="Y63" s="96"/>
      <c r="Z63" s="96"/>
      <c r="AA63" s="96"/>
      <c r="AB63" s="96"/>
      <c r="AC63" s="96"/>
      <c r="AD63" s="96"/>
      <c r="AE63" s="96"/>
      <c r="AF63" s="96"/>
      <c r="AG63" s="96"/>
      <c r="AH63" s="96"/>
      <c r="AI63" s="96"/>
      <c r="AJ63" s="96"/>
      <c r="AK63" s="96"/>
      <c r="AL63" s="96"/>
      <c r="AM63" s="103"/>
      <c r="AN63" s="103"/>
      <c r="AO63" s="103"/>
      <c r="AP63" s="103"/>
      <c r="AQ63" s="103"/>
      <c r="AR63" s="103"/>
      <c r="AS63" s="103"/>
      <c r="AT63" s="103"/>
      <c r="AU63" s="103"/>
      <c r="AV63" s="103"/>
      <c r="AW63" s="103"/>
      <c r="AX63" s="103"/>
      <c r="AY63" s="106"/>
      <c r="AZ63" s="106"/>
      <c r="BA63" s="106"/>
      <c r="BB63" s="106"/>
      <c r="BC63" s="106"/>
      <c r="BD63" s="106"/>
      <c r="BE63" s="103"/>
      <c r="BF63" s="104"/>
      <c r="BG63" s="104"/>
    </row>
    <row r="64" spans="1:59" s="17" customFormat="1" ht="15.75" hidden="1" customHeight="1">
      <c r="A64" s="102"/>
      <c r="B64" s="115"/>
      <c r="C64" s="117"/>
      <c r="D64" s="119"/>
      <c r="E64" s="119"/>
      <c r="F64" s="117"/>
      <c r="G64" s="121"/>
      <c r="H64" s="95"/>
      <c r="I64" s="95"/>
      <c r="J64" s="95"/>
      <c r="K64" s="22"/>
      <c r="L64" s="18"/>
      <c r="M64" s="18"/>
      <c r="N64" s="98"/>
      <c r="O64" s="19">
        <f t="shared" si="3"/>
        <v>0</v>
      </c>
      <c r="P64" s="22"/>
      <c r="Q64" s="100"/>
      <c r="R64" s="102"/>
      <c r="S64" s="96"/>
      <c r="T64" s="96"/>
      <c r="U64" s="96"/>
      <c r="V64" s="96"/>
      <c r="W64" s="96"/>
      <c r="X64" s="96"/>
      <c r="Y64" s="96"/>
      <c r="Z64" s="96"/>
      <c r="AA64" s="96"/>
      <c r="AB64" s="96"/>
      <c r="AC64" s="96"/>
      <c r="AD64" s="96"/>
      <c r="AE64" s="96"/>
      <c r="AF64" s="96"/>
      <c r="AG64" s="96"/>
      <c r="AH64" s="96"/>
      <c r="AI64" s="96"/>
      <c r="AJ64" s="96"/>
      <c r="AK64" s="96"/>
      <c r="AL64" s="96"/>
      <c r="AM64" s="103"/>
      <c r="AN64" s="103"/>
      <c r="AO64" s="103"/>
      <c r="AP64" s="103"/>
      <c r="AQ64" s="103"/>
      <c r="AR64" s="103"/>
      <c r="AS64" s="103"/>
      <c r="AT64" s="103"/>
      <c r="AU64" s="103"/>
      <c r="AV64" s="103"/>
      <c r="AW64" s="103"/>
      <c r="AX64" s="103"/>
      <c r="AY64" s="107"/>
      <c r="AZ64" s="107"/>
      <c r="BA64" s="107"/>
      <c r="BB64" s="107"/>
      <c r="BC64" s="107"/>
      <c r="BD64" s="107"/>
      <c r="BE64" s="103"/>
      <c r="BF64" s="105"/>
      <c r="BG64" s="105"/>
    </row>
    <row r="65" spans="1:59" s="17" customFormat="1" ht="15.75" hidden="1" customHeight="1">
      <c r="A65" s="101"/>
      <c r="B65" s="114"/>
      <c r="C65" s="116"/>
      <c r="D65" s="118"/>
      <c r="E65" s="116"/>
      <c r="F65" s="116"/>
      <c r="G65" s="120"/>
      <c r="H65" s="90"/>
      <c r="I65" s="90"/>
      <c r="J65" s="90"/>
      <c r="K65" s="20"/>
      <c r="L65" s="20"/>
      <c r="M65" s="20"/>
      <c r="N65" s="97" t="e">
        <f>O66/L66</f>
        <v>#DIV/0!</v>
      </c>
      <c r="O65" s="21"/>
      <c r="P65" s="27"/>
      <c r="Q65" s="99"/>
      <c r="R65" s="110"/>
      <c r="S65" s="96"/>
      <c r="T65" s="96"/>
      <c r="U65" s="96"/>
      <c r="V65" s="96"/>
      <c r="W65" s="96"/>
      <c r="X65" s="96"/>
      <c r="Y65" s="96"/>
      <c r="Z65" s="96"/>
      <c r="AA65" s="96"/>
      <c r="AB65" s="96"/>
      <c r="AC65" s="96"/>
      <c r="AD65" s="96"/>
      <c r="AE65" s="96"/>
      <c r="AF65" s="96"/>
      <c r="AG65" s="96"/>
      <c r="AH65" s="96"/>
      <c r="AI65" s="96"/>
      <c r="AJ65" s="96"/>
      <c r="AK65" s="96"/>
      <c r="AL65" s="96"/>
      <c r="AM65" s="103"/>
      <c r="AN65" s="103"/>
      <c r="AO65" s="103"/>
      <c r="AP65" s="103"/>
      <c r="AQ65" s="103"/>
      <c r="AR65" s="103"/>
      <c r="AS65" s="103"/>
      <c r="AT65" s="103"/>
      <c r="AU65" s="103"/>
      <c r="AV65" s="103"/>
      <c r="AW65" s="103"/>
      <c r="AX65" s="103"/>
      <c r="AY65" s="106"/>
      <c r="AZ65" s="106"/>
      <c r="BA65" s="106"/>
      <c r="BB65" s="106"/>
      <c r="BC65" s="106"/>
      <c r="BD65" s="106"/>
      <c r="BE65" s="103"/>
      <c r="BF65" s="104"/>
      <c r="BG65" s="104"/>
    </row>
    <row r="66" spans="1:59" s="17" customFormat="1" ht="15.75" hidden="1" customHeight="1">
      <c r="A66" s="102"/>
      <c r="B66" s="115"/>
      <c r="C66" s="117"/>
      <c r="D66" s="119"/>
      <c r="E66" s="117"/>
      <c r="F66" s="117"/>
      <c r="G66" s="121"/>
      <c r="H66" s="95"/>
      <c r="I66" s="95"/>
      <c r="J66" s="95"/>
      <c r="K66" s="22"/>
      <c r="L66" s="18"/>
      <c r="M66" s="18"/>
      <c r="N66" s="98"/>
      <c r="O66" s="19"/>
      <c r="P66" s="22"/>
      <c r="Q66" s="100"/>
      <c r="R66" s="102"/>
      <c r="S66" s="96"/>
      <c r="T66" s="96"/>
      <c r="U66" s="96"/>
      <c r="V66" s="96"/>
      <c r="W66" s="96"/>
      <c r="X66" s="96"/>
      <c r="Y66" s="96"/>
      <c r="Z66" s="96"/>
      <c r="AA66" s="96"/>
      <c r="AB66" s="96"/>
      <c r="AC66" s="96"/>
      <c r="AD66" s="96"/>
      <c r="AE66" s="96"/>
      <c r="AF66" s="96"/>
      <c r="AG66" s="96"/>
      <c r="AH66" s="96"/>
      <c r="AI66" s="96"/>
      <c r="AJ66" s="96"/>
      <c r="AK66" s="96"/>
      <c r="AL66" s="96"/>
      <c r="AM66" s="103"/>
      <c r="AN66" s="103"/>
      <c r="AO66" s="103"/>
      <c r="AP66" s="103"/>
      <c r="AQ66" s="103"/>
      <c r="AR66" s="103"/>
      <c r="AS66" s="103"/>
      <c r="AT66" s="103"/>
      <c r="AU66" s="103"/>
      <c r="AV66" s="103"/>
      <c r="AW66" s="103"/>
      <c r="AX66" s="103"/>
      <c r="AY66" s="107"/>
      <c r="AZ66" s="107"/>
      <c r="BA66" s="107"/>
      <c r="BB66" s="107"/>
      <c r="BC66" s="107"/>
      <c r="BD66" s="107"/>
      <c r="BE66" s="103"/>
      <c r="BF66" s="105"/>
      <c r="BG66" s="105"/>
    </row>
    <row r="67" spans="1:59" ht="24.75" hidden="1" customHeight="1">
      <c r="A67" s="111" t="s">
        <v>74</v>
      </c>
      <c r="B67" s="112"/>
      <c r="C67" s="112"/>
      <c r="D67" s="112"/>
      <c r="E67" s="112"/>
      <c r="F67" s="112"/>
      <c r="G67" s="112"/>
      <c r="H67" s="112"/>
      <c r="I67" s="113"/>
      <c r="J67" s="5">
        <f>+SUMPRODUCT(((MOD(ROW(J55:J66),2)=1)*(J55:J66)))</f>
        <v>0</v>
      </c>
      <c r="K67" s="5">
        <f>+SUMPRODUCT(((MOD(ROW(K55:K66),2)=1)*(K55:K66)))</f>
        <v>0</v>
      </c>
      <c r="L67" s="5">
        <f>+SUMPRODUCT(((MOD(ROW(L55:L66),2)=1)*(L55:L66)))</f>
        <v>0</v>
      </c>
      <c r="M67" s="5">
        <f>+SUMPRODUCT(((MOD(ROW(M55:M66),2)=1)*(M55:M66)))</f>
        <v>0</v>
      </c>
      <c r="N67" s="23" t="e">
        <f>O67/L67</f>
        <v>#DIV/0!</v>
      </c>
      <c r="O67" s="5">
        <f>+SUMPRODUCT(((MOD(ROW(O55:O66),2)=1)*(O55:O66)))</f>
        <v>0</v>
      </c>
      <c r="P67" s="5">
        <f>+SUMPRODUCT(((MOD(ROW(P55:P66),2)=1)*(P55:P66)))</f>
        <v>0</v>
      </c>
      <c r="Q67" s="29">
        <f>SUM(Q55:Q66)</f>
        <v>0</v>
      </c>
      <c r="R67" s="29"/>
      <c r="S67" s="5">
        <f t="shared" ref="S67:BG67" si="4">SUM(S55:S66)</f>
        <v>0</v>
      </c>
      <c r="T67" s="5">
        <f t="shared" si="4"/>
        <v>0</v>
      </c>
      <c r="U67" s="5">
        <f t="shared" si="4"/>
        <v>0</v>
      </c>
      <c r="V67" s="5">
        <f t="shared" si="4"/>
        <v>0</v>
      </c>
      <c r="W67" s="5">
        <f t="shared" si="4"/>
        <v>0</v>
      </c>
      <c r="X67" s="5">
        <f t="shared" si="4"/>
        <v>0</v>
      </c>
      <c r="Y67" s="5">
        <f t="shared" si="4"/>
        <v>0</v>
      </c>
      <c r="Z67" s="5">
        <f t="shared" si="4"/>
        <v>0</v>
      </c>
      <c r="AA67" s="5">
        <f t="shared" si="4"/>
        <v>0</v>
      </c>
      <c r="AB67" s="5">
        <f t="shared" si="4"/>
        <v>0</v>
      </c>
      <c r="AC67" s="5">
        <f t="shared" si="4"/>
        <v>0</v>
      </c>
      <c r="AD67" s="5">
        <f t="shared" si="4"/>
        <v>0</v>
      </c>
      <c r="AE67" s="5">
        <f t="shared" si="4"/>
        <v>0</v>
      </c>
      <c r="AF67" s="5">
        <f t="shared" si="4"/>
        <v>0</v>
      </c>
      <c r="AG67" s="5">
        <f t="shared" si="4"/>
        <v>0</v>
      </c>
      <c r="AH67" s="5">
        <f t="shared" si="4"/>
        <v>0</v>
      </c>
      <c r="AI67" s="5">
        <f t="shared" si="4"/>
        <v>0</v>
      </c>
      <c r="AJ67" s="5">
        <f t="shared" si="4"/>
        <v>0</v>
      </c>
      <c r="AK67" s="5">
        <f t="shared" si="4"/>
        <v>0</v>
      </c>
      <c r="AL67" s="5">
        <f t="shared" si="4"/>
        <v>0</v>
      </c>
      <c r="AM67" s="5">
        <f t="shared" si="4"/>
        <v>0</v>
      </c>
      <c r="AN67" s="5">
        <f t="shared" si="4"/>
        <v>0</v>
      </c>
      <c r="AO67" s="5">
        <f t="shared" si="4"/>
        <v>0</v>
      </c>
      <c r="AP67" s="5">
        <f t="shared" si="4"/>
        <v>0</v>
      </c>
      <c r="AQ67" s="5">
        <f t="shared" si="4"/>
        <v>0</v>
      </c>
      <c r="AR67" s="5">
        <f t="shared" si="4"/>
        <v>0</v>
      </c>
      <c r="AS67" s="5">
        <f t="shared" si="4"/>
        <v>0</v>
      </c>
      <c r="AT67" s="5">
        <f t="shared" si="4"/>
        <v>0</v>
      </c>
      <c r="AU67" s="5">
        <f t="shared" si="4"/>
        <v>0</v>
      </c>
      <c r="AV67" s="5">
        <f t="shared" si="4"/>
        <v>0</v>
      </c>
      <c r="AW67" s="5">
        <f t="shared" si="4"/>
        <v>0</v>
      </c>
      <c r="AX67" s="5">
        <f t="shared" si="4"/>
        <v>0</v>
      </c>
      <c r="AY67" s="5">
        <f t="shared" si="4"/>
        <v>0</v>
      </c>
      <c r="AZ67" s="5">
        <f t="shared" si="4"/>
        <v>0</v>
      </c>
      <c r="BA67" s="5">
        <f t="shared" si="4"/>
        <v>0</v>
      </c>
      <c r="BB67" s="5">
        <f t="shared" si="4"/>
        <v>0</v>
      </c>
      <c r="BC67" s="5">
        <f t="shared" si="4"/>
        <v>0</v>
      </c>
      <c r="BD67" s="5">
        <f t="shared" si="4"/>
        <v>0</v>
      </c>
      <c r="BE67" s="5">
        <f t="shared" si="4"/>
        <v>0</v>
      </c>
      <c r="BF67" s="5">
        <f t="shared" si="4"/>
        <v>0</v>
      </c>
      <c r="BG67" s="5">
        <f t="shared" si="4"/>
        <v>0</v>
      </c>
    </row>
    <row r="68" spans="1:59" ht="24.75" customHeight="1">
      <c r="A68" s="122" t="s">
        <v>5</v>
      </c>
      <c r="B68" s="122"/>
      <c r="C68" s="122"/>
      <c r="D68" s="122"/>
      <c r="E68" s="122"/>
      <c r="F68" s="122"/>
      <c r="G68" s="122"/>
      <c r="H68" s="122"/>
      <c r="I68" s="122"/>
      <c r="J68" s="30">
        <f>J47+J67+J54</f>
        <v>26288</v>
      </c>
      <c r="K68" s="55">
        <f>K47+K54+K67</f>
        <v>1127</v>
      </c>
      <c r="L68" s="55">
        <f>L47+L54+L67</f>
        <v>1558</v>
      </c>
      <c r="M68" s="55">
        <f>M47+M54+M67</f>
        <v>585</v>
      </c>
      <c r="N68" s="32">
        <f>O68/L68</f>
        <v>0.62451861360718874</v>
      </c>
      <c r="O68" s="55">
        <f>O47+O54+O67</f>
        <v>973</v>
      </c>
      <c r="P68" s="55">
        <f>P47+P54+P67</f>
        <v>1754</v>
      </c>
      <c r="Q68" s="55">
        <f>Q47+Q54+Q67</f>
        <v>1916</v>
      </c>
      <c r="R68" s="55"/>
      <c r="S68" s="55">
        <f t="shared" ref="S68:BG68" si="5">S47+S54+S67</f>
        <v>113</v>
      </c>
      <c r="T68" s="55">
        <f t="shared" si="5"/>
        <v>157</v>
      </c>
      <c r="U68" s="55">
        <f t="shared" si="5"/>
        <v>17</v>
      </c>
      <c r="V68" s="55">
        <f t="shared" si="5"/>
        <v>0</v>
      </c>
      <c r="W68" s="55">
        <f t="shared" si="5"/>
        <v>0</v>
      </c>
      <c r="X68" s="55">
        <f t="shared" si="5"/>
        <v>15</v>
      </c>
      <c r="Y68" s="55">
        <f t="shared" si="5"/>
        <v>1</v>
      </c>
      <c r="Z68" s="55">
        <f t="shared" si="5"/>
        <v>15</v>
      </c>
      <c r="AA68" s="55">
        <f t="shared" si="5"/>
        <v>0</v>
      </c>
      <c r="AB68" s="55">
        <f t="shared" si="5"/>
        <v>0</v>
      </c>
      <c r="AC68" s="55">
        <f t="shared" si="5"/>
        <v>132</v>
      </c>
      <c r="AD68" s="55">
        <f t="shared" si="5"/>
        <v>10</v>
      </c>
      <c r="AE68" s="55">
        <f t="shared" si="5"/>
        <v>50</v>
      </c>
      <c r="AF68" s="55">
        <f t="shared" si="5"/>
        <v>110</v>
      </c>
      <c r="AG68" s="55">
        <f t="shared" si="5"/>
        <v>106</v>
      </c>
      <c r="AH68" s="55">
        <f t="shared" si="5"/>
        <v>124</v>
      </c>
      <c r="AI68" s="55">
        <f t="shared" si="5"/>
        <v>0</v>
      </c>
      <c r="AJ68" s="55">
        <f t="shared" si="5"/>
        <v>0</v>
      </c>
      <c r="AK68" s="55">
        <f t="shared" si="5"/>
        <v>0</v>
      </c>
      <c r="AL68" s="55">
        <f t="shared" si="5"/>
        <v>123</v>
      </c>
      <c r="AM68" s="55">
        <f t="shared" si="5"/>
        <v>0</v>
      </c>
      <c r="AN68" s="55">
        <f t="shared" si="5"/>
        <v>0</v>
      </c>
      <c r="AO68" s="55">
        <f t="shared" si="5"/>
        <v>0</v>
      </c>
      <c r="AP68" s="55">
        <f t="shared" si="5"/>
        <v>0</v>
      </c>
      <c r="AQ68" s="55">
        <f t="shared" si="5"/>
        <v>0</v>
      </c>
      <c r="AR68" s="55">
        <f t="shared" si="5"/>
        <v>0</v>
      </c>
      <c r="AS68" s="55">
        <f t="shared" si="5"/>
        <v>0</v>
      </c>
      <c r="AT68" s="55">
        <f t="shared" si="5"/>
        <v>0</v>
      </c>
      <c r="AU68" s="55">
        <f t="shared" si="5"/>
        <v>0</v>
      </c>
      <c r="AV68" s="55">
        <f t="shared" si="5"/>
        <v>0</v>
      </c>
      <c r="AW68" s="55">
        <f t="shared" si="5"/>
        <v>0</v>
      </c>
      <c r="AX68" s="55">
        <f t="shared" si="5"/>
        <v>0</v>
      </c>
      <c r="AY68" s="55">
        <f t="shared" si="5"/>
        <v>0</v>
      </c>
      <c r="AZ68" s="55">
        <f t="shared" si="5"/>
        <v>0</v>
      </c>
      <c r="BA68" s="55">
        <f t="shared" si="5"/>
        <v>0</v>
      </c>
      <c r="BB68" s="55">
        <f t="shared" si="5"/>
        <v>0</v>
      </c>
      <c r="BC68" s="55">
        <f t="shared" si="5"/>
        <v>0</v>
      </c>
      <c r="BD68" s="55">
        <f t="shared" si="5"/>
        <v>0</v>
      </c>
      <c r="BE68" s="55">
        <f t="shared" si="5"/>
        <v>0</v>
      </c>
      <c r="BF68" s="55">
        <f t="shared" si="5"/>
        <v>0</v>
      </c>
      <c r="BG68" s="55">
        <f t="shared" si="5"/>
        <v>0</v>
      </c>
    </row>
    <row r="69" spans="1:59" ht="31.8">
      <c r="A69" s="81" t="s">
        <v>36</v>
      </c>
      <c r="B69" s="81"/>
      <c r="C69" s="81"/>
      <c r="D69" s="81"/>
      <c r="E69" s="81"/>
      <c r="F69" s="81"/>
      <c r="G69" s="81"/>
      <c r="H69" s="81"/>
      <c r="I69" s="81"/>
      <c r="J69" s="81"/>
      <c r="K69" s="81"/>
      <c r="L69" s="81"/>
      <c r="M69" s="81"/>
      <c r="N69" s="81"/>
      <c r="O69" s="81"/>
      <c r="P69" s="24"/>
      <c r="Q69" s="24"/>
      <c r="R69" s="24"/>
      <c r="AM69" s="34"/>
      <c r="AN69" s="34"/>
      <c r="AO69" s="34"/>
      <c r="AP69" s="34"/>
      <c r="AQ69" s="34"/>
      <c r="AR69" s="34"/>
      <c r="AS69" s="34"/>
      <c r="AT69" s="34"/>
      <c r="AU69" s="34"/>
      <c r="AV69" s="34"/>
      <c r="AW69" s="34"/>
      <c r="AX69" s="34"/>
      <c r="AY69" s="34"/>
      <c r="AZ69" s="34"/>
      <c r="BA69" s="34"/>
      <c r="BB69" s="34"/>
      <c r="BC69" s="34"/>
      <c r="BD69" s="34"/>
      <c r="BE69" s="34"/>
      <c r="BF69" s="34"/>
      <c r="BG69" s="34"/>
    </row>
    <row r="70" spans="1:59" ht="33.75" customHeight="1">
      <c r="A70" s="82" t="s">
        <v>13</v>
      </c>
      <c r="B70" s="82"/>
      <c r="C70" s="82"/>
      <c r="D70" s="82"/>
      <c r="E70" s="82"/>
      <c r="F70" s="82"/>
      <c r="G70" s="82"/>
      <c r="H70" s="82"/>
      <c r="I70" s="82"/>
      <c r="J70" s="82"/>
      <c r="K70" s="82"/>
      <c r="L70" s="82"/>
      <c r="M70" s="82"/>
      <c r="N70" s="82"/>
      <c r="O70" s="82"/>
      <c r="AM70" s="34"/>
      <c r="AN70" s="34"/>
      <c r="AO70" s="34"/>
      <c r="AP70" s="34"/>
      <c r="AQ70" s="34"/>
      <c r="AR70" s="34"/>
      <c r="AS70" s="34"/>
      <c r="AT70" s="34"/>
      <c r="AU70" s="34"/>
      <c r="AV70" s="34"/>
      <c r="AW70" s="34"/>
      <c r="AX70" s="34"/>
      <c r="AY70" s="34"/>
      <c r="AZ70" s="34"/>
      <c r="BA70" s="34"/>
      <c r="BB70" s="34"/>
      <c r="BC70" s="34"/>
      <c r="BD70" s="34"/>
      <c r="BE70" s="34"/>
      <c r="BF70" s="34"/>
      <c r="BG70" s="34"/>
    </row>
    <row r="71" spans="1:59" ht="62.4">
      <c r="A71" s="9" t="s">
        <v>0</v>
      </c>
      <c r="B71" s="10" t="s">
        <v>34</v>
      </c>
      <c r="C71" s="11" t="s">
        <v>7</v>
      </c>
      <c r="D71" s="12" t="s">
        <v>1</v>
      </c>
      <c r="E71" s="13" t="s">
        <v>4</v>
      </c>
      <c r="F71" s="13" t="s">
        <v>2</v>
      </c>
      <c r="G71" s="13" t="s">
        <v>3</v>
      </c>
      <c r="H71" s="11" t="s">
        <v>6</v>
      </c>
      <c r="I71" s="14" t="s">
        <v>8</v>
      </c>
      <c r="J71" s="14" t="s">
        <v>17</v>
      </c>
      <c r="K71" s="12" t="s">
        <v>9</v>
      </c>
      <c r="L71" s="15" t="s">
        <v>10</v>
      </c>
      <c r="M71" s="15" t="s">
        <v>11</v>
      </c>
      <c r="N71" s="15" t="s">
        <v>12</v>
      </c>
      <c r="O71" s="15" t="s">
        <v>14</v>
      </c>
      <c r="P71" s="26" t="s">
        <v>16</v>
      </c>
      <c r="Q71" s="15" t="s">
        <v>42</v>
      </c>
      <c r="R71" s="15" t="s">
        <v>44</v>
      </c>
      <c r="S71" s="83">
        <v>101</v>
      </c>
      <c r="T71" s="83">
        <v>102</v>
      </c>
      <c r="U71" s="80">
        <v>106</v>
      </c>
      <c r="V71" s="80">
        <v>108</v>
      </c>
      <c r="W71" s="80">
        <v>109</v>
      </c>
      <c r="X71" s="80">
        <v>113</v>
      </c>
      <c r="Y71" s="80">
        <v>114</v>
      </c>
      <c r="Z71" s="80">
        <v>115</v>
      </c>
      <c r="AA71" s="80">
        <v>116</v>
      </c>
      <c r="AB71" s="80">
        <v>199</v>
      </c>
      <c r="AC71" s="80">
        <v>201</v>
      </c>
      <c r="AD71" s="80">
        <v>202</v>
      </c>
      <c r="AE71" s="80">
        <v>203</v>
      </c>
      <c r="AF71" s="80">
        <v>205</v>
      </c>
      <c r="AG71" s="80">
        <v>206</v>
      </c>
      <c r="AH71" s="79">
        <v>209</v>
      </c>
      <c r="AI71" s="79">
        <v>212</v>
      </c>
      <c r="AJ71" s="79">
        <v>216</v>
      </c>
      <c r="AK71" s="79">
        <v>217</v>
      </c>
      <c r="AL71" s="79">
        <v>299</v>
      </c>
      <c r="AM71" s="79">
        <v>301</v>
      </c>
      <c r="AN71" s="79">
        <v>302</v>
      </c>
      <c r="AO71" s="79">
        <v>399</v>
      </c>
      <c r="AP71" s="79">
        <v>401</v>
      </c>
      <c r="AQ71" s="79">
        <v>402</v>
      </c>
      <c r="AR71" s="79">
        <v>411</v>
      </c>
      <c r="AS71" s="79">
        <v>412</v>
      </c>
      <c r="AT71" s="79">
        <v>413</v>
      </c>
      <c r="AU71" s="79">
        <v>499</v>
      </c>
      <c r="AV71" s="79">
        <v>501</v>
      </c>
      <c r="AW71" s="79">
        <v>502</v>
      </c>
      <c r="AX71" s="79">
        <v>599</v>
      </c>
      <c r="AY71" s="79">
        <v>604</v>
      </c>
      <c r="AZ71" s="79">
        <v>605</v>
      </c>
      <c r="BA71" s="79">
        <v>699</v>
      </c>
      <c r="BB71" s="79">
        <v>701</v>
      </c>
      <c r="BC71" s="79">
        <v>702</v>
      </c>
      <c r="BD71" s="79">
        <v>703</v>
      </c>
      <c r="BE71" s="79">
        <v>704</v>
      </c>
      <c r="BF71" s="79">
        <v>799</v>
      </c>
      <c r="BG71" s="84">
        <v>999</v>
      </c>
    </row>
    <row r="72" spans="1:59" ht="62.25" customHeight="1">
      <c r="A72" s="10" t="s">
        <v>18</v>
      </c>
      <c r="B72" s="10" t="s">
        <v>19</v>
      </c>
      <c r="C72" s="13" t="s">
        <v>20</v>
      </c>
      <c r="D72" s="12" t="s">
        <v>21</v>
      </c>
      <c r="E72" s="13" t="s">
        <v>22</v>
      </c>
      <c r="F72" s="13" t="s">
        <v>23</v>
      </c>
      <c r="G72" s="13" t="s">
        <v>25</v>
      </c>
      <c r="H72" s="13" t="s">
        <v>24</v>
      </c>
      <c r="I72" s="14" t="s">
        <v>26</v>
      </c>
      <c r="J72" s="14" t="s">
        <v>27</v>
      </c>
      <c r="K72" s="15" t="s">
        <v>28</v>
      </c>
      <c r="L72" s="15" t="s">
        <v>29</v>
      </c>
      <c r="M72" s="15" t="s">
        <v>30</v>
      </c>
      <c r="N72" s="15" t="s">
        <v>32</v>
      </c>
      <c r="O72" s="15" t="s">
        <v>31</v>
      </c>
      <c r="P72" s="26" t="s">
        <v>33</v>
      </c>
      <c r="Q72" s="15" t="s">
        <v>43</v>
      </c>
      <c r="R72" s="15" t="s">
        <v>45</v>
      </c>
      <c r="S72" s="83"/>
      <c r="T72" s="83"/>
      <c r="U72" s="80"/>
      <c r="V72" s="80"/>
      <c r="W72" s="80"/>
      <c r="X72" s="80"/>
      <c r="Y72" s="80"/>
      <c r="Z72" s="80"/>
      <c r="AA72" s="80"/>
      <c r="AB72" s="80"/>
      <c r="AC72" s="80"/>
      <c r="AD72" s="80"/>
      <c r="AE72" s="80"/>
      <c r="AF72" s="80"/>
      <c r="AG72" s="80"/>
      <c r="AH72" s="79"/>
      <c r="AI72" s="79"/>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84"/>
    </row>
    <row r="73" spans="1:59" s="17" customFormat="1" ht="15.75" hidden="1" customHeight="1">
      <c r="A73" s="108"/>
      <c r="B73" s="87"/>
      <c r="C73" s="89"/>
      <c r="D73" s="91"/>
      <c r="E73" s="89"/>
      <c r="F73" s="89"/>
      <c r="G73" s="93"/>
      <c r="H73" s="89"/>
      <c r="I73" s="89"/>
      <c r="J73" s="89"/>
      <c r="K73" s="20"/>
      <c r="L73" s="20"/>
      <c r="M73" s="20"/>
      <c r="N73" s="146" t="e">
        <f>O74/L74</f>
        <v>#DIV/0!</v>
      </c>
      <c r="O73" s="21">
        <f t="shared" ref="O73:O78" si="6">L73-M73</f>
        <v>0</v>
      </c>
      <c r="P73" s="27"/>
      <c r="Q73" s="99">
        <f>+L74-P74</f>
        <v>0</v>
      </c>
      <c r="R73" s="108"/>
      <c r="S73" s="149"/>
      <c r="T73" s="149"/>
      <c r="U73" s="149"/>
      <c r="V73" s="149"/>
      <c r="W73" s="149"/>
      <c r="X73" s="149"/>
      <c r="Y73" s="149"/>
      <c r="Z73" s="149"/>
      <c r="AA73" s="149"/>
      <c r="AB73" s="149"/>
      <c r="AC73" s="149"/>
      <c r="AD73" s="149"/>
      <c r="AE73" s="149"/>
      <c r="AF73" s="149"/>
      <c r="AG73" s="149"/>
      <c r="AH73" s="149"/>
      <c r="AI73" s="149"/>
      <c r="AJ73" s="149"/>
      <c r="AK73" s="149"/>
      <c r="AL73" s="149"/>
      <c r="AM73" s="163"/>
      <c r="AN73" s="163"/>
      <c r="AO73" s="163"/>
      <c r="AP73" s="163"/>
      <c r="AQ73" s="163"/>
      <c r="AR73" s="163"/>
      <c r="AS73" s="163"/>
      <c r="AT73" s="163"/>
      <c r="AU73" s="163"/>
      <c r="AV73" s="163"/>
      <c r="AW73" s="163"/>
      <c r="AX73" s="163"/>
      <c r="AY73" s="167"/>
      <c r="AZ73" s="167"/>
      <c r="BA73" s="167"/>
      <c r="BB73" s="167"/>
      <c r="BC73" s="167"/>
      <c r="BD73" s="161"/>
      <c r="BE73" s="163"/>
      <c r="BF73" s="165"/>
      <c r="BG73" s="165"/>
    </row>
    <row r="74" spans="1:59" s="17" customFormat="1" ht="15.75" hidden="1" customHeight="1">
      <c r="A74" s="85"/>
      <c r="B74" s="88"/>
      <c r="C74" s="90"/>
      <c r="D74" s="92"/>
      <c r="E74" s="90"/>
      <c r="F74" s="90"/>
      <c r="G74" s="94"/>
      <c r="H74" s="90"/>
      <c r="I74" s="90"/>
      <c r="J74" s="90"/>
      <c r="K74" s="22"/>
      <c r="L74" s="18"/>
      <c r="M74" s="18"/>
      <c r="N74" s="147"/>
      <c r="O74" s="19">
        <f t="shared" si="6"/>
        <v>0</v>
      </c>
      <c r="P74" s="22"/>
      <c r="Q74" s="100"/>
      <c r="R74" s="85"/>
      <c r="S74" s="150"/>
      <c r="T74" s="150"/>
      <c r="U74" s="150"/>
      <c r="V74" s="150"/>
      <c r="W74" s="150"/>
      <c r="X74" s="150"/>
      <c r="Y74" s="150"/>
      <c r="Z74" s="150"/>
      <c r="AA74" s="150"/>
      <c r="AB74" s="150"/>
      <c r="AC74" s="150"/>
      <c r="AD74" s="150"/>
      <c r="AE74" s="150"/>
      <c r="AF74" s="150"/>
      <c r="AG74" s="150"/>
      <c r="AH74" s="150"/>
      <c r="AI74" s="150"/>
      <c r="AJ74" s="150"/>
      <c r="AK74" s="150"/>
      <c r="AL74" s="150"/>
      <c r="AM74" s="164"/>
      <c r="AN74" s="164"/>
      <c r="AO74" s="164"/>
      <c r="AP74" s="164"/>
      <c r="AQ74" s="164"/>
      <c r="AR74" s="164"/>
      <c r="AS74" s="164"/>
      <c r="AT74" s="164"/>
      <c r="AU74" s="164"/>
      <c r="AV74" s="164"/>
      <c r="AW74" s="164"/>
      <c r="AX74" s="164"/>
      <c r="AY74" s="168"/>
      <c r="AZ74" s="168"/>
      <c r="BA74" s="168"/>
      <c r="BB74" s="168"/>
      <c r="BC74" s="168"/>
      <c r="BD74" s="162"/>
      <c r="BE74" s="164"/>
      <c r="BF74" s="166"/>
      <c r="BG74" s="166"/>
    </row>
    <row r="75" spans="1:59" s="17" customFormat="1" ht="18" customHeight="1">
      <c r="A75" s="108">
        <v>45278</v>
      </c>
      <c r="B75" s="138" t="s">
        <v>37</v>
      </c>
      <c r="C75" s="90" t="s">
        <v>56</v>
      </c>
      <c r="D75" s="91" t="s">
        <v>38</v>
      </c>
      <c r="E75" s="89">
        <v>84217</v>
      </c>
      <c r="F75" s="89" t="s">
        <v>49</v>
      </c>
      <c r="G75" s="137" t="s">
        <v>61</v>
      </c>
      <c r="H75" s="95" t="s">
        <v>39</v>
      </c>
      <c r="I75" s="90">
        <v>4497</v>
      </c>
      <c r="J75" s="90">
        <v>4097</v>
      </c>
      <c r="K75" s="20">
        <v>40</v>
      </c>
      <c r="L75" s="20">
        <v>40</v>
      </c>
      <c r="M75" s="20">
        <v>30</v>
      </c>
      <c r="N75" s="97">
        <f>O76/L76</f>
        <v>0.61393643031784839</v>
      </c>
      <c r="O75" s="21">
        <f t="shared" si="6"/>
        <v>10</v>
      </c>
      <c r="P75" s="27">
        <f>322+119</f>
        <v>441</v>
      </c>
      <c r="Q75" s="99">
        <f>+L76-P76</f>
        <v>71</v>
      </c>
      <c r="R75" s="85"/>
      <c r="S75" s="96"/>
      <c r="T75" s="96"/>
      <c r="U75" s="96">
        <v>5</v>
      </c>
      <c r="V75" s="96"/>
      <c r="W75" s="96"/>
      <c r="X75" s="96"/>
      <c r="Y75" s="96"/>
      <c r="Z75" s="96"/>
      <c r="AA75" s="96"/>
      <c r="AB75" s="96"/>
      <c r="AC75" s="96">
        <v>5</v>
      </c>
      <c r="AD75" s="96"/>
      <c r="AE75" s="96"/>
      <c r="AF75" s="96"/>
      <c r="AG75" s="96"/>
      <c r="AH75" s="96"/>
      <c r="AI75" s="96"/>
      <c r="AJ75" s="96"/>
      <c r="AK75" s="96"/>
      <c r="AL75" s="96"/>
      <c r="AM75" s="103"/>
      <c r="AN75" s="103"/>
      <c r="AO75" s="103"/>
      <c r="AP75" s="103"/>
      <c r="AQ75" s="103"/>
      <c r="AR75" s="103"/>
      <c r="AS75" s="103"/>
      <c r="AT75" s="103"/>
      <c r="AU75" s="103"/>
      <c r="AV75" s="103"/>
      <c r="AW75" s="103"/>
      <c r="AX75" s="103"/>
      <c r="AY75" s="106"/>
      <c r="AZ75" s="106"/>
      <c r="BA75" s="106"/>
      <c r="BB75" s="106"/>
      <c r="BC75" s="106"/>
      <c r="BD75" s="106"/>
      <c r="BE75" s="103"/>
      <c r="BF75" s="104"/>
      <c r="BG75" s="104"/>
    </row>
    <row r="76" spans="1:59" s="17" customFormat="1" ht="17.25" customHeight="1">
      <c r="A76" s="85"/>
      <c r="B76" s="139"/>
      <c r="C76" s="95"/>
      <c r="D76" s="92"/>
      <c r="E76" s="90"/>
      <c r="F76" s="90"/>
      <c r="G76" s="95"/>
      <c r="H76" s="95"/>
      <c r="I76" s="95"/>
      <c r="J76" s="95"/>
      <c r="K76" s="18">
        <f>260+160+50+100+100+240+349+166+150+60+120+30+30+230+80+125+115+200+209+115+50+371+435+245+60+40</f>
        <v>4090</v>
      </c>
      <c r="L76" s="18">
        <f>260+160+50+100+140+100+240+150+60+370+60+150+75+245+185+200+450+375+390+290+40</f>
        <v>4090</v>
      </c>
      <c r="M76" s="18">
        <f>120+55+27+40+30+60+87+45+34+74+40+100+40+75+74+73+199+146+180+50+30</f>
        <v>1579</v>
      </c>
      <c r="N76" s="98"/>
      <c r="O76" s="19">
        <f t="shared" si="6"/>
        <v>2511</v>
      </c>
      <c r="P76" s="22">
        <f>170+70+15+112+30+30+83+50+100+127+218+53+42+60+34+200+66+100+130+190+144+20+151+307+424+312+340+441</f>
        <v>4019</v>
      </c>
      <c r="Q76" s="100"/>
      <c r="R76" s="86"/>
      <c r="S76" s="96"/>
      <c r="T76" s="96"/>
      <c r="U76" s="96"/>
      <c r="V76" s="96"/>
      <c r="W76" s="96"/>
      <c r="X76" s="96"/>
      <c r="Y76" s="96"/>
      <c r="Z76" s="96"/>
      <c r="AA76" s="96"/>
      <c r="AB76" s="96"/>
      <c r="AC76" s="96"/>
      <c r="AD76" s="96"/>
      <c r="AE76" s="96"/>
      <c r="AF76" s="96"/>
      <c r="AG76" s="96"/>
      <c r="AH76" s="96"/>
      <c r="AI76" s="96"/>
      <c r="AJ76" s="96"/>
      <c r="AK76" s="96"/>
      <c r="AL76" s="96"/>
      <c r="AM76" s="103"/>
      <c r="AN76" s="103"/>
      <c r="AO76" s="103"/>
      <c r="AP76" s="103"/>
      <c r="AQ76" s="103"/>
      <c r="AR76" s="103"/>
      <c r="AS76" s="103"/>
      <c r="AT76" s="103"/>
      <c r="AU76" s="103"/>
      <c r="AV76" s="103"/>
      <c r="AW76" s="103"/>
      <c r="AX76" s="103"/>
      <c r="AY76" s="107"/>
      <c r="AZ76" s="107"/>
      <c r="BA76" s="107"/>
      <c r="BB76" s="107"/>
      <c r="BC76" s="107"/>
      <c r="BD76" s="107"/>
      <c r="BE76" s="103"/>
      <c r="BF76" s="105"/>
      <c r="BG76" s="105"/>
    </row>
    <row r="77" spans="1:59" s="17" customFormat="1" ht="18" hidden="1" customHeight="1">
      <c r="A77" s="101">
        <v>45217</v>
      </c>
      <c r="B77" s="132" t="s">
        <v>37</v>
      </c>
      <c r="C77" s="117"/>
      <c r="D77" s="118" t="s">
        <v>38</v>
      </c>
      <c r="E77" s="116">
        <v>84217</v>
      </c>
      <c r="F77" s="116" t="s">
        <v>49</v>
      </c>
      <c r="G77" s="141"/>
      <c r="H77" s="95"/>
      <c r="I77" s="90"/>
      <c r="J77" s="90"/>
      <c r="K77" s="20"/>
      <c r="L77" s="20"/>
      <c r="M77" s="20"/>
      <c r="N77" s="143" t="e">
        <f>O78/L78</f>
        <v>#DIV/0!</v>
      </c>
      <c r="O77" s="21">
        <f t="shared" si="6"/>
        <v>0</v>
      </c>
      <c r="P77" s="27"/>
      <c r="Q77" s="99">
        <f>+L78-P78</f>
        <v>0</v>
      </c>
      <c r="R77" s="101">
        <v>45023</v>
      </c>
      <c r="S77" s="96"/>
      <c r="T77" s="96"/>
      <c r="U77" s="96"/>
      <c r="V77" s="96"/>
      <c r="W77" s="96"/>
      <c r="X77" s="96"/>
      <c r="Y77" s="96"/>
      <c r="Z77" s="96"/>
      <c r="AA77" s="96"/>
      <c r="AB77" s="96"/>
      <c r="AC77" s="140"/>
      <c r="AD77" s="96"/>
      <c r="AE77" s="96"/>
      <c r="AF77" s="96"/>
      <c r="AG77" s="96"/>
      <c r="AH77" s="96"/>
      <c r="AI77" s="96"/>
      <c r="AJ77" s="96"/>
      <c r="AK77" s="96"/>
      <c r="AL77" s="96"/>
      <c r="AM77" s="96"/>
      <c r="AN77" s="96"/>
      <c r="AO77" s="96"/>
      <c r="AP77" s="96"/>
      <c r="AQ77" s="96"/>
      <c r="AR77" s="96"/>
      <c r="AS77" s="96"/>
      <c r="AT77" s="96"/>
      <c r="AU77" s="96"/>
      <c r="AV77" s="96"/>
      <c r="AW77" s="96"/>
      <c r="AX77" s="96"/>
      <c r="AY77" s="124"/>
      <c r="AZ77" s="123"/>
      <c r="BA77" s="123"/>
      <c r="BB77" s="123"/>
      <c r="BC77" s="123"/>
      <c r="BD77" s="123"/>
      <c r="BE77" s="123"/>
      <c r="BF77" s="123"/>
      <c r="BG77" s="123"/>
    </row>
    <row r="78" spans="1:59" s="17" customFormat="1" ht="17.25" hidden="1" customHeight="1">
      <c r="A78" s="102"/>
      <c r="B78" s="145"/>
      <c r="C78" s="142"/>
      <c r="D78" s="119"/>
      <c r="E78" s="117"/>
      <c r="F78" s="117"/>
      <c r="G78" s="142"/>
      <c r="H78" s="95"/>
      <c r="I78" s="95"/>
      <c r="J78" s="95"/>
      <c r="K78" s="3"/>
      <c r="L78" s="3"/>
      <c r="M78" s="3"/>
      <c r="N78" s="144"/>
      <c r="O78" s="7">
        <f t="shared" si="6"/>
        <v>0</v>
      </c>
      <c r="P78" s="28"/>
      <c r="Q78" s="100"/>
      <c r="R78" s="102"/>
      <c r="S78" s="96"/>
      <c r="T78" s="96"/>
      <c r="U78" s="96"/>
      <c r="V78" s="96"/>
      <c r="W78" s="96"/>
      <c r="X78" s="96"/>
      <c r="Y78" s="96"/>
      <c r="Z78" s="96"/>
      <c r="AA78" s="96"/>
      <c r="AB78" s="96"/>
      <c r="AC78" s="140"/>
      <c r="AD78" s="96"/>
      <c r="AE78" s="96"/>
      <c r="AF78" s="96"/>
      <c r="AG78" s="96"/>
      <c r="AH78" s="96"/>
      <c r="AI78" s="96"/>
      <c r="AJ78" s="96"/>
      <c r="AK78" s="96"/>
      <c r="AL78" s="96"/>
      <c r="AM78" s="96"/>
      <c r="AN78" s="96"/>
      <c r="AO78" s="96"/>
      <c r="AP78" s="96"/>
      <c r="AQ78" s="96"/>
      <c r="AR78" s="96"/>
      <c r="AS78" s="96"/>
      <c r="AT78" s="96"/>
      <c r="AU78" s="96"/>
      <c r="AV78" s="96"/>
      <c r="AW78" s="96"/>
      <c r="AX78" s="96"/>
      <c r="AY78" s="124"/>
      <c r="AZ78" s="124"/>
      <c r="BA78" s="124"/>
      <c r="BB78" s="124"/>
      <c r="BC78" s="124"/>
      <c r="BD78" s="124"/>
      <c r="BE78" s="124"/>
      <c r="BF78" s="124"/>
      <c r="BG78" s="124"/>
    </row>
    <row r="79" spans="1:59" ht="24.75" customHeight="1">
      <c r="A79" s="111" t="s">
        <v>15</v>
      </c>
      <c r="B79" s="112"/>
      <c r="C79" s="112"/>
      <c r="D79" s="112"/>
      <c r="E79" s="112"/>
      <c r="F79" s="112"/>
      <c r="G79" s="112"/>
      <c r="H79" s="112"/>
      <c r="I79" s="113"/>
      <c r="J79" s="5">
        <f>SUM(J73:J78)</f>
        <v>4097</v>
      </c>
      <c r="K79" s="5">
        <f>+K73++K75</f>
        <v>40</v>
      </c>
      <c r="L79" s="5">
        <f>+SUMPRODUCT(((MOD(ROW(L73:L78),2)=1)*(L73:L78)))</f>
        <v>40</v>
      </c>
      <c r="M79" s="5">
        <f>+SUMPRODUCT(((MOD(ROW(M73:M78),2)=1)*(M73:M78)))</f>
        <v>30</v>
      </c>
      <c r="N79" s="23">
        <f>O79/L79</f>
        <v>0.25</v>
      </c>
      <c r="O79" s="5">
        <f>+SUMPRODUCT(((MOD(ROW(O73:O78),2)=1)*(O73:O78)))</f>
        <v>10</v>
      </c>
      <c r="P79" s="5">
        <f>+SUMPRODUCT(((MOD(ROW(P73:P78),2)=1)*(P73:P78)))</f>
        <v>441</v>
      </c>
      <c r="Q79" s="5">
        <f>+SUMPRODUCT(((MOD(ROW(Q73:Q78),2)=1)*(Q73:Q78)))</f>
        <v>71</v>
      </c>
      <c r="R79" s="5"/>
      <c r="S79" s="5">
        <f t="shared" ref="S79:BG79" si="7">SUM(S73:S78)</f>
        <v>0</v>
      </c>
      <c r="T79" s="5">
        <f t="shared" si="7"/>
        <v>0</v>
      </c>
      <c r="U79" s="5">
        <f t="shared" si="7"/>
        <v>5</v>
      </c>
      <c r="V79" s="5">
        <f t="shared" si="7"/>
        <v>0</v>
      </c>
      <c r="W79" s="5">
        <f t="shared" si="7"/>
        <v>0</v>
      </c>
      <c r="X79" s="5">
        <f t="shared" si="7"/>
        <v>0</v>
      </c>
      <c r="Y79" s="5">
        <f t="shared" si="7"/>
        <v>0</v>
      </c>
      <c r="Z79" s="5">
        <f t="shared" si="7"/>
        <v>0</v>
      </c>
      <c r="AA79" s="5">
        <f t="shared" si="7"/>
        <v>0</v>
      </c>
      <c r="AB79" s="5">
        <f t="shared" si="7"/>
        <v>0</v>
      </c>
      <c r="AC79" s="5">
        <f t="shared" si="7"/>
        <v>5</v>
      </c>
      <c r="AD79" s="5">
        <f t="shared" si="7"/>
        <v>0</v>
      </c>
      <c r="AE79" s="5">
        <f t="shared" si="7"/>
        <v>0</v>
      </c>
      <c r="AF79" s="5">
        <f t="shared" si="7"/>
        <v>0</v>
      </c>
      <c r="AG79" s="5">
        <f t="shared" si="7"/>
        <v>0</v>
      </c>
      <c r="AH79" s="5">
        <f t="shared" si="7"/>
        <v>0</v>
      </c>
      <c r="AI79" s="5">
        <f t="shared" si="7"/>
        <v>0</v>
      </c>
      <c r="AJ79" s="5">
        <f t="shared" si="7"/>
        <v>0</v>
      </c>
      <c r="AK79" s="5">
        <f t="shared" si="7"/>
        <v>0</v>
      </c>
      <c r="AL79" s="5">
        <f t="shared" si="7"/>
        <v>0</v>
      </c>
      <c r="AM79" s="5">
        <f t="shared" si="7"/>
        <v>0</v>
      </c>
      <c r="AN79" s="5">
        <f t="shared" si="7"/>
        <v>0</v>
      </c>
      <c r="AO79" s="5">
        <f t="shared" si="7"/>
        <v>0</v>
      </c>
      <c r="AP79" s="5">
        <f t="shared" si="7"/>
        <v>0</v>
      </c>
      <c r="AQ79" s="5">
        <f t="shared" si="7"/>
        <v>0</v>
      </c>
      <c r="AR79" s="5">
        <f t="shared" si="7"/>
        <v>0</v>
      </c>
      <c r="AS79" s="5">
        <f t="shared" si="7"/>
        <v>0</v>
      </c>
      <c r="AT79" s="5">
        <f t="shared" si="7"/>
        <v>0</v>
      </c>
      <c r="AU79" s="5">
        <f t="shared" si="7"/>
        <v>0</v>
      </c>
      <c r="AV79" s="5">
        <f t="shared" si="7"/>
        <v>0</v>
      </c>
      <c r="AW79" s="5">
        <f t="shared" si="7"/>
        <v>0</v>
      </c>
      <c r="AX79" s="5">
        <f t="shared" si="7"/>
        <v>0</v>
      </c>
      <c r="AY79" s="5">
        <f t="shared" si="7"/>
        <v>0</v>
      </c>
      <c r="AZ79" s="5">
        <f t="shared" si="7"/>
        <v>0</v>
      </c>
      <c r="BA79" s="5">
        <f t="shared" si="7"/>
        <v>0</v>
      </c>
      <c r="BB79" s="5">
        <f t="shared" si="7"/>
        <v>0</v>
      </c>
      <c r="BC79" s="5">
        <f t="shared" si="7"/>
        <v>0</v>
      </c>
      <c r="BD79" s="5">
        <f t="shared" si="7"/>
        <v>0</v>
      </c>
      <c r="BE79" s="5">
        <f t="shared" si="7"/>
        <v>0</v>
      </c>
      <c r="BF79" s="5">
        <f t="shared" si="7"/>
        <v>0</v>
      </c>
      <c r="BG79" s="5">
        <f t="shared" si="7"/>
        <v>0</v>
      </c>
    </row>
    <row r="80" spans="1:59" s="17" customFormat="1" ht="15.75" hidden="1" customHeight="1">
      <c r="A80" s="101"/>
      <c r="B80" s="114"/>
      <c r="C80" s="116"/>
      <c r="D80" s="118"/>
      <c r="E80" s="116"/>
      <c r="F80" s="116"/>
      <c r="G80" s="120"/>
      <c r="H80" s="151"/>
      <c r="I80" s="89"/>
      <c r="J80" s="89"/>
      <c r="K80" s="20"/>
      <c r="L80" s="20"/>
      <c r="M80" s="20"/>
      <c r="N80" s="146"/>
      <c r="O80" s="21"/>
      <c r="P80" s="27"/>
      <c r="Q80" s="99"/>
      <c r="R80" s="148"/>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52"/>
      <c r="AZ80" s="152"/>
      <c r="BA80" s="152"/>
      <c r="BB80" s="152"/>
      <c r="BC80" s="152"/>
      <c r="BD80" s="152"/>
      <c r="BE80" s="149"/>
      <c r="BF80" s="152"/>
      <c r="BG80" s="152"/>
    </row>
    <row r="81" spans="1:61" s="17" customFormat="1" ht="15.75" hidden="1" customHeight="1">
      <c r="A81" s="102"/>
      <c r="B81" s="115"/>
      <c r="C81" s="117"/>
      <c r="D81" s="119"/>
      <c r="E81" s="117"/>
      <c r="F81" s="117"/>
      <c r="G81" s="121"/>
      <c r="H81" s="90"/>
      <c r="I81" s="90"/>
      <c r="J81" s="90"/>
      <c r="K81" s="22"/>
      <c r="L81" s="18"/>
      <c r="M81" s="18"/>
      <c r="N81" s="147"/>
      <c r="O81" s="19"/>
      <c r="P81" s="22"/>
      <c r="Q81" s="100"/>
      <c r="R81" s="101"/>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3"/>
      <c r="AZ81" s="153"/>
      <c r="BA81" s="153"/>
      <c r="BB81" s="153"/>
      <c r="BC81" s="153"/>
      <c r="BD81" s="153"/>
      <c r="BE81" s="150"/>
      <c r="BF81" s="153"/>
      <c r="BG81" s="153"/>
    </row>
    <row r="82" spans="1:61" s="17" customFormat="1" ht="15.75" hidden="1" customHeight="1">
      <c r="A82" s="101"/>
      <c r="B82" s="114"/>
      <c r="C82" s="116"/>
      <c r="D82" s="118"/>
      <c r="E82" s="116"/>
      <c r="F82" s="116"/>
      <c r="G82" s="120"/>
      <c r="H82" s="151"/>
      <c r="I82" s="89"/>
      <c r="J82" s="89"/>
      <c r="K82" s="20"/>
      <c r="L82" s="20"/>
      <c r="M82" s="20"/>
      <c r="N82" s="146"/>
      <c r="O82" s="21"/>
      <c r="P82" s="27"/>
      <c r="Q82" s="99"/>
      <c r="R82" s="148"/>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52"/>
      <c r="AZ82" s="152"/>
      <c r="BA82" s="152"/>
      <c r="BB82" s="152"/>
      <c r="BC82" s="152"/>
      <c r="BD82" s="152"/>
      <c r="BE82" s="149"/>
      <c r="BF82" s="152"/>
      <c r="BG82" s="152"/>
    </row>
    <row r="83" spans="1:61" s="17" customFormat="1" ht="15.75" hidden="1" customHeight="1">
      <c r="A83" s="102"/>
      <c r="B83" s="115"/>
      <c r="C83" s="117"/>
      <c r="D83" s="119"/>
      <c r="E83" s="117"/>
      <c r="F83" s="117"/>
      <c r="G83" s="121"/>
      <c r="H83" s="90"/>
      <c r="I83" s="90"/>
      <c r="J83" s="90"/>
      <c r="K83" s="22"/>
      <c r="L83" s="18"/>
      <c r="M83" s="18"/>
      <c r="N83" s="147"/>
      <c r="O83" s="19"/>
      <c r="P83" s="22"/>
      <c r="Q83" s="100"/>
      <c r="R83" s="101"/>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3"/>
      <c r="AZ83" s="153"/>
      <c r="BA83" s="153"/>
      <c r="BB83" s="153"/>
      <c r="BC83" s="153"/>
      <c r="BD83" s="153"/>
      <c r="BE83" s="150"/>
      <c r="BF83" s="153"/>
      <c r="BG83" s="153"/>
    </row>
    <row r="84" spans="1:61" s="17" customFormat="1" ht="15.75" hidden="1" customHeight="1">
      <c r="A84" s="101"/>
      <c r="B84" s="114"/>
      <c r="C84" s="116"/>
      <c r="D84" s="118"/>
      <c r="E84" s="116"/>
      <c r="F84" s="116"/>
      <c r="G84" s="120"/>
      <c r="H84" s="109"/>
      <c r="I84" s="90"/>
      <c r="J84" s="90"/>
      <c r="K84" s="20"/>
      <c r="L84" s="20"/>
      <c r="M84" s="20"/>
      <c r="N84" s="97"/>
      <c r="O84" s="21"/>
      <c r="P84" s="27"/>
      <c r="Q84" s="99"/>
      <c r="R84" s="154"/>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1"/>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s="17" customFormat="1" ht="15.75" hidden="1" customHeight="1">
      <c r="A86" s="101"/>
      <c r="B86" s="114"/>
      <c r="C86" s="116"/>
      <c r="D86" s="118"/>
      <c r="E86" s="116"/>
      <c r="F86" s="116"/>
      <c r="G86" s="120"/>
      <c r="H86" s="109"/>
      <c r="I86" s="90"/>
      <c r="J86" s="90"/>
      <c r="K86" s="20"/>
      <c r="L86" s="20"/>
      <c r="M86" s="20"/>
      <c r="N86" s="97"/>
      <c r="O86" s="21"/>
      <c r="P86" s="27"/>
      <c r="Q86" s="99"/>
      <c r="R86" s="148"/>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1"/>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s="17" customFormat="1" ht="15.75" hidden="1" customHeight="1">
      <c r="A88" s="101">
        <v>45084</v>
      </c>
      <c r="B88" s="114" t="s">
        <v>37</v>
      </c>
      <c r="C88" s="116"/>
      <c r="D88" s="118"/>
      <c r="E88" s="116"/>
      <c r="F88" s="116"/>
      <c r="G88" s="120"/>
      <c r="H88" s="109"/>
      <c r="I88" s="90"/>
      <c r="J88" s="90"/>
      <c r="K88" s="20"/>
      <c r="L88" s="20"/>
      <c r="M88" s="20"/>
      <c r="N88" s="97" t="e">
        <f>O89/L89</f>
        <v>#DIV/0!</v>
      </c>
      <c r="O88" s="21"/>
      <c r="P88" s="27"/>
      <c r="Q88" s="99">
        <f>+L89-P89</f>
        <v>0</v>
      </c>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5"/>
      <c r="AZ88" s="155"/>
      <c r="BA88" s="155"/>
      <c r="BB88" s="155"/>
      <c r="BC88" s="155"/>
      <c r="BD88" s="155"/>
      <c r="BE88" s="96"/>
      <c r="BF88" s="155"/>
      <c r="BG88" s="155"/>
    </row>
    <row r="89" spans="1:61" s="17" customFormat="1" ht="15.75" hidden="1" customHeight="1">
      <c r="A89" s="102"/>
      <c r="B89" s="115"/>
      <c r="C89" s="117"/>
      <c r="D89" s="119"/>
      <c r="E89" s="117"/>
      <c r="F89" s="117"/>
      <c r="G89" s="121"/>
      <c r="H89" s="95"/>
      <c r="I89" s="95"/>
      <c r="J89" s="95"/>
      <c r="K89" s="22"/>
      <c r="L89" s="18"/>
      <c r="M89" s="18"/>
      <c r="N89" s="98"/>
      <c r="O89" s="19"/>
      <c r="P89" s="22"/>
      <c r="Q89" s="100"/>
      <c r="R89" s="102"/>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6"/>
      <c r="AZ89" s="156"/>
      <c r="BA89" s="156"/>
      <c r="BB89" s="156"/>
      <c r="BC89" s="156"/>
      <c r="BD89" s="156"/>
      <c r="BE89" s="96"/>
      <c r="BF89" s="156"/>
      <c r="BG89" s="156"/>
    </row>
    <row r="90" spans="1:61" ht="24.75" hidden="1" customHeight="1">
      <c r="A90" s="111" t="s">
        <v>40</v>
      </c>
      <c r="B90" s="112"/>
      <c r="C90" s="112"/>
      <c r="D90" s="112"/>
      <c r="E90" s="112"/>
      <c r="F90" s="112"/>
      <c r="G90" s="112"/>
      <c r="H90" s="112"/>
      <c r="I90" s="113"/>
      <c r="J90" s="5">
        <f>SUM(J80:J89)</f>
        <v>0</v>
      </c>
      <c r="K90" s="5">
        <f>+SUMPRODUCT(((MOD(ROW(K80:K87),2)=0)*(K80:K87)))</f>
        <v>0</v>
      </c>
      <c r="L90" s="5">
        <f>+SUMPRODUCT(((MOD(ROW(L80:L87),2)=0)*(L80:L87)))</f>
        <v>0</v>
      </c>
      <c r="M90" s="5">
        <f>+SUMPRODUCT(((MOD(ROW(M80:M87),2)=0)*(M80:M87)))</f>
        <v>0</v>
      </c>
      <c r="N90" s="6" t="e">
        <f>O90/L90</f>
        <v>#DIV/0!</v>
      </c>
      <c r="O90" s="5">
        <f>+SUMPRODUCT(((MOD(ROW(O80:O87),2)=0)*(O80:O87)))</f>
        <v>0</v>
      </c>
      <c r="P90" s="5">
        <f>+SUMPRODUCT(((MOD(ROW(P80:P87),2)=0)*(P80:P87)))</f>
        <v>0</v>
      </c>
      <c r="Q90" s="29">
        <f>SUM(Q80:Q89)</f>
        <v>0</v>
      </c>
      <c r="R90" s="29"/>
      <c r="S90" s="29">
        <f t="shared" ref="S90:BG90" si="8">SUM(S80:S89)</f>
        <v>0</v>
      </c>
      <c r="T90" s="29">
        <f t="shared" si="8"/>
        <v>0</v>
      </c>
      <c r="U90" s="29">
        <f t="shared" si="8"/>
        <v>0</v>
      </c>
      <c r="V90" s="29">
        <f t="shared" si="8"/>
        <v>0</v>
      </c>
      <c r="W90" s="29">
        <f t="shared" si="8"/>
        <v>0</v>
      </c>
      <c r="X90" s="29">
        <f t="shared" si="8"/>
        <v>0</v>
      </c>
      <c r="Y90" s="29">
        <f t="shared" si="8"/>
        <v>0</v>
      </c>
      <c r="Z90" s="29">
        <f t="shared" si="8"/>
        <v>0</v>
      </c>
      <c r="AA90" s="29">
        <f t="shared" si="8"/>
        <v>0</v>
      </c>
      <c r="AB90" s="29">
        <f t="shared" si="8"/>
        <v>0</v>
      </c>
      <c r="AC90" s="29">
        <f t="shared" si="8"/>
        <v>0</v>
      </c>
      <c r="AD90" s="29">
        <f t="shared" si="8"/>
        <v>0</v>
      </c>
      <c r="AE90" s="29">
        <f t="shared" si="8"/>
        <v>0</v>
      </c>
      <c r="AF90" s="29">
        <f t="shared" si="8"/>
        <v>0</v>
      </c>
      <c r="AG90" s="29">
        <f t="shared" si="8"/>
        <v>0</v>
      </c>
      <c r="AH90" s="29">
        <f t="shared" si="8"/>
        <v>0</v>
      </c>
      <c r="AI90" s="29">
        <f t="shared" si="8"/>
        <v>0</v>
      </c>
      <c r="AJ90" s="29">
        <f t="shared" si="8"/>
        <v>0</v>
      </c>
      <c r="AK90" s="29">
        <f t="shared" si="8"/>
        <v>0</v>
      </c>
      <c r="AL90" s="29">
        <f t="shared" si="8"/>
        <v>0</v>
      </c>
      <c r="AM90" s="29">
        <f t="shared" si="8"/>
        <v>0</v>
      </c>
      <c r="AN90" s="29">
        <f t="shared" si="8"/>
        <v>0</v>
      </c>
      <c r="AO90" s="29">
        <f t="shared" si="8"/>
        <v>0</v>
      </c>
      <c r="AP90" s="29">
        <f t="shared" si="8"/>
        <v>0</v>
      </c>
      <c r="AQ90" s="29">
        <f t="shared" si="8"/>
        <v>0</v>
      </c>
      <c r="AR90" s="29">
        <f t="shared" si="8"/>
        <v>0</v>
      </c>
      <c r="AS90" s="29">
        <f t="shared" si="8"/>
        <v>0</v>
      </c>
      <c r="AT90" s="29">
        <f t="shared" si="8"/>
        <v>0</v>
      </c>
      <c r="AU90" s="29">
        <f t="shared" si="8"/>
        <v>0</v>
      </c>
      <c r="AV90" s="29">
        <f t="shared" si="8"/>
        <v>0</v>
      </c>
      <c r="AW90" s="29">
        <f t="shared" si="8"/>
        <v>0</v>
      </c>
      <c r="AX90" s="29">
        <f t="shared" si="8"/>
        <v>0</v>
      </c>
      <c r="AY90" s="29">
        <f t="shared" si="8"/>
        <v>0</v>
      </c>
      <c r="AZ90" s="29">
        <f t="shared" si="8"/>
        <v>0</v>
      </c>
      <c r="BA90" s="29">
        <f t="shared" si="8"/>
        <v>0</v>
      </c>
      <c r="BB90" s="29">
        <f t="shared" si="8"/>
        <v>0</v>
      </c>
      <c r="BC90" s="29">
        <f t="shared" si="8"/>
        <v>0</v>
      </c>
      <c r="BD90" s="29">
        <f t="shared" si="8"/>
        <v>0</v>
      </c>
      <c r="BE90" s="29">
        <f t="shared" si="8"/>
        <v>0</v>
      </c>
      <c r="BF90" s="29">
        <f t="shared" si="8"/>
        <v>0</v>
      </c>
      <c r="BG90" s="29">
        <f t="shared" si="8"/>
        <v>0</v>
      </c>
      <c r="BH90" s="17"/>
      <c r="BI90" s="17"/>
    </row>
    <row r="91" spans="1:61" s="17" customFormat="1" ht="15.75" hidden="1" customHeight="1">
      <c r="A91" s="101"/>
      <c r="B91" s="114"/>
      <c r="C91" s="116"/>
      <c r="D91" s="118"/>
      <c r="E91" s="116"/>
      <c r="F91" s="116"/>
      <c r="G91" s="120"/>
      <c r="H91" s="109"/>
      <c r="I91" s="90"/>
      <c r="J91" s="90"/>
      <c r="K91" s="20"/>
      <c r="L91" s="20"/>
      <c r="M91" s="20"/>
      <c r="N91" s="97"/>
      <c r="O91" s="21"/>
      <c r="P91" s="27"/>
      <c r="Q91" s="99"/>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c r="B93" s="114"/>
      <c r="C93" s="116"/>
      <c r="D93" s="118"/>
      <c r="E93" s="116"/>
      <c r="F93" s="116"/>
      <c r="G93" s="120"/>
      <c r="H93" s="90"/>
      <c r="I93" s="90"/>
      <c r="J93" s="90"/>
      <c r="K93" s="20"/>
      <c r="L93" s="20"/>
      <c r="M93" s="20"/>
      <c r="N93" s="97"/>
      <c r="O93" s="21"/>
      <c r="P93" s="27"/>
      <c r="Q93" s="99"/>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v>45163</v>
      </c>
      <c r="B95" s="114" t="s">
        <v>37</v>
      </c>
      <c r="C95" s="116"/>
      <c r="D95" s="118"/>
      <c r="E95" s="116"/>
      <c r="F95" s="116"/>
      <c r="G95" s="120"/>
      <c r="H95" s="90"/>
      <c r="I95" s="90"/>
      <c r="J95" s="90"/>
      <c r="K95" s="20"/>
      <c r="L95" s="20"/>
      <c r="M95" s="20"/>
      <c r="N95" s="97" t="e">
        <f>O96/L96</f>
        <v>#DIV/0!</v>
      </c>
      <c r="O95" s="21">
        <f>L95-M95</f>
        <v>0</v>
      </c>
      <c r="P95" s="27"/>
      <c r="Q95" s="99">
        <f>+L96-P96</f>
        <v>0</v>
      </c>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f>L96-M96</f>
        <v>0</v>
      </c>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row>
    <row r="97" spans="1:61" s="17" customFormat="1" ht="15.75" hidden="1" customHeight="1">
      <c r="A97" s="101">
        <v>45163</v>
      </c>
      <c r="B97" s="114" t="s">
        <v>37</v>
      </c>
      <c r="C97" s="116"/>
      <c r="D97" s="118"/>
      <c r="E97" s="116"/>
      <c r="F97" s="116"/>
      <c r="G97" s="120"/>
      <c r="H97" s="90"/>
      <c r="I97" s="90"/>
      <c r="J97" s="90"/>
      <c r="K97" s="20"/>
      <c r="L97" s="20"/>
      <c r="M97" s="20"/>
      <c r="N97" s="97" t="e">
        <f>O98/L98</f>
        <v>#DIV/0!</v>
      </c>
      <c r="O97" s="21">
        <f>L97-M97</f>
        <v>0</v>
      </c>
      <c r="P97" s="27"/>
      <c r="Q97" s="99">
        <f>+L98-P98</f>
        <v>0</v>
      </c>
      <c r="R97" s="154"/>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5"/>
      <c r="AZ97" s="155"/>
      <c r="BA97" s="155"/>
      <c r="BB97" s="155"/>
      <c r="BC97" s="155"/>
      <c r="BD97" s="155"/>
      <c r="BE97" s="96"/>
      <c r="BF97" s="155"/>
      <c r="BG97" s="155"/>
    </row>
    <row r="98" spans="1:61" s="17" customFormat="1" ht="15.75" hidden="1" customHeight="1">
      <c r="A98" s="102"/>
      <c r="B98" s="115"/>
      <c r="C98" s="117"/>
      <c r="D98" s="119"/>
      <c r="E98" s="117"/>
      <c r="F98" s="117"/>
      <c r="G98" s="121"/>
      <c r="H98" s="95"/>
      <c r="I98" s="95"/>
      <c r="J98" s="95"/>
      <c r="K98" s="22"/>
      <c r="L98" s="18"/>
      <c r="M98" s="18"/>
      <c r="N98" s="98"/>
      <c r="O98" s="19">
        <f>L98-M98</f>
        <v>0</v>
      </c>
      <c r="P98" s="22"/>
      <c r="Q98" s="100"/>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6"/>
      <c r="AZ98" s="156"/>
      <c r="BA98" s="156"/>
      <c r="BB98" s="156"/>
      <c r="BC98" s="156"/>
      <c r="BD98" s="156"/>
      <c r="BE98" s="96"/>
      <c r="BF98" s="156"/>
      <c r="BG98" s="156"/>
      <c r="BH98" s="1"/>
      <c r="BI98" s="1"/>
    </row>
    <row r="99" spans="1:61" ht="24.75" hidden="1" customHeight="1">
      <c r="A99" s="111" t="s">
        <v>48</v>
      </c>
      <c r="B99" s="112"/>
      <c r="C99" s="112"/>
      <c r="D99" s="112"/>
      <c r="E99" s="112"/>
      <c r="F99" s="112"/>
      <c r="G99" s="112"/>
      <c r="H99" s="112"/>
      <c r="I99" s="113"/>
      <c r="J99" s="5">
        <f>SUM(J91:J98)</f>
        <v>0</v>
      </c>
      <c r="K99" s="5">
        <f>+SUMPRODUCT(((MOD(ROW(K91:K98),2)=0)*(K91:K98)))</f>
        <v>0</v>
      </c>
      <c r="L99" s="5">
        <f>+SUMPRODUCT(((MOD(ROW(L91:L98),2)=0)*(L91:L98)))</f>
        <v>0</v>
      </c>
      <c r="M99" s="5">
        <f>+SUMPRODUCT(((MOD(ROW(M91:M98),2)=0)*(M91:M98)))</f>
        <v>0</v>
      </c>
      <c r="N99" s="6" t="e">
        <f>O99/L99</f>
        <v>#DIV/0!</v>
      </c>
      <c r="O99" s="5">
        <f>+SUMPRODUCT(((MOD(ROW(O91:O98),2)=0)*(O91:O98)))</f>
        <v>0</v>
      </c>
      <c r="P99" s="5">
        <f>+SUMPRODUCT(((MOD(ROW(P91:P98),2)=0)*(P91:P98)))</f>
        <v>0</v>
      </c>
      <c r="Q99" s="29">
        <f>SUM(Q91:Q98)</f>
        <v>0</v>
      </c>
      <c r="R99" s="29"/>
      <c r="S99" s="29">
        <f t="shared" ref="S99:BG99" si="9">SUM(S91:S98)</f>
        <v>0</v>
      </c>
      <c r="T99" s="29">
        <f t="shared" si="9"/>
        <v>0</v>
      </c>
      <c r="U99" s="29">
        <f t="shared" si="9"/>
        <v>0</v>
      </c>
      <c r="V99" s="29">
        <f t="shared" si="9"/>
        <v>0</v>
      </c>
      <c r="W99" s="29">
        <f t="shared" si="9"/>
        <v>0</v>
      </c>
      <c r="X99" s="29">
        <f t="shared" si="9"/>
        <v>0</v>
      </c>
      <c r="Y99" s="29">
        <f t="shared" si="9"/>
        <v>0</v>
      </c>
      <c r="Z99" s="29">
        <f t="shared" si="9"/>
        <v>0</v>
      </c>
      <c r="AA99" s="29">
        <f t="shared" si="9"/>
        <v>0</v>
      </c>
      <c r="AB99" s="29">
        <f t="shared" si="9"/>
        <v>0</v>
      </c>
      <c r="AC99" s="29">
        <f t="shared" si="9"/>
        <v>0</v>
      </c>
      <c r="AD99" s="29">
        <f t="shared" si="9"/>
        <v>0</v>
      </c>
      <c r="AE99" s="29">
        <f t="shared" si="9"/>
        <v>0</v>
      </c>
      <c r="AF99" s="29">
        <f t="shared" si="9"/>
        <v>0</v>
      </c>
      <c r="AG99" s="29">
        <f t="shared" si="9"/>
        <v>0</v>
      </c>
      <c r="AH99" s="29">
        <f t="shared" si="9"/>
        <v>0</v>
      </c>
      <c r="AI99" s="29">
        <f t="shared" si="9"/>
        <v>0</v>
      </c>
      <c r="AJ99" s="29">
        <f t="shared" si="9"/>
        <v>0</v>
      </c>
      <c r="AK99" s="29">
        <f t="shared" si="9"/>
        <v>0</v>
      </c>
      <c r="AL99" s="29">
        <f t="shared" si="9"/>
        <v>0</v>
      </c>
      <c r="AM99" s="29">
        <f t="shared" si="9"/>
        <v>0</v>
      </c>
      <c r="AN99" s="29">
        <f t="shared" si="9"/>
        <v>0</v>
      </c>
      <c r="AO99" s="29">
        <f t="shared" si="9"/>
        <v>0</v>
      </c>
      <c r="AP99" s="29">
        <f t="shared" si="9"/>
        <v>0</v>
      </c>
      <c r="AQ99" s="29">
        <f t="shared" si="9"/>
        <v>0</v>
      </c>
      <c r="AR99" s="29">
        <f t="shared" si="9"/>
        <v>0</v>
      </c>
      <c r="AS99" s="29">
        <f t="shared" si="9"/>
        <v>0</v>
      </c>
      <c r="AT99" s="29">
        <f t="shared" si="9"/>
        <v>0</v>
      </c>
      <c r="AU99" s="29">
        <f t="shared" si="9"/>
        <v>0</v>
      </c>
      <c r="AV99" s="29">
        <f t="shared" si="9"/>
        <v>0</v>
      </c>
      <c r="AW99" s="29">
        <f t="shared" si="9"/>
        <v>0</v>
      </c>
      <c r="AX99" s="29">
        <f t="shared" si="9"/>
        <v>0</v>
      </c>
      <c r="AY99" s="29">
        <f t="shared" si="9"/>
        <v>0</v>
      </c>
      <c r="AZ99" s="29">
        <f t="shared" si="9"/>
        <v>0</v>
      </c>
      <c r="BA99" s="29">
        <f t="shared" si="9"/>
        <v>0</v>
      </c>
      <c r="BB99" s="29">
        <f t="shared" si="9"/>
        <v>0</v>
      </c>
      <c r="BC99" s="29">
        <f t="shared" si="9"/>
        <v>0</v>
      </c>
      <c r="BD99" s="29">
        <f t="shared" si="9"/>
        <v>0</v>
      </c>
      <c r="BE99" s="29">
        <f t="shared" si="9"/>
        <v>0</v>
      </c>
      <c r="BF99" s="29">
        <f t="shared" si="9"/>
        <v>0</v>
      </c>
      <c r="BG99" s="29">
        <f t="shared" si="9"/>
        <v>0</v>
      </c>
      <c r="BH99" s="17"/>
      <c r="BI99" s="17"/>
    </row>
    <row r="100" spans="1:61" s="17" customFormat="1" ht="15.75" hidden="1" customHeight="1">
      <c r="A100" s="101"/>
      <c r="B100" s="114"/>
      <c r="C100" s="116"/>
      <c r="D100" s="118"/>
      <c r="E100" s="157"/>
      <c r="F100" s="116"/>
      <c r="G100" s="120"/>
      <c r="H100" s="109"/>
      <c r="I100" s="90"/>
      <c r="J100" s="90"/>
      <c r="K100" s="20"/>
      <c r="L100" s="20"/>
      <c r="M100" s="20"/>
      <c r="N100" s="97"/>
      <c r="O100" s="21"/>
      <c r="P100" s="27"/>
      <c r="Q100" s="99"/>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45061</v>
      </c>
      <c r="B102" s="114" t="s">
        <v>37</v>
      </c>
      <c r="C102" s="116"/>
      <c r="D102" s="118"/>
      <c r="E102" s="157"/>
      <c r="F102" s="116"/>
      <c r="G102" s="120"/>
      <c r="H102" s="90"/>
      <c r="I102" s="90"/>
      <c r="J102" s="90"/>
      <c r="K102" s="20"/>
      <c r="L102" s="20"/>
      <c r="M102" s="20"/>
      <c r="N102" s="97" t="e">
        <f>O103/L103</f>
        <v>#DIV/0!</v>
      </c>
      <c r="O102" s="21">
        <f t="shared" ref="O102:O107" si="10">L102-M102</f>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44990</v>
      </c>
      <c r="B104" s="114" t="s">
        <v>37</v>
      </c>
      <c r="C104" s="116"/>
      <c r="D104" s="118"/>
      <c r="E104" s="116"/>
      <c r="F104" s="116"/>
      <c r="G104" s="120"/>
      <c r="H104" s="90"/>
      <c r="I104" s="90"/>
      <c r="J104" s="90"/>
      <c r="K104" s="20"/>
      <c r="L104" s="20"/>
      <c r="M104" s="20"/>
      <c r="N104" s="97" t="e">
        <f>O105/L105</f>
        <v>#DIV/0!</v>
      </c>
      <c r="O104" s="21">
        <f t="shared" si="10"/>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10"/>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row>
    <row r="106" spans="1:61" s="17" customFormat="1" ht="15.75" hidden="1" customHeight="1">
      <c r="A106" s="101">
        <v>44990</v>
      </c>
      <c r="B106" s="114" t="s">
        <v>37</v>
      </c>
      <c r="C106" s="116"/>
      <c r="D106" s="118"/>
      <c r="E106" s="116"/>
      <c r="F106" s="116"/>
      <c r="G106" s="120"/>
      <c r="H106" s="90"/>
      <c r="I106" s="90"/>
      <c r="J106" s="90"/>
      <c r="K106" s="20"/>
      <c r="L106" s="20"/>
      <c r="M106" s="20"/>
      <c r="N106" s="97" t="e">
        <f>O107/L107</f>
        <v>#DIV/0!</v>
      </c>
      <c r="O106" s="21">
        <f t="shared" si="10"/>
        <v>0</v>
      </c>
      <c r="P106" s="27"/>
      <c r="Q106" s="99">
        <f>+L107-P107</f>
        <v>0</v>
      </c>
      <c r="R106" s="101"/>
      <c r="S106" s="96"/>
      <c r="T106" s="96"/>
      <c r="U106" s="96"/>
      <c r="V106" s="96"/>
      <c r="W106" s="96"/>
      <c r="X106" s="96"/>
      <c r="Y106" s="96"/>
      <c r="Z106" s="96"/>
      <c r="AA106" s="96"/>
      <c r="AB106" s="96"/>
      <c r="AC106" s="96"/>
      <c r="AD106" s="96"/>
      <c r="AE106" s="96"/>
      <c r="AF106" s="96"/>
      <c r="AG106" s="96"/>
      <c r="AH106" s="96"/>
      <c r="AI106" s="96"/>
      <c r="AJ106" s="96"/>
      <c r="AK106" s="96"/>
      <c r="AL106" s="96"/>
      <c r="AM106" s="96"/>
      <c r="AN106" s="96"/>
      <c r="AO106" s="96"/>
      <c r="AP106" s="96"/>
      <c r="AQ106" s="96"/>
      <c r="AR106" s="96"/>
      <c r="AS106" s="96"/>
      <c r="AT106" s="96"/>
      <c r="AU106" s="96"/>
      <c r="AV106" s="96"/>
      <c r="AW106" s="96"/>
      <c r="AX106" s="96"/>
      <c r="AY106" s="155"/>
      <c r="AZ106" s="155"/>
      <c r="BA106" s="155"/>
      <c r="BB106" s="155"/>
      <c r="BC106" s="155"/>
      <c r="BD106" s="155"/>
      <c r="BE106" s="96"/>
      <c r="BF106" s="155"/>
      <c r="BG106" s="155"/>
    </row>
    <row r="107" spans="1:61" s="17" customFormat="1" ht="15.75" hidden="1" customHeight="1">
      <c r="A107" s="102"/>
      <c r="B107" s="115"/>
      <c r="C107" s="117"/>
      <c r="D107" s="119"/>
      <c r="E107" s="117"/>
      <c r="F107" s="117"/>
      <c r="G107" s="121"/>
      <c r="H107" s="95"/>
      <c r="I107" s="95"/>
      <c r="J107" s="95"/>
      <c r="K107" s="22"/>
      <c r="L107" s="18"/>
      <c r="M107" s="18"/>
      <c r="N107" s="98"/>
      <c r="O107" s="19">
        <f t="shared" si="10"/>
        <v>0</v>
      </c>
      <c r="P107" s="22"/>
      <c r="Q107" s="100"/>
      <c r="R107" s="102"/>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156"/>
      <c r="AZ107" s="156"/>
      <c r="BA107" s="156"/>
      <c r="BB107" s="156"/>
      <c r="BC107" s="156"/>
      <c r="BD107" s="156"/>
      <c r="BE107" s="96"/>
      <c r="BF107" s="156"/>
      <c r="BG107" s="156"/>
      <c r="BH107" s="1"/>
      <c r="BI107" s="1"/>
    </row>
    <row r="108" spans="1:61" ht="24.75" hidden="1" customHeight="1">
      <c r="A108" s="111" t="s">
        <v>46</v>
      </c>
      <c r="B108" s="112"/>
      <c r="C108" s="112"/>
      <c r="D108" s="112"/>
      <c r="E108" s="112"/>
      <c r="F108" s="112"/>
      <c r="G108" s="112"/>
      <c r="H108" s="112"/>
      <c r="I108" s="113"/>
      <c r="J108" s="5">
        <f>SUM(J100:J107)</f>
        <v>0</v>
      </c>
      <c r="K108" s="5">
        <f>+SUMPRODUCT(((MOD(ROW(K100:K107),2)=0)*(K100:K107)))</f>
        <v>0</v>
      </c>
      <c r="L108" s="5">
        <f>+SUMPRODUCT(((MOD(ROW(L100:L107),2)=0)*(L100:L107)))</f>
        <v>0</v>
      </c>
      <c r="M108" s="5">
        <f>+SUMPRODUCT(((MOD(ROW(M100:M107),2)=0)*(M100:M107)))</f>
        <v>0</v>
      </c>
      <c r="N108" s="6" t="e">
        <f>O108/L108</f>
        <v>#DIV/0!</v>
      </c>
      <c r="O108" s="5">
        <f>+SUMPRODUCT(((MOD(ROW(O100:O107),2)=0)*(O100:O107)))</f>
        <v>0</v>
      </c>
      <c r="P108" s="5">
        <f>+SUMPRODUCT(((MOD(ROW(P100:P107),2)=0)*(P100:P107)))</f>
        <v>0</v>
      </c>
      <c r="Q108" s="29">
        <f>SUM(Q100:Q107)</f>
        <v>0</v>
      </c>
      <c r="R108" s="29"/>
      <c r="S108" s="29">
        <f t="shared" ref="S108:BG108" si="11">SUM(S100:S107)</f>
        <v>0</v>
      </c>
      <c r="T108" s="29">
        <f t="shared" si="11"/>
        <v>0</v>
      </c>
      <c r="U108" s="29">
        <f t="shared" si="11"/>
        <v>0</v>
      </c>
      <c r="V108" s="29">
        <f t="shared" si="11"/>
        <v>0</v>
      </c>
      <c r="W108" s="29">
        <f t="shared" si="11"/>
        <v>0</v>
      </c>
      <c r="X108" s="29">
        <f t="shared" si="11"/>
        <v>0</v>
      </c>
      <c r="Y108" s="29">
        <f t="shared" si="11"/>
        <v>0</v>
      </c>
      <c r="Z108" s="29">
        <f t="shared" si="11"/>
        <v>0</v>
      </c>
      <c r="AA108" s="29">
        <f t="shared" si="11"/>
        <v>0</v>
      </c>
      <c r="AB108" s="29">
        <f t="shared" si="11"/>
        <v>0</v>
      </c>
      <c r="AC108" s="29">
        <f t="shared" si="11"/>
        <v>0</v>
      </c>
      <c r="AD108" s="29">
        <f t="shared" si="11"/>
        <v>0</v>
      </c>
      <c r="AE108" s="29">
        <f t="shared" si="11"/>
        <v>0</v>
      </c>
      <c r="AF108" s="29">
        <f t="shared" si="11"/>
        <v>0</v>
      </c>
      <c r="AG108" s="29">
        <f t="shared" si="11"/>
        <v>0</v>
      </c>
      <c r="AH108" s="29">
        <f t="shared" si="11"/>
        <v>0</v>
      </c>
      <c r="AI108" s="29">
        <f t="shared" si="11"/>
        <v>0</v>
      </c>
      <c r="AJ108" s="29">
        <f t="shared" si="11"/>
        <v>0</v>
      </c>
      <c r="AK108" s="29">
        <f t="shared" si="11"/>
        <v>0</v>
      </c>
      <c r="AL108" s="29">
        <f t="shared" si="11"/>
        <v>0</v>
      </c>
      <c r="AM108" s="29">
        <f t="shared" si="11"/>
        <v>0</v>
      </c>
      <c r="AN108" s="29">
        <f t="shared" si="11"/>
        <v>0</v>
      </c>
      <c r="AO108" s="29">
        <f t="shared" si="11"/>
        <v>0</v>
      </c>
      <c r="AP108" s="29">
        <f t="shared" si="11"/>
        <v>0</v>
      </c>
      <c r="AQ108" s="29">
        <f t="shared" si="11"/>
        <v>0</v>
      </c>
      <c r="AR108" s="29">
        <f t="shared" si="11"/>
        <v>0</v>
      </c>
      <c r="AS108" s="29">
        <f t="shared" si="11"/>
        <v>0</v>
      </c>
      <c r="AT108" s="29">
        <f t="shared" si="11"/>
        <v>0</v>
      </c>
      <c r="AU108" s="29">
        <f t="shared" si="11"/>
        <v>0</v>
      </c>
      <c r="AV108" s="29">
        <f t="shared" si="11"/>
        <v>0</v>
      </c>
      <c r="AW108" s="29">
        <f t="shared" si="11"/>
        <v>0</v>
      </c>
      <c r="AX108" s="29">
        <f t="shared" si="11"/>
        <v>0</v>
      </c>
      <c r="AY108" s="29">
        <f t="shared" si="11"/>
        <v>0</v>
      </c>
      <c r="AZ108" s="29">
        <f t="shared" si="11"/>
        <v>0</v>
      </c>
      <c r="BA108" s="29">
        <f t="shared" si="11"/>
        <v>0</v>
      </c>
      <c r="BB108" s="29">
        <f t="shared" si="11"/>
        <v>0</v>
      </c>
      <c r="BC108" s="29">
        <f t="shared" si="11"/>
        <v>0</v>
      </c>
      <c r="BD108" s="29">
        <f t="shared" si="11"/>
        <v>0</v>
      </c>
      <c r="BE108" s="29">
        <f t="shared" si="11"/>
        <v>0</v>
      </c>
      <c r="BF108" s="29">
        <f t="shared" si="11"/>
        <v>0</v>
      </c>
      <c r="BG108" s="29">
        <f t="shared" si="11"/>
        <v>0</v>
      </c>
    </row>
    <row r="109" spans="1:61" ht="24.75" customHeight="1">
      <c r="A109" s="122" t="s">
        <v>5</v>
      </c>
      <c r="B109" s="122"/>
      <c r="C109" s="122"/>
      <c r="D109" s="122"/>
      <c r="E109" s="122"/>
      <c r="F109" s="122"/>
      <c r="G109" s="122"/>
      <c r="H109" s="122"/>
      <c r="I109" s="122"/>
      <c r="J109" s="4">
        <f>J79+J90+J99+J108</f>
        <v>4097</v>
      </c>
      <c r="K109" s="4">
        <f>K79+K90+K99+K108</f>
        <v>40</v>
      </c>
      <c r="L109" s="4">
        <f>L79+L90+L99+L108</f>
        <v>40</v>
      </c>
      <c r="M109" s="4">
        <f>M79+M90+M99+M108</f>
        <v>30</v>
      </c>
      <c r="N109" s="33">
        <f>O109/L109</f>
        <v>0.25</v>
      </c>
      <c r="O109" s="4">
        <f>O79+O90+O99+O108</f>
        <v>10</v>
      </c>
      <c r="P109" s="31">
        <f>P79+P90+P99+P108</f>
        <v>441</v>
      </c>
      <c r="Q109" s="31">
        <f>Q79+Q90+Q99+Q108</f>
        <v>71</v>
      </c>
      <c r="R109" s="4"/>
      <c r="S109" s="31">
        <f t="shared" ref="S109:BG109" si="12">S79+S90+S99+S108</f>
        <v>0</v>
      </c>
      <c r="T109" s="31">
        <f t="shared" si="12"/>
        <v>0</v>
      </c>
      <c r="U109" s="31">
        <f t="shared" si="12"/>
        <v>5</v>
      </c>
      <c r="V109" s="31">
        <f t="shared" si="12"/>
        <v>0</v>
      </c>
      <c r="W109" s="31">
        <f t="shared" si="12"/>
        <v>0</v>
      </c>
      <c r="X109" s="31">
        <f t="shared" si="12"/>
        <v>0</v>
      </c>
      <c r="Y109" s="31">
        <f t="shared" si="12"/>
        <v>0</v>
      </c>
      <c r="Z109" s="31">
        <f t="shared" si="12"/>
        <v>0</v>
      </c>
      <c r="AA109" s="31">
        <f t="shared" si="12"/>
        <v>0</v>
      </c>
      <c r="AB109" s="31">
        <f t="shared" si="12"/>
        <v>0</v>
      </c>
      <c r="AC109" s="31">
        <f t="shared" si="12"/>
        <v>5</v>
      </c>
      <c r="AD109" s="31">
        <f t="shared" si="12"/>
        <v>0</v>
      </c>
      <c r="AE109" s="31">
        <f t="shared" si="12"/>
        <v>0</v>
      </c>
      <c r="AF109" s="31">
        <f t="shared" si="12"/>
        <v>0</v>
      </c>
      <c r="AG109" s="31">
        <f t="shared" si="12"/>
        <v>0</v>
      </c>
      <c r="AH109" s="31">
        <f t="shared" si="12"/>
        <v>0</v>
      </c>
      <c r="AI109" s="31">
        <f t="shared" si="12"/>
        <v>0</v>
      </c>
      <c r="AJ109" s="31">
        <f t="shared" si="12"/>
        <v>0</v>
      </c>
      <c r="AK109" s="31">
        <f t="shared" si="12"/>
        <v>0</v>
      </c>
      <c r="AL109" s="31">
        <f t="shared" si="12"/>
        <v>0</v>
      </c>
      <c r="AM109" s="31">
        <f t="shared" si="12"/>
        <v>0</v>
      </c>
      <c r="AN109" s="31">
        <f t="shared" si="12"/>
        <v>0</v>
      </c>
      <c r="AO109" s="31">
        <f t="shared" si="12"/>
        <v>0</v>
      </c>
      <c r="AP109" s="31">
        <f t="shared" si="12"/>
        <v>0</v>
      </c>
      <c r="AQ109" s="31">
        <f t="shared" si="12"/>
        <v>0</v>
      </c>
      <c r="AR109" s="31">
        <f t="shared" si="12"/>
        <v>0</v>
      </c>
      <c r="AS109" s="31">
        <f t="shared" si="12"/>
        <v>0</v>
      </c>
      <c r="AT109" s="31">
        <f t="shared" si="12"/>
        <v>0</v>
      </c>
      <c r="AU109" s="31">
        <f t="shared" si="12"/>
        <v>0</v>
      </c>
      <c r="AV109" s="31">
        <f t="shared" si="12"/>
        <v>0</v>
      </c>
      <c r="AW109" s="31">
        <f t="shared" si="12"/>
        <v>0</v>
      </c>
      <c r="AX109" s="31">
        <f t="shared" si="12"/>
        <v>0</v>
      </c>
      <c r="AY109" s="31">
        <f t="shared" si="12"/>
        <v>0</v>
      </c>
      <c r="AZ109" s="31">
        <f t="shared" si="12"/>
        <v>0</v>
      </c>
      <c r="BA109" s="31">
        <f t="shared" si="12"/>
        <v>0</v>
      </c>
      <c r="BB109" s="31">
        <f t="shared" si="12"/>
        <v>0</v>
      </c>
      <c r="BC109" s="31">
        <f t="shared" si="12"/>
        <v>0</v>
      </c>
      <c r="BD109" s="31">
        <f t="shared" si="12"/>
        <v>0</v>
      </c>
      <c r="BE109" s="31">
        <f t="shared" si="12"/>
        <v>0</v>
      </c>
      <c r="BF109" s="31">
        <f t="shared" si="12"/>
        <v>0</v>
      </c>
      <c r="BG109" s="31">
        <f t="shared" si="12"/>
        <v>0</v>
      </c>
    </row>
    <row r="112" spans="1:61" s="25" customFormat="1" ht="35.25" customHeight="1">
      <c r="A112" s="2"/>
      <c r="B112" s="2"/>
      <c r="C112" s="2"/>
      <c r="D112" s="1"/>
      <c r="E112" s="1"/>
      <c r="F112" s="1"/>
      <c r="G112" s="1"/>
      <c r="H112" s="1"/>
      <c r="I112" s="1"/>
      <c r="J112" s="1"/>
      <c r="K112" s="35"/>
      <c r="L112" s="35"/>
      <c r="M112" s="35"/>
      <c r="N112" s="35"/>
      <c r="O112" s="35"/>
      <c r="P112" s="35"/>
      <c r="Q112" s="36"/>
      <c r="S112" s="8"/>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row>
    <row r="115" spans="1:61" s="25" customFormat="1" ht="33" customHeight="1">
      <c r="A115" s="2"/>
      <c r="B115" s="2"/>
      <c r="C115" s="2"/>
      <c r="D115" s="1"/>
      <c r="E115" s="1"/>
      <c r="F115" s="1"/>
      <c r="G115" s="1"/>
      <c r="H115" s="1"/>
      <c r="I115" s="1"/>
      <c r="J115" s="1"/>
      <c r="K115" s="1"/>
      <c r="L115" s="1"/>
      <c r="M115" s="1"/>
      <c r="N115" s="1"/>
      <c r="O115" s="1"/>
      <c r="S115" s="8"/>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row>
  </sheetData>
  <mergeCells count="2579">
    <mergeCell ref="A1:O1"/>
    <mergeCell ref="A2:O2"/>
    <mergeCell ref="S3:S4"/>
    <mergeCell ref="T3:T4"/>
    <mergeCell ref="U3:U4"/>
    <mergeCell ref="V3:V4"/>
    <mergeCell ref="W3:W4"/>
    <mergeCell ref="X3:X4"/>
    <mergeCell ref="Y3:Y4"/>
    <mergeCell ref="Z3:Z4"/>
    <mergeCell ref="AA3:AA4"/>
    <mergeCell ref="AB3:AB4"/>
    <mergeCell ref="AM3:AM4"/>
    <mergeCell ref="AN3:AN4"/>
    <mergeCell ref="AC3:AC4"/>
    <mergeCell ref="AD3:AD4"/>
    <mergeCell ref="AE3:AE4"/>
    <mergeCell ref="AF3:AF4"/>
    <mergeCell ref="AG3:AG4"/>
    <mergeCell ref="AH3:AH4"/>
    <mergeCell ref="AI3:AI4"/>
    <mergeCell ref="AJ3:AJ4"/>
    <mergeCell ref="BC3:BC4"/>
    <mergeCell ref="BD3:BD4"/>
    <mergeCell ref="BE3:BE4"/>
    <mergeCell ref="BF3:BF4"/>
    <mergeCell ref="BG3:BG4"/>
    <mergeCell ref="A5:A6"/>
    <mergeCell ref="B5:B6"/>
    <mergeCell ref="C5:C6"/>
    <mergeCell ref="D5:D6"/>
    <mergeCell ref="E5:E6"/>
    <mergeCell ref="F5:F6"/>
    <mergeCell ref="G5:G6"/>
    <mergeCell ref="H5:H6"/>
    <mergeCell ref="I5:I6"/>
    <mergeCell ref="AK3:AK4"/>
    <mergeCell ref="AL3:AL4"/>
    <mergeCell ref="AK5:AK6"/>
    <mergeCell ref="AL5:AL6"/>
    <mergeCell ref="AA5:AA6"/>
    <mergeCell ref="AB5:AB6"/>
    <mergeCell ref="AC5:AC6"/>
    <mergeCell ref="AD5:AD6"/>
    <mergeCell ref="AE5:AE6"/>
    <mergeCell ref="AF5:AF6"/>
    <mergeCell ref="AO3:AO4"/>
    <mergeCell ref="BC5:BC6"/>
    <mergeCell ref="BD5:BD6"/>
    <mergeCell ref="BE5:BE6"/>
    <mergeCell ref="BF5:BF6"/>
    <mergeCell ref="BG5:BG6"/>
    <mergeCell ref="Y5:Y6"/>
    <mergeCell ref="Z5:Z6"/>
    <mergeCell ref="A7:A8"/>
    <mergeCell ref="B7:B8"/>
    <mergeCell ref="C7:C8"/>
    <mergeCell ref="D7:D8"/>
    <mergeCell ref="E7:E8"/>
    <mergeCell ref="F7:F8"/>
    <mergeCell ref="G7:G8"/>
    <mergeCell ref="J5:J6"/>
    <mergeCell ref="N5:N6"/>
    <mergeCell ref="Q5:Q6"/>
    <mergeCell ref="R5:R6"/>
    <mergeCell ref="S5:S6"/>
    <mergeCell ref="T5:T6"/>
    <mergeCell ref="U5:U6"/>
    <mergeCell ref="V5:V6"/>
    <mergeCell ref="W5:W6"/>
    <mergeCell ref="X5:X6"/>
    <mergeCell ref="N7:N8"/>
    <mergeCell ref="Q7:Q8"/>
    <mergeCell ref="R7:R8"/>
    <mergeCell ref="S7:S8"/>
    <mergeCell ref="T7:T8"/>
    <mergeCell ref="U7:U8"/>
    <mergeCell ref="V7:V8"/>
    <mergeCell ref="W7:W8"/>
    <mergeCell ref="X7:X8"/>
    <mergeCell ref="AT5:AT6"/>
    <mergeCell ref="AU5:AU6"/>
    <mergeCell ref="AV5:AV6"/>
    <mergeCell ref="AW5:AW6"/>
    <mergeCell ref="AX5:AX6"/>
    <mergeCell ref="AY5:AY6"/>
    <mergeCell ref="AZ5:AZ6"/>
    <mergeCell ref="BA5:BA6"/>
    <mergeCell ref="BB5:BB6"/>
    <mergeCell ref="F9:F10"/>
    <mergeCell ref="G9:G10"/>
    <mergeCell ref="AP3:AP4"/>
    <mergeCell ref="AQ3:AQ4"/>
    <mergeCell ref="AR3:AR4"/>
    <mergeCell ref="AS3:AS4"/>
    <mergeCell ref="AT3:AT4"/>
    <mergeCell ref="AU3:AU4"/>
    <mergeCell ref="AV3:AV4"/>
    <mergeCell ref="AW3:AW4"/>
    <mergeCell ref="AX3:AX4"/>
    <mergeCell ref="AY3:AY4"/>
    <mergeCell ref="AZ3:AZ4"/>
    <mergeCell ref="BA3:BA4"/>
    <mergeCell ref="BB3:BB4"/>
    <mergeCell ref="AG5:AG6"/>
    <mergeCell ref="AH5:AH6"/>
    <mergeCell ref="AI5:AI6"/>
    <mergeCell ref="AJ5:AJ6"/>
    <mergeCell ref="I7:I8"/>
    <mergeCell ref="J7:J8"/>
    <mergeCell ref="AY9:AY10"/>
    <mergeCell ref="AZ9:AZ10"/>
    <mergeCell ref="A9:A10"/>
    <mergeCell ref="B9:B10"/>
    <mergeCell ref="C9:C10"/>
    <mergeCell ref="D9:D10"/>
    <mergeCell ref="E9:E10"/>
    <mergeCell ref="AE7:AE8"/>
    <mergeCell ref="AM5:AM6"/>
    <mergeCell ref="AN5:AN6"/>
    <mergeCell ref="AO5:AO6"/>
    <mergeCell ref="AP5:AP6"/>
    <mergeCell ref="AQ5:AQ6"/>
    <mergeCell ref="AR5:AR6"/>
    <mergeCell ref="AS5:AS6"/>
    <mergeCell ref="H9:H10"/>
    <mergeCell ref="I9:I10"/>
    <mergeCell ref="J9:J10"/>
    <mergeCell ref="N9:N10"/>
    <mergeCell ref="Q9:Q10"/>
    <mergeCell ref="R9:R10"/>
    <mergeCell ref="S9:S10"/>
    <mergeCell ref="T9:T10"/>
    <mergeCell ref="U9:U10"/>
    <mergeCell ref="V9:V10"/>
    <mergeCell ref="AF7:AF8"/>
    <mergeCell ref="AG7:AG8"/>
    <mergeCell ref="AH7:AH8"/>
    <mergeCell ref="AI7:AI8"/>
    <mergeCell ref="AJ7:AJ8"/>
    <mergeCell ref="Y7:Y8"/>
    <mergeCell ref="Z7:Z8"/>
    <mergeCell ref="AA7:AA8"/>
    <mergeCell ref="H7:H8"/>
    <mergeCell ref="BC7:BC8"/>
    <mergeCell ref="BD7:BD8"/>
    <mergeCell ref="BE7:BE8"/>
    <mergeCell ref="BF7:BF8"/>
    <mergeCell ref="BG7:BG8"/>
    <mergeCell ref="AB7:AB8"/>
    <mergeCell ref="AC7:AC8"/>
    <mergeCell ref="AD7:AD8"/>
    <mergeCell ref="AK7:AK8"/>
    <mergeCell ref="AL7:AL8"/>
    <mergeCell ref="AM7:AM8"/>
    <mergeCell ref="AN7:AN8"/>
    <mergeCell ref="AO7:AO8"/>
    <mergeCell ref="AP7:AP8"/>
    <mergeCell ref="AQ7:AQ8"/>
    <mergeCell ref="AR7:AR8"/>
    <mergeCell ref="AS7:AS8"/>
    <mergeCell ref="AT7:AT8"/>
    <mergeCell ref="AU7:AU8"/>
    <mergeCell ref="AV7:AV8"/>
    <mergeCell ref="AY7:AY8"/>
    <mergeCell ref="AZ7:AZ8"/>
    <mergeCell ref="BA7:BA8"/>
    <mergeCell ref="BB7:BB8"/>
    <mergeCell ref="AW7:AW8"/>
    <mergeCell ref="AX7:AX8"/>
    <mergeCell ref="BA9:BA10"/>
    <mergeCell ref="BB9:BB10"/>
    <mergeCell ref="BC9:BC10"/>
    <mergeCell ref="BD9:BD10"/>
    <mergeCell ref="BE9:BE10"/>
    <mergeCell ref="BF9:BF10"/>
    <mergeCell ref="BG9:BG10"/>
    <mergeCell ref="A11:A12"/>
    <mergeCell ref="B11:B12"/>
    <mergeCell ref="C11:C12"/>
    <mergeCell ref="D11:D12"/>
    <mergeCell ref="E11:E12"/>
    <mergeCell ref="F11:F12"/>
    <mergeCell ref="G11:G12"/>
    <mergeCell ref="H11:H12"/>
    <mergeCell ref="I11:I12"/>
    <mergeCell ref="J11:J12"/>
    <mergeCell ref="N11:N12"/>
    <mergeCell ref="Q11:Q12"/>
    <mergeCell ref="R11:R12"/>
    <mergeCell ref="S11:S12"/>
    <mergeCell ref="T11:T12"/>
    <mergeCell ref="W9:W10"/>
    <mergeCell ref="X9:X10"/>
    <mergeCell ref="Y9:Y10"/>
    <mergeCell ref="Z9:Z10"/>
    <mergeCell ref="AA9:AA10"/>
    <mergeCell ref="AB9:AB10"/>
    <mergeCell ref="AC9:AC10"/>
    <mergeCell ref="AD9:AD10"/>
    <mergeCell ref="AE11:AE12"/>
    <mergeCell ref="AF11:AF12"/>
    <mergeCell ref="AQ9:AQ10"/>
    <mergeCell ref="AR9:AR10"/>
    <mergeCell ref="AQ11:AQ12"/>
    <mergeCell ref="AR11:AR12"/>
    <mergeCell ref="AG11:AG12"/>
    <mergeCell ref="AH11:AH12"/>
    <mergeCell ref="AI11:AI12"/>
    <mergeCell ref="AJ11:AJ12"/>
    <mergeCell ref="AK11:AK12"/>
    <mergeCell ref="AL11:AL12"/>
    <mergeCell ref="AU9:AU10"/>
    <mergeCell ref="AV9:AV10"/>
    <mergeCell ref="AW9:AW10"/>
    <mergeCell ref="AX9:AX10"/>
    <mergeCell ref="AE9:AE10"/>
    <mergeCell ref="AF9:AF10"/>
    <mergeCell ref="AG9:AG10"/>
    <mergeCell ref="AH9:AH10"/>
    <mergeCell ref="AS9:AS10"/>
    <mergeCell ref="AT9:AT10"/>
    <mergeCell ref="AI9:AI10"/>
    <mergeCell ref="AJ9:AJ10"/>
    <mergeCell ref="AK9:AK10"/>
    <mergeCell ref="AL9:AL10"/>
    <mergeCell ref="AM9:AM10"/>
    <mergeCell ref="AN9:AN10"/>
    <mergeCell ref="AO9:AO10"/>
    <mergeCell ref="AP9:AP10"/>
    <mergeCell ref="AX11:AX12"/>
    <mergeCell ref="AM11:AM12"/>
    <mergeCell ref="AN11:AN12"/>
    <mergeCell ref="AO11:AO12"/>
    <mergeCell ref="AZ11:AZ12"/>
    <mergeCell ref="BA11:BA12"/>
    <mergeCell ref="BB11:BB12"/>
    <mergeCell ref="BC11:BC12"/>
    <mergeCell ref="BD11:BD12"/>
    <mergeCell ref="BE11:BE12"/>
    <mergeCell ref="BF11:BF12"/>
    <mergeCell ref="BG11:BG12"/>
    <mergeCell ref="A13:A14"/>
    <mergeCell ref="B13:B14"/>
    <mergeCell ref="C13:C14"/>
    <mergeCell ref="D13:D14"/>
    <mergeCell ref="E13:E14"/>
    <mergeCell ref="F13:F14"/>
    <mergeCell ref="G13:G14"/>
    <mergeCell ref="H13:H14"/>
    <mergeCell ref="I13:I14"/>
    <mergeCell ref="J13:J14"/>
    <mergeCell ref="N13:N14"/>
    <mergeCell ref="Q13:Q14"/>
    <mergeCell ref="R13:R14"/>
    <mergeCell ref="U11:U12"/>
    <mergeCell ref="V11:V12"/>
    <mergeCell ref="W11:W12"/>
    <mergeCell ref="X11:X12"/>
    <mergeCell ref="Y11:Y12"/>
    <mergeCell ref="Z11:Z12"/>
    <mergeCell ref="AA11:AA12"/>
    <mergeCell ref="AB11:AB12"/>
    <mergeCell ref="AC11:AC12"/>
    <mergeCell ref="AE13:AE14"/>
    <mergeCell ref="AD11:AD12"/>
    <mergeCell ref="AP11:AP12"/>
    <mergeCell ref="AO13:AO14"/>
    <mergeCell ref="AP13:AP14"/>
    <mergeCell ref="AS11:AS12"/>
    <mergeCell ref="AT11:AT12"/>
    <mergeCell ref="AU11:AU12"/>
    <mergeCell ref="AV11:AV12"/>
    <mergeCell ref="AW11:AW12"/>
    <mergeCell ref="AY13:AY14"/>
    <mergeCell ref="AY11:AY12"/>
    <mergeCell ref="AK13:AK14"/>
    <mergeCell ref="AL13:AL14"/>
    <mergeCell ref="AM13:AM14"/>
    <mergeCell ref="AN13:AN14"/>
    <mergeCell ref="AQ13:AQ14"/>
    <mergeCell ref="AR13:AR14"/>
    <mergeCell ref="AS13:AS14"/>
    <mergeCell ref="AT13:AT14"/>
    <mergeCell ref="AU13:AU14"/>
    <mergeCell ref="AV13:AV14"/>
    <mergeCell ref="AW13:AW14"/>
    <mergeCell ref="AX13:AX14"/>
    <mergeCell ref="BG13:BG14"/>
    <mergeCell ref="A15:A16"/>
    <mergeCell ref="B15:B16"/>
    <mergeCell ref="C15:C16"/>
    <mergeCell ref="D15:D16"/>
    <mergeCell ref="E15:E16"/>
    <mergeCell ref="F15:F16"/>
    <mergeCell ref="G15:G16"/>
    <mergeCell ref="H15:H16"/>
    <mergeCell ref="I15:I16"/>
    <mergeCell ref="J15:J16"/>
    <mergeCell ref="N15:N16"/>
    <mergeCell ref="S13:S14"/>
    <mergeCell ref="T13:T14"/>
    <mergeCell ref="U13:U14"/>
    <mergeCell ref="V13:V14"/>
    <mergeCell ref="W13:W14"/>
    <mergeCell ref="X13:X14"/>
    <mergeCell ref="Y13:Y14"/>
    <mergeCell ref="Z13:Z14"/>
    <mergeCell ref="AA13:AA14"/>
    <mergeCell ref="AB13:AB14"/>
    <mergeCell ref="AC13:AC14"/>
    <mergeCell ref="AD13:AD14"/>
    <mergeCell ref="AF15:AF16"/>
    <mergeCell ref="AF13:AF14"/>
    <mergeCell ref="AG13:AG14"/>
    <mergeCell ref="AH13:AH14"/>
    <mergeCell ref="AI13:AI14"/>
    <mergeCell ref="AJ13:AJ14"/>
    <mergeCell ref="AZ13:AZ14"/>
    <mergeCell ref="BG15:BG16"/>
    <mergeCell ref="A17:A18"/>
    <mergeCell ref="B17:B18"/>
    <mergeCell ref="C17:C18"/>
    <mergeCell ref="D17:D18"/>
    <mergeCell ref="E17:E18"/>
    <mergeCell ref="F17:F18"/>
    <mergeCell ref="G17:G18"/>
    <mergeCell ref="H17:H18"/>
    <mergeCell ref="I17:I18"/>
    <mergeCell ref="Q15:Q16"/>
    <mergeCell ref="R15:R16"/>
    <mergeCell ref="S15:S16"/>
    <mergeCell ref="T15:T16"/>
    <mergeCell ref="U15:U16"/>
    <mergeCell ref="V15:V16"/>
    <mergeCell ref="W15:W16"/>
    <mergeCell ref="BA13:BA14"/>
    <mergeCell ref="AL15:AL16"/>
    <mergeCell ref="BB13:BB14"/>
    <mergeCell ref="X15:X16"/>
    <mergeCell ref="Y15:Y16"/>
    <mergeCell ref="Z15:Z16"/>
    <mergeCell ref="AA15:AA16"/>
    <mergeCell ref="AB15:AB16"/>
    <mergeCell ref="AC15:AC16"/>
    <mergeCell ref="AD15:AD16"/>
    <mergeCell ref="AE15:AE16"/>
    <mergeCell ref="BC13:BC14"/>
    <mergeCell ref="BD13:BD14"/>
    <mergeCell ref="BE13:BE14"/>
    <mergeCell ref="BF13:BF14"/>
    <mergeCell ref="AI15:AI16"/>
    <mergeCell ref="AG15:AG16"/>
    <mergeCell ref="AH15:AH16"/>
    <mergeCell ref="AO15:AO16"/>
    <mergeCell ref="AP15:AP16"/>
    <mergeCell ref="AQ15:AQ16"/>
    <mergeCell ref="AR15:AR16"/>
    <mergeCell ref="AS15:AS16"/>
    <mergeCell ref="AT15:AT16"/>
    <mergeCell ref="AM15:AM16"/>
    <mergeCell ref="AN15:AN16"/>
    <mergeCell ref="AU15:AU16"/>
    <mergeCell ref="AV15:AV16"/>
    <mergeCell ref="AW15:AW16"/>
    <mergeCell ref="AX15:AX16"/>
    <mergeCell ref="AY15:AY16"/>
    <mergeCell ref="AZ15:AZ16"/>
    <mergeCell ref="AJ15:AJ16"/>
    <mergeCell ref="AK15:AK16"/>
    <mergeCell ref="BE17:BE18"/>
    <mergeCell ref="BF17:BF18"/>
    <mergeCell ref="AT17:AT18"/>
    <mergeCell ref="AU17:AU18"/>
    <mergeCell ref="AV17:AV18"/>
    <mergeCell ref="AW17:AW18"/>
    <mergeCell ref="AX17:AX18"/>
    <mergeCell ref="AY17:AY18"/>
    <mergeCell ref="AZ17:AZ18"/>
    <mergeCell ref="BA17:BA18"/>
    <mergeCell ref="BB17:BB18"/>
    <mergeCell ref="BA15:BA16"/>
    <mergeCell ref="BB15:BB16"/>
    <mergeCell ref="BC15:BC16"/>
    <mergeCell ref="BD15:BD16"/>
    <mergeCell ref="BE15:BE16"/>
    <mergeCell ref="BF15:BF16"/>
    <mergeCell ref="BG17:BG18"/>
    <mergeCell ref="A19:A20"/>
    <mergeCell ref="B19:B20"/>
    <mergeCell ref="C19:C20"/>
    <mergeCell ref="D19:D20"/>
    <mergeCell ref="E19:E20"/>
    <mergeCell ref="F19:F20"/>
    <mergeCell ref="G19:G20"/>
    <mergeCell ref="J17:J18"/>
    <mergeCell ref="N17:N18"/>
    <mergeCell ref="Q17:Q18"/>
    <mergeCell ref="R17:R18"/>
    <mergeCell ref="S17:S18"/>
    <mergeCell ref="T17:T18"/>
    <mergeCell ref="U17:U18"/>
    <mergeCell ref="V17:V18"/>
    <mergeCell ref="W17:W18"/>
    <mergeCell ref="X17:X18"/>
    <mergeCell ref="Y17:Y18"/>
    <mergeCell ref="Z17:Z18"/>
    <mergeCell ref="AA17:AA18"/>
    <mergeCell ref="AB17:AB18"/>
    <mergeCell ref="AC17:AC18"/>
    <mergeCell ref="AD17:AD18"/>
    <mergeCell ref="AE17:AE18"/>
    <mergeCell ref="AF17:AF18"/>
    <mergeCell ref="AW19:AW20"/>
    <mergeCell ref="AX19:AX20"/>
    <mergeCell ref="AY19:AY20"/>
    <mergeCell ref="AZ19:AZ20"/>
    <mergeCell ref="BA19:BA20"/>
    <mergeCell ref="BB19:BB20"/>
    <mergeCell ref="A21:A22"/>
    <mergeCell ref="B21:B22"/>
    <mergeCell ref="C21:C22"/>
    <mergeCell ref="D21:D22"/>
    <mergeCell ref="E21:E22"/>
    <mergeCell ref="AE19:AE20"/>
    <mergeCell ref="AM17:AM18"/>
    <mergeCell ref="AN17:AN18"/>
    <mergeCell ref="AO17:AO18"/>
    <mergeCell ref="AP17:AP18"/>
    <mergeCell ref="AQ17:AQ18"/>
    <mergeCell ref="AR17:AR18"/>
    <mergeCell ref="AS17:AS18"/>
    <mergeCell ref="F21:F22"/>
    <mergeCell ref="G21:G22"/>
    <mergeCell ref="H21:H22"/>
    <mergeCell ref="I21:I22"/>
    <mergeCell ref="J21:J22"/>
    <mergeCell ref="N21:N22"/>
    <mergeCell ref="Q21:Q22"/>
    <mergeCell ref="R21:R22"/>
    <mergeCell ref="S21:S22"/>
    <mergeCell ref="T21:T22"/>
    <mergeCell ref="U21:U22"/>
    <mergeCell ref="V21:V22"/>
    <mergeCell ref="AF19:AF20"/>
    <mergeCell ref="AG19:AG20"/>
    <mergeCell ref="AH19:AH20"/>
    <mergeCell ref="AK17:AK18"/>
    <mergeCell ref="AL17:AL18"/>
    <mergeCell ref="Y19:Y20"/>
    <mergeCell ref="Z19:Z20"/>
    <mergeCell ref="AA19:AA20"/>
    <mergeCell ref="H19:H20"/>
    <mergeCell ref="I19:I20"/>
    <mergeCell ref="J19:J20"/>
    <mergeCell ref="N19:N20"/>
    <mergeCell ref="Q19:Q20"/>
    <mergeCell ref="R19:R20"/>
    <mergeCell ref="S19:S20"/>
    <mergeCell ref="T19:T20"/>
    <mergeCell ref="U19:U20"/>
    <mergeCell ref="V19:V20"/>
    <mergeCell ref="W19:W20"/>
    <mergeCell ref="X19:X20"/>
    <mergeCell ref="AG17:AG18"/>
    <mergeCell ref="AH17:AH18"/>
    <mergeCell ref="BC19:BC20"/>
    <mergeCell ref="BD19:BD20"/>
    <mergeCell ref="BD17:BD18"/>
    <mergeCell ref="BC17:BC18"/>
    <mergeCell ref="AI17:AI18"/>
    <mergeCell ref="AJ17:AJ18"/>
    <mergeCell ref="BE19:BE20"/>
    <mergeCell ref="BF19:BF20"/>
    <mergeCell ref="BG19:BG20"/>
    <mergeCell ref="AB19:AB20"/>
    <mergeCell ref="AC19:AC20"/>
    <mergeCell ref="AD19:AD20"/>
    <mergeCell ref="AK19:AK20"/>
    <mergeCell ref="AL19:AL20"/>
    <mergeCell ref="AM19:AM20"/>
    <mergeCell ref="AN19:AN20"/>
    <mergeCell ref="AO19:AO20"/>
    <mergeCell ref="AP19:AP20"/>
    <mergeCell ref="AQ19:AQ20"/>
    <mergeCell ref="AR19:AR20"/>
    <mergeCell ref="AS19:AS20"/>
    <mergeCell ref="AT19:AT20"/>
    <mergeCell ref="AU19:AU20"/>
    <mergeCell ref="AV19:AV20"/>
    <mergeCell ref="AI19:AI20"/>
    <mergeCell ref="AJ19:AJ20"/>
    <mergeCell ref="AX23:AX24"/>
    <mergeCell ref="AO23:AO24"/>
    <mergeCell ref="AP23:AP24"/>
    <mergeCell ref="AY21:AY22"/>
    <mergeCell ref="AZ21:AZ22"/>
    <mergeCell ref="BA21:BA22"/>
    <mergeCell ref="BB21:BB22"/>
    <mergeCell ref="BC21:BC22"/>
    <mergeCell ref="BD21:BD22"/>
    <mergeCell ref="BE21:BE22"/>
    <mergeCell ref="BF21:BF22"/>
    <mergeCell ref="BG21:BG22"/>
    <mergeCell ref="A23:A24"/>
    <mergeCell ref="B23:B24"/>
    <mergeCell ref="C23:C24"/>
    <mergeCell ref="D23:D24"/>
    <mergeCell ref="E23:E24"/>
    <mergeCell ref="F23:F24"/>
    <mergeCell ref="G23:G24"/>
    <mergeCell ref="H23:H24"/>
    <mergeCell ref="I23:I24"/>
    <mergeCell ref="J23:J24"/>
    <mergeCell ref="N23:N24"/>
    <mergeCell ref="Q23:Q24"/>
    <mergeCell ref="R23:R24"/>
    <mergeCell ref="S23:S24"/>
    <mergeCell ref="T23:T24"/>
    <mergeCell ref="W21:W22"/>
    <mergeCell ref="X21:X22"/>
    <mergeCell ref="Y21:Y22"/>
    <mergeCell ref="Z21:Z22"/>
    <mergeCell ref="AA21:AA22"/>
    <mergeCell ref="AU21:AU22"/>
    <mergeCell ref="AV21:AV22"/>
    <mergeCell ref="AW21:AW22"/>
    <mergeCell ref="AX21:AX22"/>
    <mergeCell ref="AE21:AE22"/>
    <mergeCell ref="AF21:AF22"/>
    <mergeCell ref="AG21:AG22"/>
    <mergeCell ref="AH21:AH22"/>
    <mergeCell ref="AS21:AS22"/>
    <mergeCell ref="AT21:AT22"/>
    <mergeCell ref="AI21:AI22"/>
    <mergeCell ref="AJ21:AJ22"/>
    <mergeCell ref="AK21:AK22"/>
    <mergeCell ref="AL21:AL22"/>
    <mergeCell ref="AM21:AM22"/>
    <mergeCell ref="AN21:AN22"/>
    <mergeCell ref="AO21:AO22"/>
    <mergeCell ref="AP21:AP22"/>
    <mergeCell ref="AA23:AA24"/>
    <mergeCell ref="AB23:AB24"/>
    <mergeCell ref="AC23:AC24"/>
    <mergeCell ref="AE25:AE26"/>
    <mergeCell ref="AD23:AD24"/>
    <mergeCell ref="AE23:AE24"/>
    <mergeCell ref="AF23:AF24"/>
    <mergeCell ref="AM23:AM24"/>
    <mergeCell ref="AN23:AN24"/>
    <mergeCell ref="AQ21:AQ22"/>
    <mergeCell ref="AR21:AR22"/>
    <mergeCell ref="AQ23:AQ24"/>
    <mergeCell ref="AR23:AR24"/>
    <mergeCell ref="AG23:AG24"/>
    <mergeCell ref="AH23:AH24"/>
    <mergeCell ref="AI23:AI24"/>
    <mergeCell ref="AJ23:AJ24"/>
    <mergeCell ref="AK23:AK24"/>
    <mergeCell ref="AL23:AL24"/>
    <mergeCell ref="AB21:AB22"/>
    <mergeCell ref="AC21:AC22"/>
    <mergeCell ref="AD21:AD22"/>
    <mergeCell ref="AB25:AB26"/>
    <mergeCell ref="AC25:AC26"/>
    <mergeCell ref="AD25:AD26"/>
    <mergeCell ref="C25:C26"/>
    <mergeCell ref="D25:D26"/>
    <mergeCell ref="E25:E26"/>
    <mergeCell ref="F25:F26"/>
    <mergeCell ref="G25:G26"/>
    <mergeCell ref="H25:H26"/>
    <mergeCell ref="I25:I26"/>
    <mergeCell ref="J25:J26"/>
    <mergeCell ref="N25:N26"/>
    <mergeCell ref="Q25:Q26"/>
    <mergeCell ref="R25:R26"/>
    <mergeCell ref="U23:U24"/>
    <mergeCell ref="V23:V24"/>
    <mergeCell ref="W23:W24"/>
    <mergeCell ref="X23:X24"/>
    <mergeCell ref="Y23:Y24"/>
    <mergeCell ref="Z23:Z24"/>
    <mergeCell ref="AW23:AW24"/>
    <mergeCell ref="AY25:AY26"/>
    <mergeCell ref="AY23:AY24"/>
    <mergeCell ref="AZ23:AZ24"/>
    <mergeCell ref="BA23:BA24"/>
    <mergeCell ref="BB23:BB24"/>
    <mergeCell ref="BC23:BC24"/>
    <mergeCell ref="BF25:BF26"/>
    <mergeCell ref="BG25:BG26"/>
    <mergeCell ref="A27:A28"/>
    <mergeCell ref="B27:B28"/>
    <mergeCell ref="C27:C28"/>
    <mergeCell ref="D27:D28"/>
    <mergeCell ref="E27:E28"/>
    <mergeCell ref="F27:F28"/>
    <mergeCell ref="G27:G28"/>
    <mergeCell ref="H27:H28"/>
    <mergeCell ref="I27:I28"/>
    <mergeCell ref="J27:J28"/>
    <mergeCell ref="N27:N28"/>
    <mergeCell ref="S25:S26"/>
    <mergeCell ref="T25:T26"/>
    <mergeCell ref="U25:U26"/>
    <mergeCell ref="V25:V26"/>
    <mergeCell ref="W25:W26"/>
    <mergeCell ref="X25:X26"/>
    <mergeCell ref="BD23:BD24"/>
    <mergeCell ref="BE23:BE24"/>
    <mergeCell ref="BF23:BF24"/>
    <mergeCell ref="BG23:BG24"/>
    <mergeCell ref="A25:A26"/>
    <mergeCell ref="B25:B26"/>
    <mergeCell ref="AF27:AF28"/>
    <mergeCell ref="AF25:AF26"/>
    <mergeCell ref="AG25:AG26"/>
    <mergeCell ref="AH25:AH26"/>
    <mergeCell ref="AI25:AI26"/>
    <mergeCell ref="AJ25:AJ26"/>
    <mergeCell ref="AR25:AR26"/>
    <mergeCell ref="AS25:AS26"/>
    <mergeCell ref="AT25:AT26"/>
    <mergeCell ref="AU25:AU26"/>
    <mergeCell ref="AV25:AV26"/>
    <mergeCell ref="AO25:AO26"/>
    <mergeCell ref="AP25:AP26"/>
    <mergeCell ref="AS23:AS24"/>
    <mergeCell ref="AT23:AT24"/>
    <mergeCell ref="AU23:AU24"/>
    <mergeCell ref="AV23:AV24"/>
    <mergeCell ref="AW25:AW26"/>
    <mergeCell ref="AX25:AX26"/>
    <mergeCell ref="AZ27:AZ28"/>
    <mergeCell ref="AJ27:AJ28"/>
    <mergeCell ref="AK27:AK28"/>
    <mergeCell ref="AL27:AL28"/>
    <mergeCell ref="AZ25:AZ26"/>
    <mergeCell ref="BA25:BA26"/>
    <mergeCell ref="BB25:BB26"/>
    <mergeCell ref="BC25:BC26"/>
    <mergeCell ref="BD25:BD26"/>
    <mergeCell ref="BE25:BE26"/>
    <mergeCell ref="Y27:Y28"/>
    <mergeCell ref="Z27:Z28"/>
    <mergeCell ref="AA27:AA28"/>
    <mergeCell ref="AB27:AB28"/>
    <mergeCell ref="AC27:AC28"/>
    <mergeCell ref="AD27:AD28"/>
    <mergeCell ref="AE27:AE28"/>
    <mergeCell ref="AI27:AI28"/>
    <mergeCell ref="AG27:AG28"/>
    <mergeCell ref="AH27:AH28"/>
    <mergeCell ref="AK25:AK26"/>
    <mergeCell ref="AL25:AL26"/>
    <mergeCell ref="AM25:AM26"/>
    <mergeCell ref="AN25:AN26"/>
    <mergeCell ref="AM27:AM28"/>
    <mergeCell ref="AN27:AN28"/>
    <mergeCell ref="AQ25:AQ26"/>
    <mergeCell ref="Y25:Y26"/>
    <mergeCell ref="Z25:Z26"/>
    <mergeCell ref="AA25:AA26"/>
    <mergeCell ref="A29:A30"/>
    <mergeCell ref="B29:B30"/>
    <mergeCell ref="C29:C30"/>
    <mergeCell ref="D29:D30"/>
    <mergeCell ref="E29:E30"/>
    <mergeCell ref="F29:F30"/>
    <mergeCell ref="G29:G30"/>
    <mergeCell ref="H29:H30"/>
    <mergeCell ref="I29:I30"/>
    <mergeCell ref="Q27:Q28"/>
    <mergeCell ref="R27:R28"/>
    <mergeCell ref="S27:S28"/>
    <mergeCell ref="T27:T28"/>
    <mergeCell ref="U27:U28"/>
    <mergeCell ref="V27:V28"/>
    <mergeCell ref="W27:W28"/>
    <mergeCell ref="X27:X28"/>
    <mergeCell ref="BG31:BG32"/>
    <mergeCell ref="AK29:AK30"/>
    <mergeCell ref="AL29:AL30"/>
    <mergeCell ref="AO27:AO28"/>
    <mergeCell ref="AP27:AP28"/>
    <mergeCell ref="AQ27:AQ28"/>
    <mergeCell ref="AR27:AR28"/>
    <mergeCell ref="AS27:AS28"/>
    <mergeCell ref="AT27:AT28"/>
    <mergeCell ref="AU27:AU28"/>
    <mergeCell ref="AV27:AV28"/>
    <mergeCell ref="AW27:AW28"/>
    <mergeCell ref="AX27:AX28"/>
    <mergeCell ref="AY27:AY28"/>
    <mergeCell ref="AT29:AT30"/>
    <mergeCell ref="AU29:AU30"/>
    <mergeCell ref="AV29:AV30"/>
    <mergeCell ref="AW29:AW30"/>
    <mergeCell ref="AX29:AX30"/>
    <mergeCell ref="AY29:AY30"/>
    <mergeCell ref="BA27:BA28"/>
    <mergeCell ref="BB27:BB28"/>
    <mergeCell ref="BC27:BC28"/>
    <mergeCell ref="BD27:BD28"/>
    <mergeCell ref="BE27:BE28"/>
    <mergeCell ref="BF27:BF28"/>
    <mergeCell ref="BG27:BG28"/>
    <mergeCell ref="AO31:AO32"/>
    <mergeCell ref="AP31:AP32"/>
    <mergeCell ref="BE31:BE32"/>
    <mergeCell ref="AT31:AT32"/>
    <mergeCell ref="AU31:AU32"/>
    <mergeCell ref="S33:S34"/>
    <mergeCell ref="AZ29:AZ30"/>
    <mergeCell ref="BA29:BA30"/>
    <mergeCell ref="BB29:BB30"/>
    <mergeCell ref="BC29:BC30"/>
    <mergeCell ref="BD29:BD30"/>
    <mergeCell ref="BE29:BE30"/>
    <mergeCell ref="BF29:BF30"/>
    <mergeCell ref="BG29:BG30"/>
    <mergeCell ref="A31:A32"/>
    <mergeCell ref="B31:B32"/>
    <mergeCell ref="C31:C32"/>
    <mergeCell ref="D31:D32"/>
    <mergeCell ref="E31:E32"/>
    <mergeCell ref="F31:F32"/>
    <mergeCell ref="G31:G32"/>
    <mergeCell ref="J29:J30"/>
    <mergeCell ref="N29:N30"/>
    <mergeCell ref="Q29:Q30"/>
    <mergeCell ref="R29:R30"/>
    <mergeCell ref="S29:S30"/>
    <mergeCell ref="T29:T30"/>
    <mergeCell ref="U29:U30"/>
    <mergeCell ref="V29:V30"/>
    <mergeCell ref="W29:W30"/>
    <mergeCell ref="X29:X30"/>
    <mergeCell ref="Y29:Y30"/>
    <mergeCell ref="AG29:AG30"/>
    <mergeCell ref="AH29:AH30"/>
    <mergeCell ref="AI29:AI30"/>
    <mergeCell ref="AJ29:AJ30"/>
    <mergeCell ref="BF31:BF32"/>
    <mergeCell ref="A33:A34"/>
    <mergeCell ref="B33:B34"/>
    <mergeCell ref="C33:C34"/>
    <mergeCell ref="D33:D34"/>
    <mergeCell ref="E33:E34"/>
    <mergeCell ref="AE31:AE32"/>
    <mergeCell ref="AM29:AM30"/>
    <mergeCell ref="AN29:AN30"/>
    <mergeCell ref="AO29:AO30"/>
    <mergeCell ref="AP29:AP30"/>
    <mergeCell ref="AQ29:AQ30"/>
    <mergeCell ref="AR29:AR30"/>
    <mergeCell ref="AS29:AS30"/>
    <mergeCell ref="Z29:Z30"/>
    <mergeCell ref="AA29:AA30"/>
    <mergeCell ref="AB29:AB30"/>
    <mergeCell ref="AC29:AC30"/>
    <mergeCell ref="AD29:AD30"/>
    <mergeCell ref="AE29:AE30"/>
    <mergeCell ref="AF29:AF30"/>
    <mergeCell ref="AB31:AB32"/>
    <mergeCell ref="AC31:AC32"/>
    <mergeCell ref="AD31:AD32"/>
    <mergeCell ref="F33:F34"/>
    <mergeCell ref="G33:G34"/>
    <mergeCell ref="H33:H34"/>
    <mergeCell ref="I33:I34"/>
    <mergeCell ref="J33:J34"/>
    <mergeCell ref="N33:N34"/>
    <mergeCell ref="Q33:Q34"/>
    <mergeCell ref="AQ31:AQ32"/>
    <mergeCell ref="AO33:AO34"/>
    <mergeCell ref="H31:H32"/>
    <mergeCell ref="I31:I32"/>
    <mergeCell ref="J31:J32"/>
    <mergeCell ref="N31:N32"/>
    <mergeCell ref="Q31:Q32"/>
    <mergeCell ref="R31:R32"/>
    <mergeCell ref="S31:S32"/>
    <mergeCell ref="T31:T32"/>
    <mergeCell ref="U31:U32"/>
    <mergeCell ref="V31:V32"/>
    <mergeCell ref="W31:W32"/>
    <mergeCell ref="X31:X32"/>
    <mergeCell ref="BC31:BC32"/>
    <mergeCell ref="BD31:BD32"/>
    <mergeCell ref="T33:T34"/>
    <mergeCell ref="U33:U34"/>
    <mergeCell ref="V33:V34"/>
    <mergeCell ref="AF31:AF32"/>
    <mergeCell ref="AG31:AG32"/>
    <mergeCell ref="AH31:AH32"/>
    <mergeCell ref="AI31:AI32"/>
    <mergeCell ref="AJ31:AJ32"/>
    <mergeCell ref="Y31:Y32"/>
    <mergeCell ref="Z31:Z32"/>
    <mergeCell ref="AA31:AA32"/>
    <mergeCell ref="AK31:AK32"/>
    <mergeCell ref="AL31:AL32"/>
    <mergeCell ref="AM31:AM32"/>
    <mergeCell ref="AN31:AN32"/>
    <mergeCell ref="AR31:AR32"/>
    <mergeCell ref="AS31:AS32"/>
    <mergeCell ref="R33:R34"/>
    <mergeCell ref="AV31:AV32"/>
    <mergeCell ref="AW31:AW32"/>
    <mergeCell ref="AX31:AX32"/>
    <mergeCell ref="AY31:AY32"/>
    <mergeCell ref="AZ31:AZ32"/>
    <mergeCell ref="BA31:BA32"/>
    <mergeCell ref="BB31:BB32"/>
    <mergeCell ref="AV33:AV34"/>
    <mergeCell ref="AW33:AW34"/>
    <mergeCell ref="AX33:AX34"/>
    <mergeCell ref="AY33:AY34"/>
    <mergeCell ref="AZ33:AZ34"/>
    <mergeCell ref="BA33:BA34"/>
    <mergeCell ref="BB33:BB34"/>
    <mergeCell ref="BC33:BC34"/>
    <mergeCell ref="BD33:BD34"/>
    <mergeCell ref="BE33:BE34"/>
    <mergeCell ref="BF33:BF34"/>
    <mergeCell ref="BG33:BG34"/>
    <mergeCell ref="A35:A36"/>
    <mergeCell ref="B35:B36"/>
    <mergeCell ref="C35:C36"/>
    <mergeCell ref="D35:D36"/>
    <mergeCell ref="E35:E36"/>
    <mergeCell ref="F35:F36"/>
    <mergeCell ref="G35:G36"/>
    <mergeCell ref="H35:H36"/>
    <mergeCell ref="I35:I36"/>
    <mergeCell ref="J35:J36"/>
    <mergeCell ref="N35:N36"/>
    <mergeCell ref="Q35:Q36"/>
    <mergeCell ref="R35:R36"/>
    <mergeCell ref="S35:S36"/>
    <mergeCell ref="T35:T36"/>
    <mergeCell ref="W33:W34"/>
    <mergeCell ref="X33:X34"/>
    <mergeCell ref="Y33:Y34"/>
    <mergeCell ref="Z33:Z34"/>
    <mergeCell ref="AA33:AA34"/>
    <mergeCell ref="AA35:AA36"/>
    <mergeCell ref="AB35:AB36"/>
    <mergeCell ref="AC35:AC36"/>
    <mergeCell ref="AD35:AD36"/>
    <mergeCell ref="AE35:AE36"/>
    <mergeCell ref="AF35:AF36"/>
    <mergeCell ref="AQ33:AQ34"/>
    <mergeCell ref="AR33:AR34"/>
    <mergeCell ref="AQ35:AQ36"/>
    <mergeCell ref="AU33:AU34"/>
    <mergeCell ref="AB33:AB34"/>
    <mergeCell ref="AC33:AC34"/>
    <mergeCell ref="AD33:AD34"/>
    <mergeCell ref="AE33:AE34"/>
    <mergeCell ref="AF33:AF34"/>
    <mergeCell ref="AG33:AG34"/>
    <mergeCell ref="AH33:AH34"/>
    <mergeCell ref="AS33:AS34"/>
    <mergeCell ref="AT33:AT34"/>
    <mergeCell ref="AI33:AI34"/>
    <mergeCell ref="AJ33:AJ34"/>
    <mergeCell ref="AK33:AK34"/>
    <mergeCell ref="AL33:AL34"/>
    <mergeCell ref="AM33:AM34"/>
    <mergeCell ref="AN33:AN34"/>
    <mergeCell ref="AU35:AU36"/>
    <mergeCell ref="AP33:AP34"/>
    <mergeCell ref="AM35:AM36"/>
    <mergeCell ref="AN35:AN36"/>
    <mergeCell ref="AO35:AO36"/>
    <mergeCell ref="AP35:AP36"/>
    <mergeCell ref="BA35:BA36"/>
    <mergeCell ref="BB35:BB36"/>
    <mergeCell ref="BC35:BC36"/>
    <mergeCell ref="BD35:BD36"/>
    <mergeCell ref="BE35:BE36"/>
    <mergeCell ref="BF35:BF36"/>
    <mergeCell ref="BG35:BG36"/>
    <mergeCell ref="A37:A38"/>
    <mergeCell ref="B37:B38"/>
    <mergeCell ref="C37:C38"/>
    <mergeCell ref="D37:D38"/>
    <mergeCell ref="E37:E38"/>
    <mergeCell ref="F37:F38"/>
    <mergeCell ref="G37:G38"/>
    <mergeCell ref="H37:H38"/>
    <mergeCell ref="I37:I38"/>
    <mergeCell ref="J37:J38"/>
    <mergeCell ref="N37:N38"/>
    <mergeCell ref="Q37:Q38"/>
    <mergeCell ref="R37:R38"/>
    <mergeCell ref="U35:U36"/>
    <mergeCell ref="V35:V36"/>
    <mergeCell ref="W35:W36"/>
    <mergeCell ref="X35:X36"/>
    <mergeCell ref="Y35:Y36"/>
    <mergeCell ref="Z35:Z36"/>
    <mergeCell ref="AB37:AB38"/>
    <mergeCell ref="AG35:AG36"/>
    <mergeCell ref="AH35:AH36"/>
    <mergeCell ref="AI35:AI36"/>
    <mergeCell ref="AJ35:AJ36"/>
    <mergeCell ref="AK35:AK36"/>
    <mergeCell ref="AO37:AO38"/>
    <mergeCell ref="AP37:AP38"/>
    <mergeCell ref="AS35:AS36"/>
    <mergeCell ref="AT35:AT36"/>
    <mergeCell ref="AV37:AV38"/>
    <mergeCell ref="AV35:AV36"/>
    <mergeCell ref="AW35:AW36"/>
    <mergeCell ref="AX35:AX36"/>
    <mergeCell ref="AY35:AY36"/>
    <mergeCell ref="AZ35:AZ36"/>
    <mergeCell ref="AL35:AL36"/>
    <mergeCell ref="AK37:AK38"/>
    <mergeCell ref="AL37:AL38"/>
    <mergeCell ref="AM37:AM38"/>
    <mergeCell ref="AN37:AN38"/>
    <mergeCell ref="AR35:AR36"/>
    <mergeCell ref="AQ37:AQ38"/>
    <mergeCell ref="AR37:AR38"/>
    <mergeCell ref="AS37:AS38"/>
    <mergeCell ref="AT37:AT38"/>
    <mergeCell ref="AU37:AU38"/>
    <mergeCell ref="BB39:BB40"/>
    <mergeCell ref="BB37:BB38"/>
    <mergeCell ref="BC37:BC38"/>
    <mergeCell ref="BC39:BC40"/>
    <mergeCell ref="BD39:BD40"/>
    <mergeCell ref="BE39:BE40"/>
    <mergeCell ref="BF39:BF40"/>
    <mergeCell ref="BG39:BG40"/>
    <mergeCell ref="BD37:BD38"/>
    <mergeCell ref="BE37:BE38"/>
    <mergeCell ref="BF37:BF38"/>
    <mergeCell ref="BG37:BG38"/>
    <mergeCell ref="A39:A40"/>
    <mergeCell ref="B39:B40"/>
    <mergeCell ref="C39:C40"/>
    <mergeCell ref="D39:D40"/>
    <mergeCell ref="E39:E40"/>
    <mergeCell ref="F39:F40"/>
    <mergeCell ref="G39:G40"/>
    <mergeCell ref="H39:H40"/>
    <mergeCell ref="I39:I40"/>
    <mergeCell ref="J39:J40"/>
    <mergeCell ref="N39:N40"/>
    <mergeCell ref="S37:S38"/>
    <mergeCell ref="T37:T38"/>
    <mergeCell ref="U37:U38"/>
    <mergeCell ref="V37:V38"/>
    <mergeCell ref="W37:W38"/>
    <mergeCell ref="X37:X38"/>
    <mergeCell ref="Y37:Y38"/>
    <mergeCell ref="Z37:Z38"/>
    <mergeCell ref="AA37:AA38"/>
    <mergeCell ref="G41:G42"/>
    <mergeCell ref="H41:H42"/>
    <mergeCell ref="I41:I42"/>
    <mergeCell ref="Q39:Q40"/>
    <mergeCell ref="R39:R40"/>
    <mergeCell ref="S39:S40"/>
    <mergeCell ref="T39:T40"/>
    <mergeCell ref="U39:U40"/>
    <mergeCell ref="V39:V40"/>
    <mergeCell ref="W39:W40"/>
    <mergeCell ref="X39:X40"/>
    <mergeCell ref="AW39:AW40"/>
    <mergeCell ref="AW37:AW38"/>
    <mergeCell ref="AX37:AX38"/>
    <mergeCell ref="AY37:AY38"/>
    <mergeCell ref="AZ37:AZ38"/>
    <mergeCell ref="BA37:BA38"/>
    <mergeCell ref="AY39:AY40"/>
    <mergeCell ref="AZ39:AZ40"/>
    <mergeCell ref="BA39:BA40"/>
    <mergeCell ref="AC39:AC40"/>
    <mergeCell ref="AC37:AC38"/>
    <mergeCell ref="AD37:AD38"/>
    <mergeCell ref="AE37:AE38"/>
    <mergeCell ref="AF37:AF38"/>
    <mergeCell ref="AG37:AG38"/>
    <mergeCell ref="AH37:AH38"/>
    <mergeCell ref="AI37:AI38"/>
    <mergeCell ref="AJ37:AJ38"/>
    <mergeCell ref="Y39:Y40"/>
    <mergeCell ref="Z39:Z40"/>
    <mergeCell ref="AA39:AA40"/>
    <mergeCell ref="AB39:AB40"/>
    <mergeCell ref="AD41:AD42"/>
    <mergeCell ref="AD39:AD40"/>
    <mergeCell ref="AE41:AE42"/>
    <mergeCell ref="AF41:AF42"/>
    <mergeCell ref="AI39:AI40"/>
    <mergeCell ref="AJ39:AJ40"/>
    <mergeCell ref="AK39:AK40"/>
    <mergeCell ref="AL39:AL40"/>
    <mergeCell ref="AK41:AK42"/>
    <mergeCell ref="AL41:AL42"/>
    <mergeCell ref="AO39:AO40"/>
    <mergeCell ref="AP39:AP40"/>
    <mergeCell ref="AQ39:AQ40"/>
    <mergeCell ref="AR39:AR40"/>
    <mergeCell ref="AS39:AS40"/>
    <mergeCell ref="AT39:AT40"/>
    <mergeCell ref="AU39:AU40"/>
    <mergeCell ref="AV39:AV40"/>
    <mergeCell ref="AX41:AX42"/>
    <mergeCell ref="AH41:AH42"/>
    <mergeCell ref="AI41:AI42"/>
    <mergeCell ref="AJ41:AJ42"/>
    <mergeCell ref="AX39:AX40"/>
    <mergeCell ref="AM39:AM40"/>
    <mergeCell ref="AN39:AN40"/>
    <mergeCell ref="AE39:AE40"/>
    <mergeCell ref="AF39:AF40"/>
    <mergeCell ref="AG39:AG40"/>
    <mergeCell ref="AH39:AH40"/>
    <mergeCell ref="AY41:AY42"/>
    <mergeCell ref="AN41:AN42"/>
    <mergeCell ref="AO41:AO42"/>
    <mergeCell ref="AP41:AP42"/>
    <mergeCell ref="AQ41:AQ42"/>
    <mergeCell ref="AR41:AR42"/>
    <mergeCell ref="AS41:AS42"/>
    <mergeCell ref="AT41:AT42"/>
    <mergeCell ref="AU41:AU42"/>
    <mergeCell ref="AV41:AV42"/>
    <mergeCell ref="AW41:AW42"/>
    <mergeCell ref="BF41:BF42"/>
    <mergeCell ref="BG41:BG42"/>
    <mergeCell ref="A43:A44"/>
    <mergeCell ref="B43:B44"/>
    <mergeCell ref="C43:C44"/>
    <mergeCell ref="D43:D44"/>
    <mergeCell ref="E43:E44"/>
    <mergeCell ref="F43:F44"/>
    <mergeCell ref="G43:G44"/>
    <mergeCell ref="J41:J42"/>
    <mergeCell ref="N41:N42"/>
    <mergeCell ref="Q41:Q42"/>
    <mergeCell ref="R41:R42"/>
    <mergeCell ref="S41:S42"/>
    <mergeCell ref="T41:T42"/>
    <mergeCell ref="U41:U42"/>
    <mergeCell ref="V41:V42"/>
    <mergeCell ref="W41:W42"/>
    <mergeCell ref="X41:X42"/>
    <mergeCell ref="Y41:Y42"/>
    <mergeCell ref="Z41:Z42"/>
    <mergeCell ref="AA41:AA42"/>
    <mergeCell ref="AB41:AB42"/>
    <mergeCell ref="AC41:AC42"/>
    <mergeCell ref="AG41:AG42"/>
    <mergeCell ref="AM41:AM42"/>
    <mergeCell ref="A41:A42"/>
    <mergeCell ref="B41:B42"/>
    <mergeCell ref="C41:C42"/>
    <mergeCell ref="D41:D42"/>
    <mergeCell ref="E41:E42"/>
    <mergeCell ref="F41:F42"/>
    <mergeCell ref="AS43:AS44"/>
    <mergeCell ref="AT43:AT44"/>
    <mergeCell ref="AU43:AU44"/>
    <mergeCell ref="AV43:AV44"/>
    <mergeCell ref="AW43:AW44"/>
    <mergeCell ref="AL43:AL44"/>
    <mergeCell ref="AM43:AM44"/>
    <mergeCell ref="AN43:AN44"/>
    <mergeCell ref="AO43:AO44"/>
    <mergeCell ref="AP43:AP44"/>
    <mergeCell ref="AQ43:AQ44"/>
    <mergeCell ref="BA43:BA44"/>
    <mergeCell ref="BB43:BB44"/>
    <mergeCell ref="BC43:BC44"/>
    <mergeCell ref="BD43:BD44"/>
    <mergeCell ref="BE43:BE44"/>
    <mergeCell ref="AZ41:AZ42"/>
    <mergeCell ref="BA41:BA42"/>
    <mergeCell ref="BB41:BB42"/>
    <mergeCell ref="BC41:BC42"/>
    <mergeCell ref="BD41:BD42"/>
    <mergeCell ref="BE41:BE42"/>
    <mergeCell ref="BF43:BF44"/>
    <mergeCell ref="BG43:BG44"/>
    <mergeCell ref="A45:A46"/>
    <mergeCell ref="B45:B46"/>
    <mergeCell ref="C45:C46"/>
    <mergeCell ref="D45:D46"/>
    <mergeCell ref="E45:E46"/>
    <mergeCell ref="H43:H44"/>
    <mergeCell ref="I43:I44"/>
    <mergeCell ref="J43:J44"/>
    <mergeCell ref="N43:N44"/>
    <mergeCell ref="Q43:Q44"/>
    <mergeCell ref="R43:R44"/>
    <mergeCell ref="S43:S44"/>
    <mergeCell ref="T43:T44"/>
    <mergeCell ref="U43:U44"/>
    <mergeCell ref="V43:V44"/>
    <mergeCell ref="W43:W44"/>
    <mergeCell ref="AE43:AE44"/>
    <mergeCell ref="AF43:AF44"/>
    <mergeCell ref="AG43:AG44"/>
    <mergeCell ref="AH43:AH44"/>
    <mergeCell ref="W45:W46"/>
    <mergeCell ref="X45:X46"/>
    <mergeCell ref="AI43:AI44"/>
    <mergeCell ref="AJ43:AJ44"/>
    <mergeCell ref="AK43:AK44"/>
    <mergeCell ref="X43:X44"/>
    <mergeCell ref="Y43:Y44"/>
    <mergeCell ref="Z43:Z44"/>
    <mergeCell ref="AA43:AA44"/>
    <mergeCell ref="AB43:AB44"/>
    <mergeCell ref="AC43:AC44"/>
    <mergeCell ref="AD43:AD44"/>
    <mergeCell ref="AX43:AX44"/>
    <mergeCell ref="AY43:AY44"/>
    <mergeCell ref="AZ43:AZ44"/>
    <mergeCell ref="AY45:AY46"/>
    <mergeCell ref="AZ45:AZ46"/>
    <mergeCell ref="AO45:AO46"/>
    <mergeCell ref="AP45:AP46"/>
    <mergeCell ref="AQ45:AQ46"/>
    <mergeCell ref="AR45:AR46"/>
    <mergeCell ref="AS45:AS46"/>
    <mergeCell ref="AT45:AT46"/>
    <mergeCell ref="AU45:AU46"/>
    <mergeCell ref="AV45:AV46"/>
    <mergeCell ref="F45:F46"/>
    <mergeCell ref="G45:G46"/>
    <mergeCell ref="H45:H46"/>
    <mergeCell ref="I45:I46"/>
    <mergeCell ref="J45:J46"/>
    <mergeCell ref="N45:N46"/>
    <mergeCell ref="Q45:Q46"/>
    <mergeCell ref="R45:R46"/>
    <mergeCell ref="S45:S46"/>
    <mergeCell ref="T45:T46"/>
    <mergeCell ref="U45:U46"/>
    <mergeCell ref="V45:V46"/>
    <mergeCell ref="Y45:Y46"/>
    <mergeCell ref="Z45:Z46"/>
    <mergeCell ref="AA45:AA46"/>
    <mergeCell ref="AB45:AB46"/>
    <mergeCell ref="AR43:AR44"/>
    <mergeCell ref="BA45:BA46"/>
    <mergeCell ref="BB45:BB46"/>
    <mergeCell ref="BC45:BC46"/>
    <mergeCell ref="BD45:BD46"/>
    <mergeCell ref="BE45:BE46"/>
    <mergeCell ref="BF45:BF46"/>
    <mergeCell ref="BG45:BG46"/>
    <mergeCell ref="A47:I47"/>
    <mergeCell ref="A48:A49"/>
    <mergeCell ref="B48:B49"/>
    <mergeCell ref="C48:C49"/>
    <mergeCell ref="D48:D49"/>
    <mergeCell ref="E48:E49"/>
    <mergeCell ref="F48:F49"/>
    <mergeCell ref="G48:G49"/>
    <mergeCell ref="H48:H49"/>
    <mergeCell ref="I48:I49"/>
    <mergeCell ref="J48:J49"/>
    <mergeCell ref="N48:N49"/>
    <mergeCell ref="Q48:Q49"/>
    <mergeCell ref="R48:R49"/>
    <mergeCell ref="S48:S49"/>
    <mergeCell ref="T48:T49"/>
    <mergeCell ref="U48:U49"/>
    <mergeCell ref="V48:V49"/>
    <mergeCell ref="W48:W49"/>
    <mergeCell ref="X48:X49"/>
    <mergeCell ref="Y48:Y49"/>
    <mergeCell ref="AC45:AC46"/>
    <mergeCell ref="AD45:AD46"/>
    <mergeCell ref="AE45:AE46"/>
    <mergeCell ref="AF45:AF46"/>
    <mergeCell ref="Z48:Z49"/>
    <mergeCell ref="AA48:AA49"/>
    <mergeCell ref="AB48:AB49"/>
    <mergeCell ref="AC48:AC49"/>
    <mergeCell ref="AD48:AD49"/>
    <mergeCell ref="AE48:AE49"/>
    <mergeCell ref="AF48:AF49"/>
    <mergeCell ref="AG48:AG49"/>
    <mergeCell ref="AH48:AH49"/>
    <mergeCell ref="AI48:AI49"/>
    <mergeCell ref="AJ48:AJ49"/>
    <mergeCell ref="AK48:AK49"/>
    <mergeCell ref="AW45:AW46"/>
    <mergeCell ref="AX45:AX46"/>
    <mergeCell ref="AM48:AM49"/>
    <mergeCell ref="AN48:AN49"/>
    <mergeCell ref="AO48:AO49"/>
    <mergeCell ref="AP48:AP49"/>
    <mergeCell ref="AQ48:AQ49"/>
    <mergeCell ref="AX48:AX49"/>
    <mergeCell ref="AW48:AW49"/>
    <mergeCell ref="AG45:AG46"/>
    <mergeCell ref="AH45:AH46"/>
    <mergeCell ref="AI45:AI46"/>
    <mergeCell ref="AJ45:AJ46"/>
    <mergeCell ref="AK45:AK46"/>
    <mergeCell ref="AL45:AL46"/>
    <mergeCell ref="AM45:AM46"/>
    <mergeCell ref="AN45:AN46"/>
    <mergeCell ref="AL48:AL49"/>
    <mergeCell ref="BD50:BD51"/>
    <mergeCell ref="BE50:BE51"/>
    <mergeCell ref="BF50:BF51"/>
    <mergeCell ref="AR50:AR51"/>
    <mergeCell ref="AS50:AS51"/>
    <mergeCell ref="AT50:AT51"/>
    <mergeCell ref="AU50:AU51"/>
    <mergeCell ref="A50:A51"/>
    <mergeCell ref="B50:B51"/>
    <mergeCell ref="C50:C51"/>
    <mergeCell ref="D50:D51"/>
    <mergeCell ref="E50:E51"/>
    <mergeCell ref="F50:F51"/>
    <mergeCell ref="U50:U51"/>
    <mergeCell ref="V50:V51"/>
    <mergeCell ref="W50:W51"/>
    <mergeCell ref="G50:G51"/>
    <mergeCell ref="H50:H51"/>
    <mergeCell ref="I50:I51"/>
    <mergeCell ref="J50:J51"/>
    <mergeCell ref="N50:N51"/>
    <mergeCell ref="Q50:Q51"/>
    <mergeCell ref="R50:R51"/>
    <mergeCell ref="AJ50:AJ51"/>
    <mergeCell ref="AK50:AK51"/>
    <mergeCell ref="AL50:AL51"/>
    <mergeCell ref="AM50:AM51"/>
    <mergeCell ref="AN50:AN51"/>
    <mergeCell ref="AO50:AO51"/>
    <mergeCell ref="S50:S51"/>
    <mergeCell ref="T50:T51"/>
    <mergeCell ref="F52:F53"/>
    <mergeCell ref="G52:G53"/>
    <mergeCell ref="H52:H53"/>
    <mergeCell ref="I52:I53"/>
    <mergeCell ref="J52:J53"/>
    <mergeCell ref="N52:N53"/>
    <mergeCell ref="Q52:Q53"/>
    <mergeCell ref="BG50:BG51"/>
    <mergeCell ref="AV50:AV51"/>
    <mergeCell ref="AW50:AW51"/>
    <mergeCell ref="AX50:AX51"/>
    <mergeCell ref="AY50:AY51"/>
    <mergeCell ref="AZ50:AZ51"/>
    <mergeCell ref="BA50:BA51"/>
    <mergeCell ref="AP50:AP51"/>
    <mergeCell ref="AQ50:AQ51"/>
    <mergeCell ref="AY48:AY49"/>
    <mergeCell ref="AZ48:AZ49"/>
    <mergeCell ref="BA48:BA49"/>
    <mergeCell ref="BB48:BB49"/>
    <mergeCell ref="BC48:BC49"/>
    <mergeCell ref="AR48:AR49"/>
    <mergeCell ref="AS48:AS49"/>
    <mergeCell ref="AT48:AT49"/>
    <mergeCell ref="AU48:AU49"/>
    <mergeCell ref="AV48:AV49"/>
    <mergeCell ref="BD48:BD49"/>
    <mergeCell ref="BE48:BE49"/>
    <mergeCell ref="BF48:BF49"/>
    <mergeCell ref="BG48:BG49"/>
    <mergeCell ref="BB50:BB51"/>
    <mergeCell ref="BC50:BC51"/>
    <mergeCell ref="AN52:AN53"/>
    <mergeCell ref="AO52:AO53"/>
    <mergeCell ref="AD52:AD53"/>
    <mergeCell ref="AE52:AE53"/>
    <mergeCell ref="AF52:AF53"/>
    <mergeCell ref="AG52:AG53"/>
    <mergeCell ref="AH52:AH53"/>
    <mergeCell ref="AI52:AI53"/>
    <mergeCell ref="AI50:AI51"/>
    <mergeCell ref="X50:X51"/>
    <mergeCell ref="Y50:Y51"/>
    <mergeCell ref="Z50:Z51"/>
    <mergeCell ref="AA50:AA51"/>
    <mergeCell ref="AB50:AB51"/>
    <mergeCell ref="AC50:AC51"/>
    <mergeCell ref="AL52:AL53"/>
    <mergeCell ref="AM52:AM53"/>
    <mergeCell ref="AD50:AD51"/>
    <mergeCell ref="AE50:AE51"/>
    <mergeCell ref="AF50:AF51"/>
    <mergeCell ref="AG50:AG51"/>
    <mergeCell ref="AH50:AH51"/>
    <mergeCell ref="BE52:BE53"/>
    <mergeCell ref="BF52:BF53"/>
    <mergeCell ref="BG52:BG53"/>
    <mergeCell ref="A54:I54"/>
    <mergeCell ref="A55:A56"/>
    <mergeCell ref="B55:B56"/>
    <mergeCell ref="C55:C56"/>
    <mergeCell ref="D55:D56"/>
    <mergeCell ref="E55:E56"/>
    <mergeCell ref="F55:F56"/>
    <mergeCell ref="G55:G56"/>
    <mergeCell ref="H55:H56"/>
    <mergeCell ref="I55:I56"/>
    <mergeCell ref="R52:R53"/>
    <mergeCell ref="S52:S53"/>
    <mergeCell ref="T52:T53"/>
    <mergeCell ref="U52:U53"/>
    <mergeCell ref="V52:V53"/>
    <mergeCell ref="W52:W53"/>
    <mergeCell ref="X52:X53"/>
    <mergeCell ref="Y52:Y53"/>
    <mergeCell ref="Z52:Z53"/>
    <mergeCell ref="AA52:AA53"/>
    <mergeCell ref="AB52:AB53"/>
    <mergeCell ref="AC52:AC53"/>
    <mergeCell ref="AJ52:AJ53"/>
    <mergeCell ref="AK52:AK53"/>
    <mergeCell ref="A52:A53"/>
    <mergeCell ref="B52:B53"/>
    <mergeCell ref="C52:C53"/>
    <mergeCell ref="D52:D53"/>
    <mergeCell ref="E52:E53"/>
    <mergeCell ref="AP52:AP53"/>
    <mergeCell ref="AQ52:AQ53"/>
    <mergeCell ref="AR52:AR53"/>
    <mergeCell ref="AS52:AS53"/>
    <mergeCell ref="AT52:AT53"/>
    <mergeCell ref="AU52:AU53"/>
    <mergeCell ref="AV52:AV53"/>
    <mergeCell ref="AW52:AW53"/>
    <mergeCell ref="AX52:AX53"/>
    <mergeCell ref="AY52:AY53"/>
    <mergeCell ref="BA55:BA56"/>
    <mergeCell ref="BB55:BB56"/>
    <mergeCell ref="BC55:BC56"/>
    <mergeCell ref="BD55:BD56"/>
    <mergeCell ref="AR55:AR56"/>
    <mergeCell ref="AZ52:AZ53"/>
    <mergeCell ref="BA52:BA53"/>
    <mergeCell ref="BB52:BB53"/>
    <mergeCell ref="BC52:BC53"/>
    <mergeCell ref="BD52:BD53"/>
    <mergeCell ref="BE55:BE56"/>
    <mergeCell ref="BF55:BF56"/>
    <mergeCell ref="BG55:BG56"/>
    <mergeCell ref="A57:A58"/>
    <mergeCell ref="B57:B58"/>
    <mergeCell ref="C57:C58"/>
    <mergeCell ref="D57:D58"/>
    <mergeCell ref="E57:E58"/>
    <mergeCell ref="F57:F58"/>
    <mergeCell ref="G57:G58"/>
    <mergeCell ref="J55:J56"/>
    <mergeCell ref="N55:N56"/>
    <mergeCell ref="Q55:Q56"/>
    <mergeCell ref="R55:R56"/>
    <mergeCell ref="S55:S56"/>
    <mergeCell ref="T55:T56"/>
    <mergeCell ref="U55:U56"/>
    <mergeCell ref="V55:V56"/>
    <mergeCell ref="W55:W56"/>
    <mergeCell ref="X55:X56"/>
    <mergeCell ref="Y55:Y56"/>
    <mergeCell ref="Z55:Z56"/>
    <mergeCell ref="AA55:AA56"/>
    <mergeCell ref="AB55:AB56"/>
    <mergeCell ref="AC55:AC56"/>
    <mergeCell ref="AD55:AD56"/>
    <mergeCell ref="AE55:AE56"/>
    <mergeCell ref="AF55:AF56"/>
    <mergeCell ref="AN55:AN56"/>
    <mergeCell ref="AO55:AO56"/>
    <mergeCell ref="AP55:AP56"/>
    <mergeCell ref="AQ55:AQ56"/>
    <mergeCell ref="AG55:AG56"/>
    <mergeCell ref="AH55:AH56"/>
    <mergeCell ref="AI55:AI56"/>
    <mergeCell ref="AJ55:AJ56"/>
    <mergeCell ref="AS55:AS56"/>
    <mergeCell ref="AT55:AT56"/>
    <mergeCell ref="AU55:AU56"/>
    <mergeCell ref="AV55:AV56"/>
    <mergeCell ref="AW55:AW56"/>
    <mergeCell ref="AX55:AX56"/>
    <mergeCell ref="AY55:AY56"/>
    <mergeCell ref="AZ55:AZ56"/>
    <mergeCell ref="AX57:AX58"/>
    <mergeCell ref="AY57:AY58"/>
    <mergeCell ref="AZ57:AZ58"/>
    <mergeCell ref="BA57:BA58"/>
    <mergeCell ref="BB57:BB58"/>
    <mergeCell ref="AQ57:AQ58"/>
    <mergeCell ref="AR57:AR58"/>
    <mergeCell ref="AS57:AS58"/>
    <mergeCell ref="AT57:AT58"/>
    <mergeCell ref="AU57:AU58"/>
    <mergeCell ref="AK55:AK56"/>
    <mergeCell ref="AL55:AL56"/>
    <mergeCell ref="AM55:AM56"/>
    <mergeCell ref="A59:A60"/>
    <mergeCell ref="B59:B60"/>
    <mergeCell ref="C59:C60"/>
    <mergeCell ref="D59:D60"/>
    <mergeCell ref="E59:E60"/>
    <mergeCell ref="AW57:AW58"/>
    <mergeCell ref="AV57:AV58"/>
    <mergeCell ref="AK57:AK58"/>
    <mergeCell ref="AL57:AL58"/>
    <mergeCell ref="AM57:AM58"/>
    <mergeCell ref="BC57:BC58"/>
    <mergeCell ref="BD57:BD58"/>
    <mergeCell ref="BE57:BE58"/>
    <mergeCell ref="BF57:BF58"/>
    <mergeCell ref="BG57:BG58"/>
    <mergeCell ref="AB57:AB58"/>
    <mergeCell ref="AC57:AC58"/>
    <mergeCell ref="AD57:AD58"/>
    <mergeCell ref="F59:F60"/>
    <mergeCell ref="G59:G60"/>
    <mergeCell ref="H59:H60"/>
    <mergeCell ref="I59:I60"/>
    <mergeCell ref="J59:J60"/>
    <mergeCell ref="N59:N60"/>
    <mergeCell ref="Y57:Y58"/>
    <mergeCell ref="Z57:Z58"/>
    <mergeCell ref="AA57:AA58"/>
    <mergeCell ref="Q59:Q60"/>
    <mergeCell ref="R59:R60"/>
    <mergeCell ref="S59:S60"/>
    <mergeCell ref="T59:T60"/>
    <mergeCell ref="U59:U60"/>
    <mergeCell ref="V59:V60"/>
    <mergeCell ref="S57:S58"/>
    <mergeCell ref="AN57:AN58"/>
    <mergeCell ref="AO57:AO58"/>
    <mergeCell ref="AP57:AP58"/>
    <mergeCell ref="AE57:AE58"/>
    <mergeCell ref="AF57:AF58"/>
    <mergeCell ref="AG57:AG58"/>
    <mergeCell ref="AH57:AH58"/>
    <mergeCell ref="AI57:AI58"/>
    <mergeCell ref="R57:R58"/>
    <mergeCell ref="AS59:AS60"/>
    <mergeCell ref="AT59:AT60"/>
    <mergeCell ref="AI59:AI60"/>
    <mergeCell ref="AJ59:AJ60"/>
    <mergeCell ref="AK59:AK60"/>
    <mergeCell ref="AL59:AL60"/>
    <mergeCell ref="AM59:AM60"/>
    <mergeCell ref="AN59:AN60"/>
    <mergeCell ref="AC59:AC60"/>
    <mergeCell ref="T57:T58"/>
    <mergeCell ref="U57:U58"/>
    <mergeCell ref="V57:V58"/>
    <mergeCell ref="W57:W58"/>
    <mergeCell ref="X57:X58"/>
    <mergeCell ref="X59:X60"/>
    <mergeCell ref="Y59:Y60"/>
    <mergeCell ref="Z59:Z60"/>
    <mergeCell ref="AA59:AA60"/>
    <mergeCell ref="AO59:AO60"/>
    <mergeCell ref="AP59:AP60"/>
    <mergeCell ref="AQ59:AQ60"/>
    <mergeCell ref="H57:H58"/>
    <mergeCell ref="I57:I58"/>
    <mergeCell ref="J57:J58"/>
    <mergeCell ref="N57:N58"/>
    <mergeCell ref="Q57:Q58"/>
    <mergeCell ref="AJ57:AJ58"/>
    <mergeCell ref="BF59:BF60"/>
    <mergeCell ref="BG59:BG60"/>
    <mergeCell ref="A61:A62"/>
    <mergeCell ref="B61:B62"/>
    <mergeCell ref="C61:C62"/>
    <mergeCell ref="D61:D62"/>
    <mergeCell ref="E61:E62"/>
    <mergeCell ref="F61:F62"/>
    <mergeCell ref="G61:G62"/>
    <mergeCell ref="H61:H62"/>
    <mergeCell ref="I61:I62"/>
    <mergeCell ref="AB59:AB60"/>
    <mergeCell ref="J61:J62"/>
    <mergeCell ref="N61:N62"/>
    <mergeCell ref="Q61:Q62"/>
    <mergeCell ref="R61:R62"/>
    <mergeCell ref="S61:S62"/>
    <mergeCell ref="T61:T62"/>
    <mergeCell ref="AA61:AA62"/>
    <mergeCell ref="AB61:AB62"/>
    <mergeCell ref="AD59:AD60"/>
    <mergeCell ref="AE59:AE60"/>
    <mergeCell ref="AF59:AF60"/>
    <mergeCell ref="AG59:AG60"/>
    <mergeCell ref="AH59:AH60"/>
    <mergeCell ref="W59:W60"/>
    <mergeCell ref="AR59:AR60"/>
    <mergeCell ref="AQ61:AQ62"/>
    <mergeCell ref="AR61:AR62"/>
    <mergeCell ref="AU59:AU60"/>
    <mergeCell ref="AV59:AV60"/>
    <mergeCell ref="AW59:AW60"/>
    <mergeCell ref="AX59:AX60"/>
    <mergeCell ref="AY59:AY60"/>
    <mergeCell ref="AZ59:AZ60"/>
    <mergeCell ref="BA59:BA60"/>
    <mergeCell ref="BB59:BB60"/>
    <mergeCell ref="BC59:BC60"/>
    <mergeCell ref="BD59:BD60"/>
    <mergeCell ref="BE59:BE60"/>
    <mergeCell ref="BA61:BA62"/>
    <mergeCell ref="BB61:BB62"/>
    <mergeCell ref="BC61:BC62"/>
    <mergeCell ref="BD61:BD62"/>
    <mergeCell ref="BE61:BE62"/>
    <mergeCell ref="BB63:BB64"/>
    <mergeCell ref="AL63:AL64"/>
    <mergeCell ref="AM63:AM64"/>
    <mergeCell ref="AN63:AN64"/>
    <mergeCell ref="BF61:BF62"/>
    <mergeCell ref="BG61:BG62"/>
    <mergeCell ref="A63:A64"/>
    <mergeCell ref="B63:B64"/>
    <mergeCell ref="C63:C64"/>
    <mergeCell ref="D63:D64"/>
    <mergeCell ref="E63:E64"/>
    <mergeCell ref="F63:F64"/>
    <mergeCell ref="G63:G64"/>
    <mergeCell ref="H63:H64"/>
    <mergeCell ref="I63:I64"/>
    <mergeCell ref="J63:J64"/>
    <mergeCell ref="N63:N64"/>
    <mergeCell ref="Q63:Q64"/>
    <mergeCell ref="R63:R64"/>
    <mergeCell ref="AC61:AC62"/>
    <mergeCell ref="AD61:AD62"/>
    <mergeCell ref="AE61:AE62"/>
    <mergeCell ref="AF61:AF62"/>
    <mergeCell ref="U61:U62"/>
    <mergeCell ref="V61:V62"/>
    <mergeCell ref="W61:W62"/>
    <mergeCell ref="X61:X62"/>
    <mergeCell ref="Y61:Y62"/>
    <mergeCell ref="Z61:Z62"/>
    <mergeCell ref="AG61:AG62"/>
    <mergeCell ref="AH61:AH62"/>
    <mergeCell ref="AH63:AH64"/>
    <mergeCell ref="AP61:AP62"/>
    <mergeCell ref="AO63:AO64"/>
    <mergeCell ref="AP63:AP64"/>
    <mergeCell ref="AS61:AS62"/>
    <mergeCell ref="AT61:AT62"/>
    <mergeCell ref="AU61:AU62"/>
    <mergeCell ref="AV61:AV62"/>
    <mergeCell ref="AW61:AW62"/>
    <mergeCell ref="AX61:AX62"/>
    <mergeCell ref="AY61:AY62"/>
    <mergeCell ref="AZ61:AZ62"/>
    <mergeCell ref="AI61:AI62"/>
    <mergeCell ref="AJ61:AJ62"/>
    <mergeCell ref="AK61:AK62"/>
    <mergeCell ref="AL61:AL62"/>
    <mergeCell ref="AI63:AI64"/>
    <mergeCell ref="AJ63:AJ64"/>
    <mergeCell ref="AM61:AM62"/>
    <mergeCell ref="AN61:AN62"/>
    <mergeCell ref="AQ63:AQ64"/>
    <mergeCell ref="AR63:AR64"/>
    <mergeCell ref="AS63:AS64"/>
    <mergeCell ref="AT63:AT64"/>
    <mergeCell ref="AU63:AU64"/>
    <mergeCell ref="AV63:AV64"/>
    <mergeCell ref="AW63:AW64"/>
    <mergeCell ref="AX63:AX64"/>
    <mergeCell ref="AY63:AY64"/>
    <mergeCell ref="AZ63:AZ64"/>
    <mergeCell ref="S63:S64"/>
    <mergeCell ref="T63:T64"/>
    <mergeCell ref="U63:U64"/>
    <mergeCell ref="V63:V64"/>
    <mergeCell ref="W63:W64"/>
    <mergeCell ref="X63:X64"/>
    <mergeCell ref="Y63:Y64"/>
    <mergeCell ref="Z63:Z64"/>
    <mergeCell ref="AA63:AA64"/>
    <mergeCell ref="AB63:AB64"/>
    <mergeCell ref="AC63:AC64"/>
    <mergeCell ref="AD63:AD64"/>
    <mergeCell ref="AE63:AE64"/>
    <mergeCell ref="AF63:AF64"/>
    <mergeCell ref="AG63:AG64"/>
    <mergeCell ref="AK63:AK64"/>
    <mergeCell ref="AO61:AO62"/>
    <mergeCell ref="BA63:BA64"/>
    <mergeCell ref="BF65:BF66"/>
    <mergeCell ref="BG65:BG66"/>
    <mergeCell ref="A67:I67"/>
    <mergeCell ref="A68:I68"/>
    <mergeCell ref="AA65:AA66"/>
    <mergeCell ref="AB65:AB66"/>
    <mergeCell ref="AC65:AC66"/>
    <mergeCell ref="AD65:AD66"/>
    <mergeCell ref="AE65:AE66"/>
    <mergeCell ref="AF65:AF66"/>
    <mergeCell ref="AG65:AG66"/>
    <mergeCell ref="AH65:AH66"/>
    <mergeCell ref="AI65:AI66"/>
    <mergeCell ref="AJ65:AJ66"/>
    <mergeCell ref="AK65:AK66"/>
    <mergeCell ref="AL65:AL66"/>
    <mergeCell ref="BC63:BC64"/>
    <mergeCell ref="BD63:BD64"/>
    <mergeCell ref="BE63:BE64"/>
    <mergeCell ref="BF63:BF64"/>
    <mergeCell ref="BG63:BG64"/>
    <mergeCell ref="BD65:BD66"/>
    <mergeCell ref="BE65:BE66"/>
    <mergeCell ref="AO65:AO66"/>
    <mergeCell ref="AP65:AP66"/>
    <mergeCell ref="AQ65:AQ66"/>
    <mergeCell ref="AR65:AR66"/>
    <mergeCell ref="AS65:AS66"/>
    <mergeCell ref="AT65:AT66"/>
    <mergeCell ref="AU65:AU66"/>
    <mergeCell ref="AV65:AV66"/>
    <mergeCell ref="A69:O69"/>
    <mergeCell ref="A70:O70"/>
    <mergeCell ref="S71:S72"/>
    <mergeCell ref="T71:T72"/>
    <mergeCell ref="U71:U72"/>
    <mergeCell ref="V71:V72"/>
    <mergeCell ref="W71:W72"/>
    <mergeCell ref="Q65:Q66"/>
    <mergeCell ref="R65:R66"/>
    <mergeCell ref="S65:S66"/>
    <mergeCell ref="T65:T66"/>
    <mergeCell ref="U65:U66"/>
    <mergeCell ref="V65:V66"/>
    <mergeCell ref="W65:W66"/>
    <mergeCell ref="X65:X66"/>
    <mergeCell ref="Y65:Y66"/>
    <mergeCell ref="Z65:Z66"/>
    <mergeCell ref="A65:A66"/>
    <mergeCell ref="B65:B66"/>
    <mergeCell ref="C65:C66"/>
    <mergeCell ref="D65:D66"/>
    <mergeCell ref="E65:E66"/>
    <mergeCell ref="F65:F66"/>
    <mergeCell ref="G65:G66"/>
    <mergeCell ref="H65:H66"/>
    <mergeCell ref="I65:I66"/>
    <mergeCell ref="J65:J66"/>
    <mergeCell ref="N65:N66"/>
    <mergeCell ref="X71:X72"/>
    <mergeCell ref="Y71:Y72"/>
    <mergeCell ref="Z71:Z72"/>
    <mergeCell ref="AW65:AW66"/>
    <mergeCell ref="AX65:AX66"/>
    <mergeCell ref="AY65:AY66"/>
    <mergeCell ref="AZ65:AZ66"/>
    <mergeCell ref="BA65:BA66"/>
    <mergeCell ref="BB65:BB66"/>
    <mergeCell ref="BC65:BC66"/>
    <mergeCell ref="AJ71:AJ72"/>
    <mergeCell ref="AK71:AK72"/>
    <mergeCell ref="AL71:AL72"/>
    <mergeCell ref="AM71:AM72"/>
    <mergeCell ref="AN71:AN72"/>
    <mergeCell ref="AO71:AO72"/>
    <mergeCell ref="BF71:BF72"/>
    <mergeCell ref="BG71:BG72"/>
    <mergeCell ref="AV71:AV72"/>
    <mergeCell ref="AW71:AW72"/>
    <mergeCell ref="AX71:AX72"/>
    <mergeCell ref="AY71:AY72"/>
    <mergeCell ref="AZ71:AZ72"/>
    <mergeCell ref="BA71:BA72"/>
    <mergeCell ref="BB71:BB72"/>
    <mergeCell ref="BC71:BC72"/>
    <mergeCell ref="AT71:AT72"/>
    <mergeCell ref="AU71:AU72"/>
    <mergeCell ref="AM65:AM66"/>
    <mergeCell ref="AN65:AN66"/>
    <mergeCell ref="AR71:AR72"/>
    <mergeCell ref="AS71:AS72"/>
    <mergeCell ref="AA71:AA72"/>
    <mergeCell ref="AB71:AB72"/>
    <mergeCell ref="AC71:AC72"/>
    <mergeCell ref="AD71:AD72"/>
    <mergeCell ref="AE71:AE72"/>
    <mergeCell ref="AF71:AF72"/>
    <mergeCell ref="AG71:AG72"/>
    <mergeCell ref="AH71:AH72"/>
    <mergeCell ref="AI71:AI72"/>
    <mergeCell ref="BD71:BD72"/>
    <mergeCell ref="BE71:BE72"/>
    <mergeCell ref="AP71:AP72"/>
    <mergeCell ref="AQ71:AQ72"/>
    <mergeCell ref="A73:A74"/>
    <mergeCell ref="B73:B74"/>
    <mergeCell ref="C73:C74"/>
    <mergeCell ref="D73:D74"/>
    <mergeCell ref="E73:E74"/>
    <mergeCell ref="F73:F74"/>
    <mergeCell ref="U73:U74"/>
    <mergeCell ref="V73:V74"/>
    <mergeCell ref="W73:W74"/>
    <mergeCell ref="G73:G74"/>
    <mergeCell ref="H73:H74"/>
    <mergeCell ref="I73:I74"/>
    <mergeCell ref="J73:J74"/>
    <mergeCell ref="N73:N74"/>
    <mergeCell ref="Q73:Q74"/>
    <mergeCell ref="R73:R74"/>
    <mergeCell ref="S73:S74"/>
    <mergeCell ref="T73:T74"/>
    <mergeCell ref="AQ73:AQ74"/>
    <mergeCell ref="U75:U76"/>
    <mergeCell ref="V75:V76"/>
    <mergeCell ref="W75:W76"/>
    <mergeCell ref="R75:R76"/>
    <mergeCell ref="S75:S76"/>
    <mergeCell ref="T75:T76"/>
    <mergeCell ref="AJ73:AJ74"/>
    <mergeCell ref="AK73:AK74"/>
    <mergeCell ref="AL73:AL74"/>
    <mergeCell ref="AM73:AM74"/>
    <mergeCell ref="AN73:AN74"/>
    <mergeCell ref="AO73:AO74"/>
    <mergeCell ref="AP73:AP74"/>
    <mergeCell ref="AP75:AP76"/>
    <mergeCell ref="X73:X74"/>
    <mergeCell ref="Y73:Y74"/>
    <mergeCell ref="Z73:Z74"/>
    <mergeCell ref="AA73:AA74"/>
    <mergeCell ref="AB73:AB74"/>
    <mergeCell ref="AC73:AC74"/>
    <mergeCell ref="AD73:AD74"/>
    <mergeCell ref="AE73:AE74"/>
    <mergeCell ref="AF73:AF74"/>
    <mergeCell ref="AG73:AG74"/>
    <mergeCell ref="AH73:AH74"/>
    <mergeCell ref="AI73:AI74"/>
    <mergeCell ref="Z75:Z76"/>
    <mergeCell ref="AA75:AA76"/>
    <mergeCell ref="AR73:AR74"/>
    <mergeCell ref="AS73:AS74"/>
    <mergeCell ref="AT73:AT74"/>
    <mergeCell ref="AU73:AU74"/>
    <mergeCell ref="BD73:BD74"/>
    <mergeCell ref="BE73:BE74"/>
    <mergeCell ref="BF73:BF74"/>
    <mergeCell ref="AV73:AV74"/>
    <mergeCell ref="AW73:AW74"/>
    <mergeCell ref="AX73:AX74"/>
    <mergeCell ref="AY73:AY74"/>
    <mergeCell ref="AZ73:AZ74"/>
    <mergeCell ref="BA73:BA74"/>
    <mergeCell ref="BG75:BG76"/>
    <mergeCell ref="AV75:AV76"/>
    <mergeCell ref="AW75:AW76"/>
    <mergeCell ref="AX75:AX76"/>
    <mergeCell ref="AY75:AY76"/>
    <mergeCell ref="AZ75:AZ76"/>
    <mergeCell ref="BA75:BA76"/>
    <mergeCell ref="BB73:BB74"/>
    <mergeCell ref="BC73:BC74"/>
    <mergeCell ref="BG73:BG74"/>
    <mergeCell ref="BB75:BB76"/>
    <mergeCell ref="BC75:BC76"/>
    <mergeCell ref="BD75:BD76"/>
    <mergeCell ref="BE75:BE76"/>
    <mergeCell ref="BF75:BF76"/>
    <mergeCell ref="A77:A78"/>
    <mergeCell ref="B77:B78"/>
    <mergeCell ref="C77:C78"/>
    <mergeCell ref="D77:D78"/>
    <mergeCell ref="E77:E78"/>
    <mergeCell ref="F77:F78"/>
    <mergeCell ref="AO75:AO76"/>
    <mergeCell ref="G77:G78"/>
    <mergeCell ref="H77:H78"/>
    <mergeCell ref="I77:I78"/>
    <mergeCell ref="J77:J78"/>
    <mergeCell ref="N77:N78"/>
    <mergeCell ref="Q77:Q78"/>
    <mergeCell ref="AI75:AI76"/>
    <mergeCell ref="X75:X76"/>
    <mergeCell ref="Y75:Y76"/>
    <mergeCell ref="AQ75:AQ76"/>
    <mergeCell ref="AJ75:AJ76"/>
    <mergeCell ref="AK75:AK76"/>
    <mergeCell ref="AL75:AL76"/>
    <mergeCell ref="AM75:AM76"/>
    <mergeCell ref="AN75:AN76"/>
    <mergeCell ref="A75:A76"/>
    <mergeCell ref="B75:B76"/>
    <mergeCell ref="C75:C76"/>
    <mergeCell ref="N75:N76"/>
    <mergeCell ref="Q75:Q76"/>
    <mergeCell ref="D75:D76"/>
    <mergeCell ref="E75:E76"/>
    <mergeCell ref="F75:F76"/>
    <mergeCell ref="G75:G76"/>
    <mergeCell ref="H75:H76"/>
    <mergeCell ref="I75:I76"/>
    <mergeCell ref="J75:J76"/>
    <mergeCell ref="AD75:AD76"/>
    <mergeCell ref="AE75:AE76"/>
    <mergeCell ref="AF75:AF76"/>
    <mergeCell ref="AG75:AG76"/>
    <mergeCell ref="AH75:AH76"/>
    <mergeCell ref="AR75:AR76"/>
    <mergeCell ref="AS75:AS76"/>
    <mergeCell ref="AT75:AT76"/>
    <mergeCell ref="AU75:AU76"/>
    <mergeCell ref="AW77:AW78"/>
    <mergeCell ref="AM77:AM78"/>
    <mergeCell ref="AB75:AB76"/>
    <mergeCell ref="AC75:AC76"/>
    <mergeCell ref="AX77:AX78"/>
    <mergeCell ref="AY77:AY78"/>
    <mergeCell ref="AR77:AR78"/>
    <mergeCell ref="AS77:AS78"/>
    <mergeCell ref="AT77:AT78"/>
    <mergeCell ref="AU77:AU78"/>
    <mergeCell ref="AV77:AV78"/>
    <mergeCell ref="AC77:AC78"/>
    <mergeCell ref="AN77:AN78"/>
    <mergeCell ref="AO77:AO78"/>
    <mergeCell ref="AD77:AD78"/>
    <mergeCell ref="AE77:AE78"/>
    <mergeCell ref="AF77:AF78"/>
    <mergeCell ref="AG77:AG78"/>
    <mergeCell ref="AH77:AH78"/>
    <mergeCell ref="AI77:AI78"/>
    <mergeCell ref="AJ77:AJ78"/>
    <mergeCell ref="AZ77:AZ78"/>
    <mergeCell ref="BA77:BA78"/>
    <mergeCell ref="BB77:BB78"/>
    <mergeCell ref="BC77:BC78"/>
    <mergeCell ref="BD77:BD78"/>
    <mergeCell ref="BE77:BE78"/>
    <mergeCell ref="BF77:BF78"/>
    <mergeCell ref="BG77:BG78"/>
    <mergeCell ref="A79:I79"/>
    <mergeCell ref="A80:A81"/>
    <mergeCell ref="B80:B81"/>
    <mergeCell ref="C80:C81"/>
    <mergeCell ref="D80:D81"/>
    <mergeCell ref="E80:E81"/>
    <mergeCell ref="F80:F81"/>
    <mergeCell ref="G80:G81"/>
    <mergeCell ref="H80:H81"/>
    <mergeCell ref="I80:I81"/>
    <mergeCell ref="R77:R78"/>
    <mergeCell ref="S77:S78"/>
    <mergeCell ref="T77:T78"/>
    <mergeCell ref="U77:U78"/>
    <mergeCell ref="V77:V78"/>
    <mergeCell ref="W77:W78"/>
    <mergeCell ref="X77:X78"/>
    <mergeCell ref="Y77:Y78"/>
    <mergeCell ref="Z77:Z78"/>
    <mergeCell ref="AA77:AA78"/>
    <mergeCell ref="AB77:AB78"/>
    <mergeCell ref="AL77:AL78"/>
    <mergeCell ref="AP77:AP78"/>
    <mergeCell ref="AQ77:AQ78"/>
    <mergeCell ref="AK77:AK78"/>
    <mergeCell ref="BC80:BC81"/>
    <mergeCell ref="BD80:BD81"/>
    <mergeCell ref="BE80:BE81"/>
    <mergeCell ref="BF80:BF81"/>
    <mergeCell ref="BG80:BG81"/>
    <mergeCell ref="A82:A83"/>
    <mergeCell ref="B82:B83"/>
    <mergeCell ref="C82:C83"/>
    <mergeCell ref="D82:D83"/>
    <mergeCell ref="E82:E83"/>
    <mergeCell ref="F82:F83"/>
    <mergeCell ref="G82:G83"/>
    <mergeCell ref="J80:J81"/>
    <mergeCell ref="N80:N81"/>
    <mergeCell ref="Q80:Q81"/>
    <mergeCell ref="R80:R81"/>
    <mergeCell ref="S80:S81"/>
    <mergeCell ref="T80:T81"/>
    <mergeCell ref="U80:U81"/>
    <mergeCell ref="V80:V81"/>
    <mergeCell ref="W80:W81"/>
    <mergeCell ref="X80:X81"/>
    <mergeCell ref="Y80:Y81"/>
    <mergeCell ref="Z80:Z81"/>
    <mergeCell ref="BB82:BB83"/>
    <mergeCell ref="AG80:AG81"/>
    <mergeCell ref="AH80:AH81"/>
    <mergeCell ref="AI80:AI81"/>
    <mergeCell ref="AJ80:AJ81"/>
    <mergeCell ref="AX80:AX81"/>
    <mergeCell ref="AY80:AY81"/>
    <mergeCell ref="A84:A85"/>
    <mergeCell ref="B84:B85"/>
    <mergeCell ref="C84:C85"/>
    <mergeCell ref="D84:D85"/>
    <mergeCell ref="E84:E85"/>
    <mergeCell ref="AE82:AE83"/>
    <mergeCell ref="AM80:AM81"/>
    <mergeCell ref="AN80:AN81"/>
    <mergeCell ref="AO80:AO81"/>
    <mergeCell ref="AP80:AP81"/>
    <mergeCell ref="AQ80:AQ81"/>
    <mergeCell ref="AR80:AR81"/>
    <mergeCell ref="AS80:AS81"/>
    <mergeCell ref="AT80:AT81"/>
    <mergeCell ref="AU80:AU81"/>
    <mergeCell ref="AV80:AV81"/>
    <mergeCell ref="AW80:AW81"/>
    <mergeCell ref="H82:H83"/>
    <mergeCell ref="I82:I83"/>
    <mergeCell ref="J82:J83"/>
    <mergeCell ref="N82:N83"/>
    <mergeCell ref="Q82:Q83"/>
    <mergeCell ref="R82:R83"/>
    <mergeCell ref="AE80:AE81"/>
    <mergeCell ref="AF80:AF81"/>
    <mergeCell ref="AK80:AK81"/>
    <mergeCell ref="AL80:AL81"/>
    <mergeCell ref="AA80:AA81"/>
    <mergeCell ref="AB80:AB81"/>
    <mergeCell ref="AC80:AC81"/>
    <mergeCell ref="AD80:AD81"/>
    <mergeCell ref="BA80:BA81"/>
    <mergeCell ref="BB80:BB81"/>
    <mergeCell ref="S84:S85"/>
    <mergeCell ref="T84:T85"/>
    <mergeCell ref="U84:U85"/>
    <mergeCell ref="V84:V85"/>
    <mergeCell ref="AF82:AF83"/>
    <mergeCell ref="AG82:AG83"/>
    <mergeCell ref="AH82:AH83"/>
    <mergeCell ref="AI82:AI83"/>
    <mergeCell ref="AJ82:AJ83"/>
    <mergeCell ref="Y82:Y83"/>
    <mergeCell ref="Z82:Z83"/>
    <mergeCell ref="AA82:AA83"/>
    <mergeCell ref="AK82:AK83"/>
    <mergeCell ref="AL82:AL83"/>
    <mergeCell ref="AM82:AM83"/>
    <mergeCell ref="AN82:AN83"/>
    <mergeCell ref="AO82:AO83"/>
    <mergeCell ref="S82:S83"/>
    <mergeCell ref="T82:T83"/>
    <mergeCell ref="U82:U83"/>
    <mergeCell ref="V82:V83"/>
    <mergeCell ref="W82:W83"/>
    <mergeCell ref="X82:X83"/>
    <mergeCell ref="AS84:AS85"/>
    <mergeCell ref="AT84:AT85"/>
    <mergeCell ref="AZ80:AZ81"/>
    <mergeCell ref="BC82:BC83"/>
    <mergeCell ref="BD82:BD83"/>
    <mergeCell ref="BE82:BE83"/>
    <mergeCell ref="BF82:BF83"/>
    <mergeCell ref="BG82:BG83"/>
    <mergeCell ref="AB82:AB83"/>
    <mergeCell ref="AC82:AC83"/>
    <mergeCell ref="AD82:AD83"/>
    <mergeCell ref="AP82:AP83"/>
    <mergeCell ref="AQ82:AQ83"/>
    <mergeCell ref="AR82:AR83"/>
    <mergeCell ref="AS82:AS83"/>
    <mergeCell ref="AT82:AT83"/>
    <mergeCell ref="AU82:AU83"/>
    <mergeCell ref="AV82:AV83"/>
    <mergeCell ref="AW82:AW83"/>
    <mergeCell ref="AX82:AX83"/>
    <mergeCell ref="AY82:AY83"/>
    <mergeCell ref="AZ82:AZ83"/>
    <mergeCell ref="BA82:BA83"/>
    <mergeCell ref="BG84:BG85"/>
    <mergeCell ref="A86:A87"/>
    <mergeCell ref="B86:B87"/>
    <mergeCell ref="C86:C87"/>
    <mergeCell ref="D86:D87"/>
    <mergeCell ref="E86:E87"/>
    <mergeCell ref="W84:W85"/>
    <mergeCell ref="X84:X85"/>
    <mergeCell ref="Y84:Y85"/>
    <mergeCell ref="Z84:Z85"/>
    <mergeCell ref="AA84:AA85"/>
    <mergeCell ref="AB84:AB85"/>
    <mergeCell ref="AC84:AC85"/>
    <mergeCell ref="AD84:AD85"/>
    <mergeCell ref="AE84:AE85"/>
    <mergeCell ref="AF84:AF85"/>
    <mergeCell ref="AG84:AG85"/>
    <mergeCell ref="AH84:AH85"/>
    <mergeCell ref="AI84:AI85"/>
    <mergeCell ref="AJ84:AJ85"/>
    <mergeCell ref="AK84:AK85"/>
    <mergeCell ref="AL84:AL85"/>
    <mergeCell ref="AM84:AM85"/>
    <mergeCell ref="AN84:AN85"/>
    <mergeCell ref="F84:F85"/>
    <mergeCell ref="G84:G85"/>
    <mergeCell ref="H84:H85"/>
    <mergeCell ref="I84:I85"/>
    <mergeCell ref="J84:J85"/>
    <mergeCell ref="N84:N85"/>
    <mergeCell ref="Q84:Q85"/>
    <mergeCell ref="R84:R85"/>
    <mergeCell ref="BF86:BF87"/>
    <mergeCell ref="BG86:BG87"/>
    <mergeCell ref="A88:A89"/>
    <mergeCell ref="B88:B89"/>
    <mergeCell ref="C88:C89"/>
    <mergeCell ref="D88:D89"/>
    <mergeCell ref="E88:E89"/>
    <mergeCell ref="F88:F89"/>
    <mergeCell ref="BC84:BC85"/>
    <mergeCell ref="BD84:BD85"/>
    <mergeCell ref="BE84:BE85"/>
    <mergeCell ref="BF84:BF85"/>
    <mergeCell ref="AU84:AU85"/>
    <mergeCell ref="AV84:AV85"/>
    <mergeCell ref="AW84:AW85"/>
    <mergeCell ref="AX84:AX85"/>
    <mergeCell ref="AY84:AY85"/>
    <mergeCell ref="AZ84:AZ85"/>
    <mergeCell ref="F86:F87"/>
    <mergeCell ref="G86:G87"/>
    <mergeCell ref="H86:H87"/>
    <mergeCell ref="I86:I87"/>
    <mergeCell ref="BA84:BA85"/>
    <mergeCell ref="BB84:BB85"/>
    <mergeCell ref="AO84:AO85"/>
    <mergeCell ref="AP84:AP85"/>
    <mergeCell ref="AQ84:AQ85"/>
    <mergeCell ref="AR84:AR85"/>
    <mergeCell ref="Q86:Q87"/>
    <mergeCell ref="R86:R87"/>
    <mergeCell ref="AQ86:AQ87"/>
    <mergeCell ref="AR86:AR87"/>
    <mergeCell ref="AZ86:AZ87"/>
    <mergeCell ref="BA86:BA87"/>
    <mergeCell ref="BB86:BB87"/>
    <mergeCell ref="BC86:BC87"/>
    <mergeCell ref="AM86:AM87"/>
    <mergeCell ref="AN86:AN87"/>
    <mergeCell ref="AO86:AO87"/>
    <mergeCell ref="AP86:AP87"/>
    <mergeCell ref="S86:S87"/>
    <mergeCell ref="T86:T87"/>
    <mergeCell ref="J86:J87"/>
    <mergeCell ref="N86:N87"/>
    <mergeCell ref="BC88:BC89"/>
    <mergeCell ref="J88:J89"/>
    <mergeCell ref="N88:N89"/>
    <mergeCell ref="Q88:Q89"/>
    <mergeCell ref="R88:R89"/>
    <mergeCell ref="U86:U87"/>
    <mergeCell ref="V86:V87"/>
    <mergeCell ref="W86:W87"/>
    <mergeCell ref="X86:X87"/>
    <mergeCell ref="Y86:Y87"/>
    <mergeCell ref="Z86:Z87"/>
    <mergeCell ref="BE86:BE87"/>
    <mergeCell ref="AL86:AL87"/>
    <mergeCell ref="AA86:AA87"/>
    <mergeCell ref="AB86:AB87"/>
    <mergeCell ref="AC86:AC87"/>
    <mergeCell ref="AD86:AD87"/>
    <mergeCell ref="AE86:AE87"/>
    <mergeCell ref="AF86:AF87"/>
    <mergeCell ref="AA88:AA89"/>
    <mergeCell ref="AB88:AB89"/>
    <mergeCell ref="AC88:AC89"/>
    <mergeCell ref="AD88:AD89"/>
    <mergeCell ref="AJ88:AJ89"/>
    <mergeCell ref="AK88:AK89"/>
    <mergeCell ref="AL88:AL89"/>
    <mergeCell ref="AM88:AM89"/>
    <mergeCell ref="AN88:AN89"/>
    <mergeCell ref="AO88:AO89"/>
    <mergeCell ref="AP88:AP89"/>
    <mergeCell ref="AG86:AG87"/>
    <mergeCell ref="AH86:AH87"/>
    <mergeCell ref="AI86:AI87"/>
    <mergeCell ref="AJ86:AJ87"/>
    <mergeCell ref="AK86:AK87"/>
    <mergeCell ref="BD86:BD87"/>
    <mergeCell ref="AS86:AS87"/>
    <mergeCell ref="AT86:AT87"/>
    <mergeCell ref="AU86:AU87"/>
    <mergeCell ref="AV86:AV87"/>
    <mergeCell ref="AW86:AW87"/>
    <mergeCell ref="AX86:AX87"/>
    <mergeCell ref="AY86:AY87"/>
    <mergeCell ref="BG88:BG89"/>
    <mergeCell ref="A90:I90"/>
    <mergeCell ref="AW88:AW89"/>
    <mergeCell ref="AX88:AX89"/>
    <mergeCell ref="AY88:AY89"/>
    <mergeCell ref="AZ88:AZ89"/>
    <mergeCell ref="BA88:BA89"/>
    <mergeCell ref="BB88:BB89"/>
    <mergeCell ref="AQ88:AQ89"/>
    <mergeCell ref="AR88:AR89"/>
    <mergeCell ref="H88:H89"/>
    <mergeCell ref="I88:I89"/>
    <mergeCell ref="S88:S89"/>
    <mergeCell ref="T88:T89"/>
    <mergeCell ref="U88:U89"/>
    <mergeCell ref="V88:V89"/>
    <mergeCell ref="W88:W89"/>
    <mergeCell ref="X88:X89"/>
    <mergeCell ref="BE88:BE89"/>
    <mergeCell ref="BF88:BF89"/>
    <mergeCell ref="AS88:AS89"/>
    <mergeCell ref="AT88:AT89"/>
    <mergeCell ref="AU88:AU89"/>
    <mergeCell ref="AV88:AV89"/>
    <mergeCell ref="BD88:BD89"/>
    <mergeCell ref="G88:G89"/>
    <mergeCell ref="N91:N92"/>
    <mergeCell ref="Q91:Q92"/>
    <mergeCell ref="Y88:Y89"/>
    <mergeCell ref="Z88:Z89"/>
    <mergeCell ref="R91:R92"/>
    <mergeCell ref="S91:S92"/>
    <mergeCell ref="T91:T92"/>
    <mergeCell ref="U91:U92"/>
    <mergeCell ref="V91:V92"/>
    <mergeCell ref="W91:W92"/>
    <mergeCell ref="X91:X92"/>
    <mergeCell ref="Y91:Y92"/>
    <mergeCell ref="AE88:AE89"/>
    <mergeCell ref="AF88:AF89"/>
    <mergeCell ref="AG88:AG89"/>
    <mergeCell ref="AH88:AH89"/>
    <mergeCell ref="AI88:AI89"/>
    <mergeCell ref="BD91:BD92"/>
    <mergeCell ref="BE91:BE92"/>
    <mergeCell ref="BF91:BF92"/>
    <mergeCell ref="BG91:BG92"/>
    <mergeCell ref="AV91:AV92"/>
    <mergeCell ref="AW91:AW92"/>
    <mergeCell ref="AX91:AX92"/>
    <mergeCell ref="AY91:AY92"/>
    <mergeCell ref="AZ91:AZ92"/>
    <mergeCell ref="BA91:BA92"/>
    <mergeCell ref="Z91:Z92"/>
    <mergeCell ref="AA91:AA92"/>
    <mergeCell ref="AB91:AB92"/>
    <mergeCell ref="AC91:AC92"/>
    <mergeCell ref="BB91:BB92"/>
    <mergeCell ref="BC91:BC92"/>
    <mergeCell ref="AP91:AP92"/>
    <mergeCell ref="AQ91:AQ92"/>
    <mergeCell ref="AR91:AR92"/>
    <mergeCell ref="AS91:AS92"/>
    <mergeCell ref="AD91:AD92"/>
    <mergeCell ref="AE91:AE92"/>
    <mergeCell ref="AF91:AF92"/>
    <mergeCell ref="AG91:AG92"/>
    <mergeCell ref="AH91:AH92"/>
    <mergeCell ref="AI91:AI92"/>
    <mergeCell ref="AJ91:AJ92"/>
    <mergeCell ref="AK91:AK92"/>
    <mergeCell ref="AL91:AL92"/>
    <mergeCell ref="AM91:AM92"/>
    <mergeCell ref="AN91:AN92"/>
    <mergeCell ref="AO91:AO92"/>
    <mergeCell ref="A93:A94"/>
    <mergeCell ref="B93:B94"/>
    <mergeCell ref="C93:C94"/>
    <mergeCell ref="D93:D94"/>
    <mergeCell ref="E93:E94"/>
    <mergeCell ref="F93:F94"/>
    <mergeCell ref="G93:G94"/>
    <mergeCell ref="H93:H94"/>
    <mergeCell ref="I93:I94"/>
    <mergeCell ref="J93:J94"/>
    <mergeCell ref="N93:N94"/>
    <mergeCell ref="Q93:Q94"/>
    <mergeCell ref="AT91:AT92"/>
    <mergeCell ref="AU91:AU92"/>
    <mergeCell ref="R93:R94"/>
    <mergeCell ref="S93:S94"/>
    <mergeCell ref="T93:T94"/>
    <mergeCell ref="U93:U94"/>
    <mergeCell ref="V93:V94"/>
    <mergeCell ref="W93:W94"/>
    <mergeCell ref="AJ93:AJ94"/>
    <mergeCell ref="AK93:AK94"/>
    <mergeCell ref="A91:A92"/>
    <mergeCell ref="B91:B92"/>
    <mergeCell ref="C91:C92"/>
    <mergeCell ref="D91:D92"/>
    <mergeCell ref="E91:E92"/>
    <mergeCell ref="F91:F92"/>
    <mergeCell ref="G91:G92"/>
    <mergeCell ref="H91:H92"/>
    <mergeCell ref="I91:I92"/>
    <mergeCell ref="J91:J92"/>
    <mergeCell ref="BF93:BF94"/>
    <mergeCell ref="BG93:BG94"/>
    <mergeCell ref="X93:X94"/>
    <mergeCell ref="Y93:Y94"/>
    <mergeCell ref="Z93:Z94"/>
    <mergeCell ref="AA93:AA94"/>
    <mergeCell ref="AB93:AB94"/>
    <mergeCell ref="AC93:AC94"/>
    <mergeCell ref="AL93:AL94"/>
    <mergeCell ref="AM93:AM94"/>
    <mergeCell ref="AN93:AN94"/>
    <mergeCell ref="AO93:AO94"/>
    <mergeCell ref="AD93:AD94"/>
    <mergeCell ref="AE93:AE94"/>
    <mergeCell ref="AF93:AF94"/>
    <mergeCell ref="AG93:AG94"/>
    <mergeCell ref="AH93:AH94"/>
    <mergeCell ref="AI93:AI94"/>
    <mergeCell ref="W95:W96"/>
    <mergeCell ref="AP93:AP94"/>
    <mergeCell ref="AQ93:AQ94"/>
    <mergeCell ref="AR93:AR94"/>
    <mergeCell ref="AS93:AS94"/>
    <mergeCell ref="AT93:AT94"/>
    <mergeCell ref="AU93:AU94"/>
    <mergeCell ref="AV93:AV94"/>
    <mergeCell ref="AW93:AW94"/>
    <mergeCell ref="AX93:AX94"/>
    <mergeCell ref="AY93:AY94"/>
    <mergeCell ref="AZ93:AZ94"/>
    <mergeCell ref="BA93:BA94"/>
    <mergeCell ref="BB93:BB94"/>
    <mergeCell ref="BC93:BC94"/>
    <mergeCell ref="BD93:BD94"/>
    <mergeCell ref="BE93:BE94"/>
    <mergeCell ref="BC95:BC96"/>
    <mergeCell ref="BD95:BD96"/>
    <mergeCell ref="BE95:BE96"/>
    <mergeCell ref="A95:A96"/>
    <mergeCell ref="B95:B96"/>
    <mergeCell ref="C95:C96"/>
    <mergeCell ref="D95:D96"/>
    <mergeCell ref="E95:E96"/>
    <mergeCell ref="F95:F96"/>
    <mergeCell ref="G95:G96"/>
    <mergeCell ref="H95:H96"/>
    <mergeCell ref="I95:I96"/>
    <mergeCell ref="J95:J96"/>
    <mergeCell ref="N95:N96"/>
    <mergeCell ref="Q95:Q96"/>
    <mergeCell ref="R95:R96"/>
    <mergeCell ref="S95:S96"/>
    <mergeCell ref="T95:T96"/>
    <mergeCell ref="U95:U96"/>
    <mergeCell ref="V95:V96"/>
    <mergeCell ref="BG95:BG96"/>
    <mergeCell ref="X95:X96"/>
    <mergeCell ref="Y95:Y96"/>
    <mergeCell ref="Z95:Z96"/>
    <mergeCell ref="AA95:AA96"/>
    <mergeCell ref="AB95:AB96"/>
    <mergeCell ref="AC95:AC96"/>
    <mergeCell ref="AD95:AD96"/>
    <mergeCell ref="AE95:AE96"/>
    <mergeCell ref="AF95:AF96"/>
    <mergeCell ref="AG95:AG96"/>
    <mergeCell ref="AH95:AH96"/>
    <mergeCell ref="AI95:AI96"/>
    <mergeCell ref="AJ95:AJ96"/>
    <mergeCell ref="AK95:AK96"/>
    <mergeCell ref="AL95:AL96"/>
    <mergeCell ref="AM95:AM96"/>
    <mergeCell ref="AN95:AN96"/>
    <mergeCell ref="AO95:AO96"/>
    <mergeCell ref="AP95:AP96"/>
    <mergeCell ref="AQ95:AQ96"/>
    <mergeCell ref="AR95:AR96"/>
    <mergeCell ref="AS95:AS96"/>
    <mergeCell ref="AT95:AT96"/>
    <mergeCell ref="AU95:AU96"/>
    <mergeCell ref="AV95:AV96"/>
    <mergeCell ref="AW95:AW96"/>
    <mergeCell ref="AX95:AX96"/>
    <mergeCell ref="AY95:AY96"/>
    <mergeCell ref="AZ95:AZ96"/>
    <mergeCell ref="BA95:BA96"/>
    <mergeCell ref="BB95:BB96"/>
    <mergeCell ref="BF95:BF96"/>
    <mergeCell ref="BC97:BC98"/>
    <mergeCell ref="BD97:BD98"/>
    <mergeCell ref="BE97:BE98"/>
    <mergeCell ref="BF97:BF98"/>
    <mergeCell ref="BG97:BG98"/>
    <mergeCell ref="AV97:AV98"/>
    <mergeCell ref="AW97:AW98"/>
    <mergeCell ref="AX97:AX98"/>
    <mergeCell ref="AY97:AY98"/>
    <mergeCell ref="AZ97:AZ98"/>
    <mergeCell ref="A97:A98"/>
    <mergeCell ref="B97:B98"/>
    <mergeCell ref="C97:C98"/>
    <mergeCell ref="D97:D98"/>
    <mergeCell ref="E97:E98"/>
    <mergeCell ref="F97:F98"/>
    <mergeCell ref="G97:G98"/>
    <mergeCell ref="H97:H98"/>
    <mergeCell ref="I97:I98"/>
    <mergeCell ref="J97:J98"/>
    <mergeCell ref="N97:N98"/>
    <mergeCell ref="Q97:Q98"/>
    <mergeCell ref="AA97:AA98"/>
    <mergeCell ref="AB97:AB98"/>
    <mergeCell ref="AC97:AC98"/>
    <mergeCell ref="R97:R98"/>
    <mergeCell ref="S97:S98"/>
    <mergeCell ref="T97:T98"/>
    <mergeCell ref="U97:U98"/>
    <mergeCell ref="V97:V98"/>
    <mergeCell ref="W97:W98"/>
    <mergeCell ref="X97:X98"/>
    <mergeCell ref="A99:I99"/>
    <mergeCell ref="A100:A101"/>
    <mergeCell ref="B100:B101"/>
    <mergeCell ref="C100:C101"/>
    <mergeCell ref="D100:D101"/>
    <mergeCell ref="E100:E101"/>
    <mergeCell ref="F100:F101"/>
    <mergeCell ref="G100:G101"/>
    <mergeCell ref="H100:H101"/>
    <mergeCell ref="I100:I101"/>
    <mergeCell ref="J100:J101"/>
    <mergeCell ref="N100:N101"/>
    <mergeCell ref="Q100:Q101"/>
    <mergeCell ref="R100:R101"/>
    <mergeCell ref="S100:S101"/>
    <mergeCell ref="T100:T101"/>
    <mergeCell ref="BA97:BA98"/>
    <mergeCell ref="AP97:AP98"/>
    <mergeCell ref="AQ97:AQ98"/>
    <mergeCell ref="AR97:AR98"/>
    <mergeCell ref="AS97:AS98"/>
    <mergeCell ref="AT97:AT98"/>
    <mergeCell ref="AU97:AU98"/>
    <mergeCell ref="Y97:Y98"/>
    <mergeCell ref="Z97:Z98"/>
    <mergeCell ref="AQ100:AQ101"/>
    <mergeCell ref="AR100:AR101"/>
    <mergeCell ref="AG100:AG101"/>
    <mergeCell ref="AH100:AH101"/>
    <mergeCell ref="AI100:AI101"/>
    <mergeCell ref="AJ100:AJ101"/>
    <mergeCell ref="AK100:AK101"/>
    <mergeCell ref="AL100:AL101"/>
    <mergeCell ref="AD97:AD98"/>
    <mergeCell ref="AE97:AE98"/>
    <mergeCell ref="AF97:AF98"/>
    <mergeCell ref="AG97:AG98"/>
    <mergeCell ref="AH97:AH98"/>
    <mergeCell ref="AI97:AI98"/>
    <mergeCell ref="AC100:AC101"/>
    <mergeCell ref="AD100:AD101"/>
    <mergeCell ref="AE100:AE101"/>
    <mergeCell ref="AF100:AF101"/>
    <mergeCell ref="AM100:AM101"/>
    <mergeCell ref="AN100:AN101"/>
    <mergeCell ref="AO100:AO101"/>
    <mergeCell ref="AP100:AP101"/>
    <mergeCell ref="AS100:AS101"/>
    <mergeCell ref="BB97:BB98"/>
    <mergeCell ref="AJ97:AJ98"/>
    <mergeCell ref="AK97:AK98"/>
    <mergeCell ref="AL97:AL98"/>
    <mergeCell ref="AM97:AM98"/>
    <mergeCell ref="AN97:AN98"/>
    <mergeCell ref="AO97:AO98"/>
    <mergeCell ref="BD100:BD101"/>
    <mergeCell ref="BE100:BE101"/>
    <mergeCell ref="BF100:BF101"/>
    <mergeCell ref="BG100:BG101"/>
    <mergeCell ref="A102:A103"/>
    <mergeCell ref="B102:B103"/>
    <mergeCell ref="C102:C103"/>
    <mergeCell ref="D102:D103"/>
    <mergeCell ref="E102:E103"/>
    <mergeCell ref="F102:F103"/>
    <mergeCell ref="G102:G103"/>
    <mergeCell ref="H102:H103"/>
    <mergeCell ref="I102:I103"/>
    <mergeCell ref="J102:J103"/>
    <mergeCell ref="N102:N103"/>
    <mergeCell ref="Q102:Q103"/>
    <mergeCell ref="R102:R103"/>
    <mergeCell ref="U100:U101"/>
    <mergeCell ref="V100:V101"/>
    <mergeCell ref="W100:W101"/>
    <mergeCell ref="X100:X101"/>
    <mergeCell ref="Y100:Y101"/>
    <mergeCell ref="Z100:Z101"/>
    <mergeCell ref="AA100:AA101"/>
    <mergeCell ref="AB100:AB101"/>
    <mergeCell ref="AT100:AT101"/>
    <mergeCell ref="AU100:AU101"/>
    <mergeCell ref="AV100:AV101"/>
    <mergeCell ref="AW100:AW101"/>
    <mergeCell ref="AX100:AX101"/>
    <mergeCell ref="AY100:AY101"/>
    <mergeCell ref="AZ100:AZ101"/>
    <mergeCell ref="BA100:BA101"/>
    <mergeCell ref="BB100:BB101"/>
    <mergeCell ref="BC100:BC101"/>
    <mergeCell ref="AX102:AX103"/>
    <mergeCell ref="AY102:AY103"/>
    <mergeCell ref="AZ102:AZ103"/>
    <mergeCell ref="BA102:BA103"/>
    <mergeCell ref="BB102:BB103"/>
    <mergeCell ref="BC102:BC103"/>
    <mergeCell ref="BG102:BG103"/>
    <mergeCell ref="AU102:AU103"/>
    <mergeCell ref="AV102:AV103"/>
    <mergeCell ref="AW102:AW103"/>
    <mergeCell ref="BD102:BD103"/>
    <mergeCell ref="BE102:BE103"/>
    <mergeCell ref="BF102:BF103"/>
    <mergeCell ref="A104:A105"/>
    <mergeCell ref="B104:B105"/>
    <mergeCell ref="C104:C105"/>
    <mergeCell ref="D104:D105"/>
    <mergeCell ref="E104:E105"/>
    <mergeCell ref="F104:F105"/>
    <mergeCell ref="G104:G105"/>
    <mergeCell ref="H104:H105"/>
    <mergeCell ref="I104:I105"/>
    <mergeCell ref="J104:J105"/>
    <mergeCell ref="N104:N105"/>
    <mergeCell ref="S102:S103"/>
    <mergeCell ref="T102:T103"/>
    <mergeCell ref="U102:U103"/>
    <mergeCell ref="V102:V103"/>
    <mergeCell ref="W102:W103"/>
    <mergeCell ref="X102:X103"/>
    <mergeCell ref="AU104:AU105"/>
    <mergeCell ref="Y102:Y103"/>
    <mergeCell ref="Z102:Z103"/>
    <mergeCell ref="AA102:AA103"/>
    <mergeCell ref="AB102:AB103"/>
    <mergeCell ref="AC102:AC103"/>
    <mergeCell ref="AK102:AK103"/>
    <mergeCell ref="AL102:AL103"/>
    <mergeCell ref="AM102:AM103"/>
    <mergeCell ref="AN102:AN103"/>
    <mergeCell ref="AC104:AC105"/>
    <mergeCell ref="AD104:AD105"/>
    <mergeCell ref="AO102:AO103"/>
    <mergeCell ref="AP102:AP103"/>
    <mergeCell ref="AQ102:AQ103"/>
    <mergeCell ref="AR102:AR103"/>
    <mergeCell ref="AS102:AS103"/>
    <mergeCell ref="AT102:AT103"/>
    <mergeCell ref="AD102:AD103"/>
    <mergeCell ref="AE102:AE103"/>
    <mergeCell ref="AF102:AF103"/>
    <mergeCell ref="AG102:AG103"/>
    <mergeCell ref="AH102:AH103"/>
    <mergeCell ref="AI102:AI103"/>
    <mergeCell ref="AJ102:AJ103"/>
    <mergeCell ref="AF106:AF107"/>
    <mergeCell ref="AY104:AY105"/>
    <mergeCell ref="AZ104:AZ105"/>
    <mergeCell ref="AO104:AO105"/>
    <mergeCell ref="AP104:AP105"/>
    <mergeCell ref="AQ104:AQ105"/>
    <mergeCell ref="AR104:AR105"/>
    <mergeCell ref="AS104:AS105"/>
    <mergeCell ref="Q104:Q105"/>
    <mergeCell ref="R104:R105"/>
    <mergeCell ref="S104:S105"/>
    <mergeCell ref="T104:T105"/>
    <mergeCell ref="U104:U105"/>
    <mergeCell ref="V104:V105"/>
    <mergeCell ref="W104:W105"/>
    <mergeCell ref="X104:X105"/>
    <mergeCell ref="Y104:Y105"/>
    <mergeCell ref="Z104:Z105"/>
    <mergeCell ref="AA104:AA105"/>
    <mergeCell ref="AB104:AB105"/>
    <mergeCell ref="AE104:AE105"/>
    <mergeCell ref="AF104:AF105"/>
    <mergeCell ref="AG104:AG105"/>
    <mergeCell ref="AH104:AH105"/>
    <mergeCell ref="AJ104:AJ105"/>
    <mergeCell ref="AK104:AK105"/>
    <mergeCell ref="AL104:AL105"/>
    <mergeCell ref="AM104:AM105"/>
    <mergeCell ref="AN104:AN105"/>
    <mergeCell ref="AV104:AV105"/>
    <mergeCell ref="AW104:AW105"/>
    <mergeCell ref="AX104:AX105"/>
    <mergeCell ref="Y106:Y107"/>
    <mergeCell ref="Z106:Z107"/>
    <mergeCell ref="AA106:AA107"/>
    <mergeCell ref="AT104:AT105"/>
    <mergeCell ref="AI104:AI105"/>
    <mergeCell ref="BC106:BC107"/>
    <mergeCell ref="BD106:BD107"/>
    <mergeCell ref="AS106:AS107"/>
    <mergeCell ref="AT106:AT107"/>
    <mergeCell ref="AC106:AC107"/>
    <mergeCell ref="AG106:AG107"/>
    <mergeCell ref="AH106:AH107"/>
    <mergeCell ref="AI106:AI107"/>
    <mergeCell ref="AJ106:AJ107"/>
    <mergeCell ref="AK106:AK107"/>
    <mergeCell ref="AL106:AL107"/>
    <mergeCell ref="AM106:AM107"/>
    <mergeCell ref="AN106:AN107"/>
    <mergeCell ref="AO106:AO107"/>
    <mergeCell ref="AP106:AP107"/>
    <mergeCell ref="AQ106:AQ107"/>
    <mergeCell ref="AR106:AR107"/>
    <mergeCell ref="BA104:BA105"/>
    <mergeCell ref="BB104:BB105"/>
    <mergeCell ref="BC104:BC105"/>
    <mergeCell ref="BD104:BD105"/>
    <mergeCell ref="AU106:AU107"/>
    <mergeCell ref="AV106:AV107"/>
    <mergeCell ref="AW106:AW107"/>
    <mergeCell ref="AX106:AX107"/>
    <mergeCell ref="AD106:AD107"/>
    <mergeCell ref="AE106:AE107"/>
    <mergeCell ref="BE106:BE107"/>
    <mergeCell ref="BF106:BF107"/>
    <mergeCell ref="BG106:BG107"/>
    <mergeCell ref="A108:I108"/>
    <mergeCell ref="A109:I109"/>
    <mergeCell ref="AY106:AY107"/>
    <mergeCell ref="AZ106:AZ107"/>
    <mergeCell ref="BA106:BA107"/>
    <mergeCell ref="BB106:BB107"/>
    <mergeCell ref="BE104:BE105"/>
    <mergeCell ref="BF104:BF105"/>
    <mergeCell ref="BG104:BG105"/>
    <mergeCell ref="A106:A107"/>
    <mergeCell ref="B106:B107"/>
    <mergeCell ref="C106:C107"/>
    <mergeCell ref="D106:D107"/>
    <mergeCell ref="E106:E107"/>
    <mergeCell ref="F106:F107"/>
    <mergeCell ref="G106:G107"/>
    <mergeCell ref="H106:H107"/>
    <mergeCell ref="I106:I107"/>
    <mergeCell ref="J106:J107"/>
    <mergeCell ref="N106:N107"/>
    <mergeCell ref="Q106:Q107"/>
    <mergeCell ref="R106:R107"/>
    <mergeCell ref="S106:S107"/>
    <mergeCell ref="T106:T107"/>
    <mergeCell ref="AB106:AB107"/>
    <mergeCell ref="U106:U107"/>
    <mergeCell ref="V106:V107"/>
    <mergeCell ref="W106:W107"/>
    <mergeCell ref="X106:X107"/>
  </mergeCells>
  <phoneticPr fontId="61" type="noConversion"/>
  <pageMargins left="0" right="0" top="0" bottom="0" header="0" footer="0"/>
  <pageSetup paperSize="9" scale="65"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7"/>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45279</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8" si="0">L5-M5</f>
        <v>0</v>
      </c>
      <c r="P5" s="27">
        <v>0</v>
      </c>
      <c r="Q5" s="99">
        <f>+L6-P6</f>
        <v>1</v>
      </c>
      <c r="R5" s="85" t="s">
        <v>87</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2194+35</f>
        <v>2229</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5.75" customHeight="1">
      <c r="A7" s="108">
        <v>45279</v>
      </c>
      <c r="B7" s="87" t="s">
        <v>37</v>
      </c>
      <c r="C7" s="89">
        <v>1</v>
      </c>
      <c r="D7" s="91" t="s">
        <v>38</v>
      </c>
      <c r="E7" s="89">
        <v>84217</v>
      </c>
      <c r="F7" s="89" t="s">
        <v>49</v>
      </c>
      <c r="G7" s="93" t="s">
        <v>63</v>
      </c>
      <c r="H7" s="90" t="s">
        <v>39</v>
      </c>
      <c r="I7" s="90">
        <v>4965</v>
      </c>
      <c r="J7" s="90">
        <v>965</v>
      </c>
      <c r="K7" s="20">
        <v>0</v>
      </c>
      <c r="L7" s="20">
        <v>0</v>
      </c>
      <c r="M7" s="20">
        <v>0</v>
      </c>
      <c r="N7" s="97">
        <f>O8/L8</f>
        <v>0.66357069143446856</v>
      </c>
      <c r="O7" s="21">
        <f t="shared" si="0"/>
        <v>0</v>
      </c>
      <c r="P7" s="27">
        <v>28</v>
      </c>
      <c r="Q7" s="99">
        <f>+L8-P8</f>
        <v>0</v>
      </c>
      <c r="R7" s="85"/>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5+13+70+100+67+52+57+45+75+145+72+45+98+99+26</f>
        <v>969</v>
      </c>
      <c r="L8" s="18">
        <f>5+13+60+10+10+10+50+150+40+160+120+20+30+180+75+36</f>
        <v>969</v>
      </c>
      <c r="M8" s="18">
        <f>10+10+40+30+40+60+10+10+60+20+36</f>
        <v>326</v>
      </c>
      <c r="N8" s="98"/>
      <c r="O8" s="19">
        <f t="shared" si="0"/>
        <v>643</v>
      </c>
      <c r="P8" s="22">
        <f>10+30+30+10+38+41+53+189+142+63+63+40+125+35+72+28</f>
        <v>969</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45279</v>
      </c>
      <c r="B9" s="87" t="s">
        <v>37</v>
      </c>
      <c r="C9" s="89">
        <v>1</v>
      </c>
      <c r="D9" s="91" t="s">
        <v>38</v>
      </c>
      <c r="E9" s="89">
        <v>84217</v>
      </c>
      <c r="F9" s="89" t="s">
        <v>49</v>
      </c>
      <c r="G9" s="93" t="s">
        <v>63</v>
      </c>
      <c r="H9" s="90" t="s">
        <v>41</v>
      </c>
      <c r="I9" s="90">
        <v>1219</v>
      </c>
      <c r="J9" s="90">
        <v>1219</v>
      </c>
      <c r="K9" s="20">
        <v>0</v>
      </c>
      <c r="L9" s="20">
        <v>0</v>
      </c>
      <c r="M9" s="20">
        <v>0</v>
      </c>
      <c r="N9" s="97">
        <f>O10/L10</f>
        <v>0.62264150943396224</v>
      </c>
      <c r="O9" s="21">
        <f t="shared" si="0"/>
        <v>0</v>
      </c>
      <c r="P9" s="27">
        <v>45</v>
      </c>
      <c r="Q9" s="99">
        <f>+L10-P10</f>
        <v>5</v>
      </c>
      <c r="R9" s="85"/>
      <c r="S9" s="96"/>
      <c r="T9" s="96"/>
      <c r="U9" s="96"/>
      <c r="V9" s="96"/>
      <c r="W9" s="96"/>
      <c r="X9" s="96"/>
      <c r="Y9" s="96"/>
      <c r="Z9" s="96"/>
      <c r="AA9" s="96"/>
      <c r="AB9" s="96"/>
      <c r="AC9" s="96"/>
      <c r="AD9" s="96"/>
      <c r="AE9" s="96"/>
      <c r="AF9" s="96"/>
      <c r="AG9" s="96"/>
      <c r="AH9" s="96"/>
      <c r="AI9" s="96"/>
      <c r="AJ9" s="96"/>
      <c r="AK9" s="96"/>
      <c r="AL9" s="96"/>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103+85+198+61+57+39+86+192+134+36+37+120+71</f>
        <v>1219</v>
      </c>
      <c r="L10" s="18">
        <f>9+46+10+10+10+10+164+10+70+330+96+30+266+82+76</f>
        <v>1219</v>
      </c>
      <c r="M10" s="18">
        <f>9+17+10+106+21+120+38+9+83+21+26</f>
        <v>460</v>
      </c>
      <c r="N10" s="98"/>
      <c r="O10" s="19">
        <f t="shared" si="0"/>
        <v>759</v>
      </c>
      <c r="P10" s="22">
        <f>9+17+10+10+10+96+10+37+164+132+89+249+160+86+35+55+45</f>
        <v>1214</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45279</v>
      </c>
      <c r="B11" s="87" t="s">
        <v>37</v>
      </c>
      <c r="C11" s="89">
        <v>1</v>
      </c>
      <c r="D11" s="91" t="s">
        <v>38</v>
      </c>
      <c r="E11" s="89">
        <v>84217</v>
      </c>
      <c r="F11" s="89" t="s">
        <v>49</v>
      </c>
      <c r="G11" s="93" t="s">
        <v>71</v>
      </c>
      <c r="H11" s="90" t="s">
        <v>47</v>
      </c>
      <c r="I11" s="90">
        <v>2804</v>
      </c>
      <c r="J11" s="90">
        <v>2804</v>
      </c>
      <c r="K11" s="20">
        <v>260</v>
      </c>
      <c r="L11" s="20">
        <v>280</v>
      </c>
      <c r="M11" s="20">
        <v>124</v>
      </c>
      <c r="N11" s="97">
        <f>O12/L12</f>
        <v>0.51496388028895768</v>
      </c>
      <c r="O11" s="21">
        <f t="shared" si="0"/>
        <v>156</v>
      </c>
      <c r="P11" s="27">
        <v>328</v>
      </c>
      <c r="Q11" s="99">
        <f>+L12-P12</f>
        <v>338</v>
      </c>
      <c r="R11" s="85"/>
      <c r="S11" s="96">
        <v>87</v>
      </c>
      <c r="T11" s="96"/>
      <c r="U11" s="96"/>
      <c r="V11" s="96"/>
      <c r="W11" s="96"/>
      <c r="X11" s="96"/>
      <c r="Y11" s="96">
        <v>2</v>
      </c>
      <c r="Z11" s="96"/>
      <c r="AA11" s="96"/>
      <c r="AB11" s="96"/>
      <c r="AC11" s="96">
        <v>12</v>
      </c>
      <c r="AD11" s="96"/>
      <c r="AE11" s="96">
        <v>3</v>
      </c>
      <c r="AF11" s="96">
        <v>15</v>
      </c>
      <c r="AG11" s="96">
        <v>6</v>
      </c>
      <c r="AH11" s="96">
        <v>11</v>
      </c>
      <c r="AI11" s="96"/>
      <c r="AJ11" s="96"/>
      <c r="AK11" s="96"/>
      <c r="AL11" s="96">
        <v>20</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380+305+280+275+155+323+260</f>
        <v>1978</v>
      </c>
      <c r="L12" s="18">
        <f>270+420+350+255+363+280</f>
        <v>1938</v>
      </c>
      <c r="M12" s="18">
        <f>75+240+191+116+194+124</f>
        <v>940</v>
      </c>
      <c r="N12" s="98"/>
      <c r="O12" s="19">
        <f t="shared" si="0"/>
        <v>998</v>
      </c>
      <c r="P12" s="22">
        <f>75+240+269+187+501+328</f>
        <v>1600</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45279</v>
      </c>
      <c r="B13" s="87" t="s">
        <v>37</v>
      </c>
      <c r="C13" s="89">
        <v>1</v>
      </c>
      <c r="D13" s="91" t="s">
        <v>38</v>
      </c>
      <c r="E13" s="89">
        <v>84217</v>
      </c>
      <c r="F13" s="89" t="s">
        <v>76</v>
      </c>
      <c r="G13" s="93" t="s">
        <v>71</v>
      </c>
      <c r="H13" s="90" t="s">
        <v>80</v>
      </c>
      <c r="I13" s="90">
        <v>1452</v>
      </c>
      <c r="J13" s="90">
        <v>1452</v>
      </c>
      <c r="K13" s="20">
        <v>80</v>
      </c>
      <c r="L13" s="20">
        <v>83</v>
      </c>
      <c r="M13" s="20">
        <v>23</v>
      </c>
      <c r="N13" s="97">
        <f>O14/L14</f>
        <v>0.72053872053872059</v>
      </c>
      <c r="O13" s="21">
        <f t="shared" si="0"/>
        <v>60</v>
      </c>
      <c r="P13" s="27">
        <v>37</v>
      </c>
      <c r="Q13" s="99">
        <f>+L14-P14</f>
        <v>156</v>
      </c>
      <c r="R13" s="85"/>
      <c r="S13" s="96"/>
      <c r="T13" s="96">
        <v>9</v>
      </c>
      <c r="U13" s="96">
        <v>5</v>
      </c>
      <c r="V13" s="96"/>
      <c r="W13" s="96"/>
      <c r="X13" s="96">
        <v>1</v>
      </c>
      <c r="Y13" s="96"/>
      <c r="Z13" s="96"/>
      <c r="AA13" s="96"/>
      <c r="AB13" s="96"/>
      <c r="AC13" s="96">
        <v>8</v>
      </c>
      <c r="AD13" s="96"/>
      <c r="AE13" s="96">
        <v>3</v>
      </c>
      <c r="AF13" s="96">
        <v>12</v>
      </c>
      <c r="AG13" s="96"/>
      <c r="AH13" s="96">
        <v>15</v>
      </c>
      <c r="AI13" s="96"/>
      <c r="AJ13" s="96"/>
      <c r="AK13" s="96"/>
      <c r="AL13" s="96">
        <v>7</v>
      </c>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53+88+29+47+80</f>
        <v>297</v>
      </c>
      <c r="L14" s="18">
        <f>10+44+80+80+83</f>
        <v>297</v>
      </c>
      <c r="M14" s="18">
        <f>10+30+20+23</f>
        <v>83</v>
      </c>
      <c r="N14" s="98"/>
      <c r="O14" s="19">
        <f t="shared" si="0"/>
        <v>214</v>
      </c>
      <c r="P14" s="22">
        <f>10+74+20+37</f>
        <v>141</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6.5" customHeight="1">
      <c r="A15" s="108">
        <v>45279</v>
      </c>
      <c r="B15" s="87" t="s">
        <v>37</v>
      </c>
      <c r="C15" s="89">
        <v>1</v>
      </c>
      <c r="D15" s="91" t="s">
        <v>38</v>
      </c>
      <c r="E15" s="89">
        <v>84217</v>
      </c>
      <c r="F15" s="89" t="s">
        <v>76</v>
      </c>
      <c r="G15" s="93" t="s">
        <v>71</v>
      </c>
      <c r="H15" s="90" t="s">
        <v>75</v>
      </c>
      <c r="I15" s="90">
        <v>2615</v>
      </c>
      <c r="J15" s="90">
        <v>2615</v>
      </c>
      <c r="K15" s="20">
        <v>62</v>
      </c>
      <c r="L15" s="20">
        <v>92</v>
      </c>
      <c r="M15" s="20">
        <v>33</v>
      </c>
      <c r="N15" s="97">
        <f>O16/L16</f>
        <v>0.65666666666666662</v>
      </c>
      <c r="O15" s="21">
        <f t="shared" si="0"/>
        <v>59</v>
      </c>
      <c r="P15" s="27">
        <v>47</v>
      </c>
      <c r="Q15" s="99">
        <f>+L16-P16</f>
        <v>173</v>
      </c>
      <c r="R15" s="85"/>
      <c r="S15" s="96"/>
      <c r="T15" s="96">
        <v>10</v>
      </c>
      <c r="U15" s="96">
        <v>8</v>
      </c>
      <c r="V15" s="96"/>
      <c r="W15" s="96"/>
      <c r="X15" s="96">
        <v>1</v>
      </c>
      <c r="Y15" s="96"/>
      <c r="Z15" s="96"/>
      <c r="AA15" s="96"/>
      <c r="AB15" s="96"/>
      <c r="AC15" s="96">
        <v>15</v>
      </c>
      <c r="AD15" s="96"/>
      <c r="AE15" s="96"/>
      <c r="AF15" s="96">
        <v>5</v>
      </c>
      <c r="AG15" s="96"/>
      <c r="AH15" s="96">
        <v>10</v>
      </c>
      <c r="AI15" s="96"/>
      <c r="AJ15" s="96"/>
      <c r="AK15" s="96"/>
      <c r="AL15" s="96">
        <v>10</v>
      </c>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111+127+62</f>
        <v>300</v>
      </c>
      <c r="L16" s="18">
        <f>10+198+92</f>
        <v>300</v>
      </c>
      <c r="M16" s="18">
        <f>70+33</f>
        <v>103</v>
      </c>
      <c r="N16" s="98"/>
      <c r="O16" s="19">
        <f t="shared" si="0"/>
        <v>197</v>
      </c>
      <c r="P16" s="22">
        <f>80+47</f>
        <v>127</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45279</v>
      </c>
      <c r="B17" s="87" t="s">
        <v>37</v>
      </c>
      <c r="C17" s="89">
        <v>1</v>
      </c>
      <c r="D17" s="91" t="s">
        <v>38</v>
      </c>
      <c r="E17" s="89">
        <v>84212</v>
      </c>
      <c r="F17" s="89" t="s">
        <v>49</v>
      </c>
      <c r="G17" s="93" t="s">
        <v>55</v>
      </c>
      <c r="H17" s="90" t="s">
        <v>59</v>
      </c>
      <c r="I17" s="90">
        <v>708</v>
      </c>
      <c r="J17" s="90">
        <v>708</v>
      </c>
      <c r="K17" s="20">
        <v>1</v>
      </c>
      <c r="L17" s="20">
        <v>1</v>
      </c>
      <c r="M17" s="20">
        <v>1</v>
      </c>
      <c r="N17" s="97">
        <f>O18/L18</f>
        <v>0.72403982930298716</v>
      </c>
      <c r="O17" s="21">
        <f t="shared" si="0"/>
        <v>0</v>
      </c>
      <c r="P17" s="27">
        <v>1</v>
      </c>
      <c r="Q17" s="99">
        <f>+L18-P18</f>
        <v>0</v>
      </c>
      <c r="R17" s="85"/>
      <c r="S17" s="96"/>
      <c r="T17" s="96"/>
      <c r="U17" s="96"/>
      <c r="V17" s="96"/>
      <c r="W17" s="96"/>
      <c r="X17" s="96"/>
      <c r="Y17" s="96"/>
      <c r="Z17" s="96"/>
      <c r="AA17" s="96"/>
      <c r="AB17" s="96"/>
      <c r="AC17" s="96"/>
      <c r="AD17" s="96"/>
      <c r="AE17" s="96"/>
      <c r="AF17" s="96"/>
      <c r="AG17" s="96"/>
      <c r="AH17" s="96"/>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105+109+70+77+65+110+122+34+3+3+4+1</f>
        <v>703</v>
      </c>
      <c r="L18" s="18">
        <f>25+50+65+80+80+30+80+50+160+78+4+1</f>
        <v>703</v>
      </c>
      <c r="M18" s="18">
        <f>15+20+20+15+5+11+20+50+33+4+1</f>
        <v>194</v>
      </c>
      <c r="N18" s="98"/>
      <c r="O18" s="19">
        <f t="shared" si="0"/>
        <v>509</v>
      </c>
      <c r="P18" s="22">
        <f>15+20+35+15+5+11+53+50+335+120+10+13+20+1</f>
        <v>703</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45279</v>
      </c>
      <c r="B19" s="87" t="s">
        <v>37</v>
      </c>
      <c r="C19" s="89">
        <v>1</v>
      </c>
      <c r="D19" s="91" t="s">
        <v>38</v>
      </c>
      <c r="E19" s="89">
        <v>84212</v>
      </c>
      <c r="F19" s="89" t="s">
        <v>49</v>
      </c>
      <c r="G19" s="93" t="s">
        <v>55</v>
      </c>
      <c r="H19" s="90" t="s">
        <v>67</v>
      </c>
      <c r="I19" s="90">
        <v>1813</v>
      </c>
      <c r="J19" s="90">
        <v>1813</v>
      </c>
      <c r="K19" s="20">
        <v>0</v>
      </c>
      <c r="L19" s="20">
        <v>0</v>
      </c>
      <c r="M19" s="20">
        <v>0</v>
      </c>
      <c r="N19" s="97">
        <f>O20/L20</f>
        <v>0.76349471341124098</v>
      </c>
      <c r="O19" s="21">
        <f t="shared" si="0"/>
        <v>0</v>
      </c>
      <c r="P19" s="27">
        <v>120</v>
      </c>
      <c r="Q19" s="99">
        <f>+L20-P20</f>
        <v>205</v>
      </c>
      <c r="R19" s="85"/>
      <c r="S19" s="96"/>
      <c r="T19" s="96"/>
      <c r="U19" s="96"/>
      <c r="V19" s="96"/>
      <c r="W19" s="96"/>
      <c r="X19" s="96"/>
      <c r="Y19" s="96"/>
      <c r="Z19" s="96"/>
      <c r="AA19" s="96"/>
      <c r="AB19" s="96"/>
      <c r="AC19" s="96"/>
      <c r="AD19" s="96"/>
      <c r="AE19" s="96"/>
      <c r="AF19" s="96"/>
      <c r="AG19" s="96"/>
      <c r="AH19" s="96"/>
      <c r="AI19" s="96"/>
      <c r="AJ19" s="96"/>
      <c r="AK19" s="96"/>
      <c r="AL19" s="96"/>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272+145+148+175+345+259+198+95+65+82+13</f>
        <v>1797</v>
      </c>
      <c r="L20" s="18">
        <f>30+110+235+150+484+100+160+348+142+38</f>
        <v>1797</v>
      </c>
      <c r="M20" s="18">
        <f>5+10+50+40+110+10+55+118+27</f>
        <v>425</v>
      </c>
      <c r="N20" s="98"/>
      <c r="O20" s="19">
        <f t="shared" si="0"/>
        <v>1372</v>
      </c>
      <c r="P20" s="22">
        <f>5+10+65+80+262+130+217+170+330+32+171+120</f>
        <v>1592</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45279</v>
      </c>
      <c r="B21" s="87" t="s">
        <v>37</v>
      </c>
      <c r="C21" s="89">
        <v>1</v>
      </c>
      <c r="D21" s="91" t="s">
        <v>38</v>
      </c>
      <c r="E21" s="89">
        <v>84212</v>
      </c>
      <c r="F21" s="89" t="s">
        <v>49</v>
      </c>
      <c r="G21" s="93" t="s">
        <v>55</v>
      </c>
      <c r="H21" s="90" t="s">
        <v>62</v>
      </c>
      <c r="I21" s="90">
        <v>2218</v>
      </c>
      <c r="J21" s="90">
        <v>1640</v>
      </c>
      <c r="K21" s="20">
        <v>220</v>
      </c>
      <c r="L21" s="20">
        <v>210</v>
      </c>
      <c r="M21" s="20">
        <v>60</v>
      </c>
      <c r="N21" s="97">
        <f>O22/L22</f>
        <v>0.65098634294385438</v>
      </c>
      <c r="O21" s="21">
        <f t="shared" si="0"/>
        <v>150</v>
      </c>
      <c r="P21" s="27">
        <v>93</v>
      </c>
      <c r="Q21" s="99">
        <f>+L22-P22</f>
        <v>473</v>
      </c>
      <c r="R21" s="85"/>
      <c r="S21" s="96"/>
      <c r="T21" s="96">
        <v>14</v>
      </c>
      <c r="U21" s="96">
        <v>21</v>
      </c>
      <c r="V21" s="96"/>
      <c r="W21" s="96"/>
      <c r="X21" s="96">
        <v>7</v>
      </c>
      <c r="Y21" s="96"/>
      <c r="Z21" s="96"/>
      <c r="AA21" s="96"/>
      <c r="AB21" s="96"/>
      <c r="AC21" s="96">
        <v>20</v>
      </c>
      <c r="AD21" s="96"/>
      <c r="AE21" s="96">
        <v>9</v>
      </c>
      <c r="AF21" s="96">
        <v>12</v>
      </c>
      <c r="AG21" s="96">
        <v>34</v>
      </c>
      <c r="AH21" s="96">
        <v>21</v>
      </c>
      <c r="AI21" s="96"/>
      <c r="AJ21" s="96"/>
      <c r="AK21" s="96"/>
      <c r="AL21" s="96">
        <v>12</v>
      </c>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166+95+22+85+70+260+370+120+220</f>
        <v>1408</v>
      </c>
      <c r="L22" s="18">
        <f>40+40+160+43+115+140+230+340+210</f>
        <v>1318</v>
      </c>
      <c r="M22" s="18">
        <f>6+14+50+20+50+60+110+90+60</f>
        <v>460</v>
      </c>
      <c r="N22" s="98"/>
      <c r="O22" s="19">
        <f t="shared" si="0"/>
        <v>858</v>
      </c>
      <c r="P22" s="22">
        <f>6+14+50+28+64+69+71+77+120+253+93</f>
        <v>845</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45279</v>
      </c>
      <c r="B23" s="87" t="s">
        <v>37</v>
      </c>
      <c r="C23" s="89">
        <v>1</v>
      </c>
      <c r="D23" s="91" t="s">
        <v>38</v>
      </c>
      <c r="E23" s="89">
        <v>84212</v>
      </c>
      <c r="F23" s="89" t="s">
        <v>49</v>
      </c>
      <c r="G23" s="93" t="s">
        <v>55</v>
      </c>
      <c r="H23" s="90" t="s">
        <v>78</v>
      </c>
      <c r="I23" s="90">
        <v>747</v>
      </c>
      <c r="J23" s="90">
        <v>747</v>
      </c>
      <c r="K23" s="20">
        <v>0</v>
      </c>
      <c r="L23" s="20">
        <v>0</v>
      </c>
      <c r="M23" s="20">
        <v>0</v>
      </c>
      <c r="N23" s="97">
        <f>O24/L24</f>
        <v>0.78982597054886217</v>
      </c>
      <c r="O23" s="21">
        <f t="shared" si="0"/>
        <v>0</v>
      </c>
      <c r="P23" s="27">
        <v>72</v>
      </c>
      <c r="Q23" s="99">
        <f>+L24-P24</f>
        <v>0</v>
      </c>
      <c r="R23" s="85"/>
      <c r="S23" s="96"/>
      <c r="T23" s="96"/>
      <c r="U23" s="96"/>
      <c r="V23" s="96"/>
      <c r="W23" s="96"/>
      <c r="X23" s="96"/>
      <c r="Y23" s="96"/>
      <c r="Z23" s="96"/>
      <c r="AA23" s="96"/>
      <c r="AB23" s="96"/>
      <c r="AC23" s="96"/>
      <c r="AD23" s="96"/>
      <c r="AE23" s="96"/>
      <c r="AF23" s="96"/>
      <c r="AG23" s="96"/>
      <c r="AH23" s="96"/>
      <c r="AI23" s="96"/>
      <c r="AJ23" s="96"/>
      <c r="AK23" s="96"/>
      <c r="AL23" s="96"/>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22">
        <f>117+41+130+144+90+84+85+52+4</f>
        <v>747</v>
      </c>
      <c r="L24" s="18">
        <f>80+50+150+150+176+75+66</f>
        <v>747</v>
      </c>
      <c r="M24" s="18">
        <f>10+5+30+30+36+25+21</f>
        <v>157</v>
      </c>
      <c r="N24" s="98"/>
      <c r="O24" s="19">
        <f t="shared" si="0"/>
        <v>590</v>
      </c>
      <c r="P24" s="22">
        <f>10+5+30+171+80+133+152+62+32+72</f>
        <v>747</v>
      </c>
      <c r="Q24" s="100"/>
      <c r="R24" s="86"/>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45279</v>
      </c>
      <c r="B25" s="87" t="s">
        <v>37</v>
      </c>
      <c r="C25" s="89">
        <v>1</v>
      </c>
      <c r="D25" s="91" t="s">
        <v>38</v>
      </c>
      <c r="E25" s="89">
        <v>84212</v>
      </c>
      <c r="F25" s="89" t="s">
        <v>49</v>
      </c>
      <c r="G25" s="93" t="s">
        <v>55</v>
      </c>
      <c r="H25" s="90" t="s">
        <v>50</v>
      </c>
      <c r="I25" s="90">
        <v>588</v>
      </c>
      <c r="J25" s="90">
        <v>588</v>
      </c>
      <c r="K25" s="20">
        <v>90</v>
      </c>
      <c r="L25" s="20">
        <v>80</v>
      </c>
      <c r="M25" s="20">
        <v>30</v>
      </c>
      <c r="N25" s="97">
        <f>O26/L26</f>
        <v>0.52671755725190839</v>
      </c>
      <c r="O25" s="21">
        <f t="shared" si="0"/>
        <v>50</v>
      </c>
      <c r="P25" s="27">
        <v>45</v>
      </c>
      <c r="Q25" s="99">
        <f>+L26-P26</f>
        <v>123</v>
      </c>
      <c r="R25" s="85"/>
      <c r="S25" s="96"/>
      <c r="T25" s="96">
        <v>11</v>
      </c>
      <c r="U25" s="96">
        <v>1</v>
      </c>
      <c r="V25" s="96"/>
      <c r="W25" s="96"/>
      <c r="X25" s="96"/>
      <c r="Y25" s="96"/>
      <c r="Z25" s="96"/>
      <c r="AA25" s="96"/>
      <c r="AB25" s="96"/>
      <c r="AC25" s="96">
        <v>3</v>
      </c>
      <c r="AD25" s="96"/>
      <c r="AE25" s="96"/>
      <c r="AF25" s="96">
        <v>3</v>
      </c>
      <c r="AG25" s="96">
        <v>28</v>
      </c>
      <c r="AH25" s="96">
        <v>3</v>
      </c>
      <c r="AI25" s="96"/>
      <c r="AJ25" s="96"/>
      <c r="AK25" s="96"/>
      <c r="AL25" s="96">
        <v>1</v>
      </c>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5"/>
      <c r="B26" s="88"/>
      <c r="C26" s="90"/>
      <c r="D26" s="92"/>
      <c r="E26" s="90"/>
      <c r="F26" s="90"/>
      <c r="G26" s="94"/>
      <c r="H26" s="95"/>
      <c r="I26" s="95"/>
      <c r="J26" s="95"/>
      <c r="K26" s="22">
        <f>114+135+90</f>
        <v>339</v>
      </c>
      <c r="L26" s="18">
        <f>77+105+80</f>
        <v>262</v>
      </c>
      <c r="M26" s="18">
        <f>37+57+30</f>
        <v>124</v>
      </c>
      <c r="N26" s="98"/>
      <c r="O26" s="19">
        <f t="shared" si="0"/>
        <v>138</v>
      </c>
      <c r="P26" s="22">
        <f>37+57+45</f>
        <v>139</v>
      </c>
      <c r="Q26" s="100"/>
      <c r="R26" s="86"/>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108">
        <v>45279</v>
      </c>
      <c r="B27" s="87" t="s">
        <v>37</v>
      </c>
      <c r="C27" s="89">
        <v>1</v>
      </c>
      <c r="D27" s="91" t="s">
        <v>38</v>
      </c>
      <c r="E27" s="89">
        <v>84212</v>
      </c>
      <c r="F27" s="89" t="s">
        <v>49</v>
      </c>
      <c r="G27" s="93" t="s">
        <v>61</v>
      </c>
      <c r="H27" s="89" t="s">
        <v>59</v>
      </c>
      <c r="I27" s="89">
        <v>515</v>
      </c>
      <c r="J27" s="89">
        <v>515</v>
      </c>
      <c r="K27" s="20">
        <v>0</v>
      </c>
      <c r="L27" s="20">
        <v>76</v>
      </c>
      <c r="M27" s="20">
        <v>35</v>
      </c>
      <c r="N27" s="146">
        <f>O28/L28</f>
        <v>0.62548262548262545</v>
      </c>
      <c r="O27" s="21">
        <f t="shared" si="0"/>
        <v>41</v>
      </c>
      <c r="P27" s="27">
        <v>36</v>
      </c>
      <c r="Q27" s="99">
        <f>+L28-P28</f>
        <v>140</v>
      </c>
      <c r="R27" s="108"/>
      <c r="S27" s="149"/>
      <c r="T27" s="149">
        <v>7</v>
      </c>
      <c r="U27" s="149">
        <v>3</v>
      </c>
      <c r="V27" s="149"/>
      <c r="W27" s="149"/>
      <c r="X27" s="149"/>
      <c r="Y27" s="149"/>
      <c r="Z27" s="149"/>
      <c r="AA27" s="149"/>
      <c r="AB27" s="149"/>
      <c r="AC27" s="149">
        <v>6</v>
      </c>
      <c r="AD27" s="149"/>
      <c r="AE27" s="149">
        <v>4</v>
      </c>
      <c r="AF27" s="149">
        <v>2</v>
      </c>
      <c r="AG27" s="149">
        <v>4</v>
      </c>
      <c r="AH27" s="149">
        <v>8</v>
      </c>
      <c r="AI27" s="149"/>
      <c r="AJ27" s="149"/>
      <c r="AK27" s="149"/>
      <c r="AL27" s="149">
        <v>7</v>
      </c>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149+124+88+81+76</f>
        <v>518</v>
      </c>
      <c r="L28" s="18">
        <f>149+138+40+115+76</f>
        <v>518</v>
      </c>
      <c r="M28" s="18">
        <f>60+50+10+39+35</f>
        <v>194</v>
      </c>
      <c r="N28" s="147"/>
      <c r="O28" s="19">
        <f t="shared" si="0"/>
        <v>324</v>
      </c>
      <c r="P28" s="22">
        <f>60+60+77+145+36</f>
        <v>378</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45279</v>
      </c>
      <c r="B29" s="87" t="s">
        <v>37</v>
      </c>
      <c r="C29" s="89">
        <v>1</v>
      </c>
      <c r="D29" s="91" t="s">
        <v>38</v>
      </c>
      <c r="E29" s="89">
        <v>84212</v>
      </c>
      <c r="F29" s="89" t="s">
        <v>49</v>
      </c>
      <c r="G29" s="93" t="s">
        <v>61</v>
      </c>
      <c r="H29" s="89" t="s">
        <v>50</v>
      </c>
      <c r="I29" s="89">
        <v>925</v>
      </c>
      <c r="J29" s="89">
        <v>925</v>
      </c>
      <c r="K29" s="20">
        <v>53</v>
      </c>
      <c r="L29" s="20">
        <v>0</v>
      </c>
      <c r="M29" s="20">
        <v>0</v>
      </c>
      <c r="N29" s="146" t="e">
        <f>O30/L30</f>
        <v>#DIV/0!</v>
      </c>
      <c r="O29" s="21">
        <f t="shared" si="0"/>
        <v>0</v>
      </c>
      <c r="P29" s="27">
        <v>0</v>
      </c>
      <c r="Q29" s="99">
        <f>+L30-P30</f>
        <v>0</v>
      </c>
      <c r="R29" s="108"/>
      <c r="S29" s="149"/>
      <c r="T29" s="149"/>
      <c r="U29" s="149"/>
      <c r="V29" s="149"/>
      <c r="W29" s="149"/>
      <c r="X29" s="149"/>
      <c r="Y29" s="149"/>
      <c r="Z29" s="149"/>
      <c r="AA29" s="149"/>
      <c r="AB29" s="149"/>
      <c r="AC29" s="149"/>
      <c r="AD29" s="149"/>
      <c r="AE29" s="149"/>
      <c r="AF29" s="149"/>
      <c r="AG29" s="149"/>
      <c r="AH29" s="149"/>
      <c r="AI29" s="149"/>
      <c r="AJ29" s="149"/>
      <c r="AK29" s="149"/>
      <c r="AL29" s="149"/>
      <c r="AM29" s="163"/>
      <c r="AN29" s="163"/>
      <c r="AO29" s="163"/>
      <c r="AP29" s="163"/>
      <c r="AQ29" s="163"/>
      <c r="AR29" s="163"/>
      <c r="AS29" s="163"/>
      <c r="AT29" s="163"/>
      <c r="AU29" s="163"/>
      <c r="AV29" s="163"/>
      <c r="AW29" s="163"/>
      <c r="AX29" s="163"/>
      <c r="AY29" s="167"/>
      <c r="AZ29" s="167"/>
      <c r="BA29" s="167"/>
      <c r="BB29" s="167"/>
      <c r="BC29" s="167"/>
      <c r="BD29" s="167"/>
      <c r="BE29" s="163"/>
      <c r="BF29" s="165"/>
      <c r="BG29" s="165"/>
    </row>
    <row r="30" spans="1:59" s="17" customFormat="1" ht="15.75" customHeight="1">
      <c r="A30" s="85"/>
      <c r="B30" s="88"/>
      <c r="C30" s="90"/>
      <c r="D30" s="92"/>
      <c r="E30" s="90"/>
      <c r="F30" s="90"/>
      <c r="G30" s="94"/>
      <c r="H30" s="90"/>
      <c r="I30" s="90"/>
      <c r="J30" s="90"/>
      <c r="K30" s="22">
        <f>53</f>
        <v>53</v>
      </c>
      <c r="L30" s="18">
        <v>0</v>
      </c>
      <c r="M30" s="18">
        <v>0</v>
      </c>
      <c r="N30" s="147"/>
      <c r="O30" s="19">
        <f t="shared" si="0"/>
        <v>0</v>
      </c>
      <c r="P30" s="22">
        <v>0</v>
      </c>
      <c r="Q30" s="100"/>
      <c r="R30" s="85"/>
      <c r="S30" s="150"/>
      <c r="T30" s="150"/>
      <c r="U30" s="150"/>
      <c r="V30" s="150"/>
      <c r="W30" s="150"/>
      <c r="X30" s="150"/>
      <c r="Y30" s="150"/>
      <c r="Z30" s="150"/>
      <c r="AA30" s="150"/>
      <c r="AB30" s="150"/>
      <c r="AC30" s="150"/>
      <c r="AD30" s="150"/>
      <c r="AE30" s="150"/>
      <c r="AF30" s="150"/>
      <c r="AG30" s="150"/>
      <c r="AH30" s="150"/>
      <c r="AI30" s="150"/>
      <c r="AJ30" s="150"/>
      <c r="AK30" s="150"/>
      <c r="AL30" s="150"/>
      <c r="AM30" s="164"/>
      <c r="AN30" s="164"/>
      <c r="AO30" s="164"/>
      <c r="AP30" s="164"/>
      <c r="AQ30" s="164"/>
      <c r="AR30" s="164"/>
      <c r="AS30" s="164"/>
      <c r="AT30" s="164"/>
      <c r="AU30" s="164"/>
      <c r="AV30" s="164"/>
      <c r="AW30" s="164"/>
      <c r="AX30" s="164"/>
      <c r="AY30" s="168"/>
      <c r="AZ30" s="168"/>
      <c r="BA30" s="168"/>
      <c r="BB30" s="168"/>
      <c r="BC30" s="168"/>
      <c r="BD30" s="168"/>
      <c r="BE30" s="164"/>
      <c r="BF30" s="166"/>
      <c r="BG30" s="166"/>
    </row>
    <row r="31" spans="1:59" s="17" customFormat="1" ht="15.75" customHeight="1">
      <c r="A31" s="108">
        <v>45279</v>
      </c>
      <c r="B31" s="87" t="s">
        <v>37</v>
      </c>
      <c r="C31" s="89">
        <v>1</v>
      </c>
      <c r="D31" s="91" t="s">
        <v>38</v>
      </c>
      <c r="E31" s="89">
        <v>84212</v>
      </c>
      <c r="F31" s="89" t="s">
        <v>49</v>
      </c>
      <c r="G31" s="93" t="s">
        <v>63</v>
      </c>
      <c r="H31" s="89" t="s">
        <v>62</v>
      </c>
      <c r="I31" s="89">
        <v>2344</v>
      </c>
      <c r="J31" s="89">
        <v>2344</v>
      </c>
      <c r="K31" s="20">
        <v>70</v>
      </c>
      <c r="L31" s="20">
        <v>120</v>
      </c>
      <c r="M31" s="20">
        <v>20</v>
      </c>
      <c r="N31" s="146">
        <f>O32/L32</f>
        <v>0.84732824427480913</v>
      </c>
      <c r="O31" s="21">
        <f t="shared" si="0"/>
        <v>100</v>
      </c>
      <c r="P31" s="27">
        <v>80</v>
      </c>
      <c r="Q31" s="99">
        <f>+L32-P32</f>
        <v>162</v>
      </c>
      <c r="R31" s="108"/>
      <c r="S31" s="149"/>
      <c r="T31" s="149">
        <v>35</v>
      </c>
      <c r="U31" s="149"/>
      <c r="V31" s="149"/>
      <c r="W31" s="149"/>
      <c r="X31" s="149"/>
      <c r="Y31" s="149"/>
      <c r="Z31" s="149"/>
      <c r="AA31" s="149"/>
      <c r="AB31" s="149"/>
      <c r="AC31" s="149">
        <v>15</v>
      </c>
      <c r="AD31" s="149"/>
      <c r="AE31" s="149"/>
      <c r="AF31" s="149">
        <v>15</v>
      </c>
      <c r="AG31" s="149"/>
      <c r="AH31" s="149">
        <v>15</v>
      </c>
      <c r="AI31" s="149"/>
      <c r="AJ31" s="149"/>
      <c r="AK31" s="149"/>
      <c r="AL31" s="149">
        <v>20</v>
      </c>
      <c r="AM31" s="163"/>
      <c r="AN31" s="163"/>
      <c r="AO31" s="163"/>
      <c r="AP31" s="163"/>
      <c r="AQ31" s="163"/>
      <c r="AR31" s="163"/>
      <c r="AS31" s="163"/>
      <c r="AT31" s="163"/>
      <c r="AU31" s="163"/>
      <c r="AV31" s="163"/>
      <c r="AW31" s="163"/>
      <c r="AX31" s="163"/>
      <c r="AY31" s="167"/>
      <c r="AZ31" s="167"/>
      <c r="BA31" s="167"/>
      <c r="BB31" s="167"/>
      <c r="BC31" s="167"/>
      <c r="BD31" s="167"/>
      <c r="BE31" s="163"/>
      <c r="BF31" s="165"/>
      <c r="BG31" s="165"/>
    </row>
    <row r="32" spans="1:59" s="17" customFormat="1" ht="15.75" customHeight="1">
      <c r="A32" s="85"/>
      <c r="B32" s="88"/>
      <c r="C32" s="90"/>
      <c r="D32" s="92"/>
      <c r="E32" s="90"/>
      <c r="F32" s="90"/>
      <c r="G32" s="94"/>
      <c r="H32" s="90"/>
      <c r="I32" s="90"/>
      <c r="J32" s="90"/>
      <c r="K32" s="22">
        <f>102+90+70</f>
        <v>262</v>
      </c>
      <c r="L32" s="18">
        <f>32+110+120</f>
        <v>262</v>
      </c>
      <c r="M32" s="18">
        <f>20+20</f>
        <v>40</v>
      </c>
      <c r="N32" s="147"/>
      <c r="O32" s="19">
        <f t="shared" si="0"/>
        <v>222</v>
      </c>
      <c r="P32" s="22">
        <f>20+80</f>
        <v>100</v>
      </c>
      <c r="Q32" s="100"/>
      <c r="R32" s="85"/>
      <c r="S32" s="150"/>
      <c r="T32" s="150"/>
      <c r="U32" s="150"/>
      <c r="V32" s="150"/>
      <c r="W32" s="150"/>
      <c r="X32" s="150"/>
      <c r="Y32" s="150"/>
      <c r="Z32" s="150"/>
      <c r="AA32" s="150"/>
      <c r="AB32" s="150"/>
      <c r="AC32" s="150"/>
      <c r="AD32" s="150"/>
      <c r="AE32" s="150"/>
      <c r="AF32" s="150"/>
      <c r="AG32" s="150"/>
      <c r="AH32" s="150"/>
      <c r="AI32" s="150"/>
      <c r="AJ32" s="150"/>
      <c r="AK32" s="150"/>
      <c r="AL32" s="150"/>
      <c r="AM32" s="164"/>
      <c r="AN32" s="164"/>
      <c r="AO32" s="164"/>
      <c r="AP32" s="164"/>
      <c r="AQ32" s="164"/>
      <c r="AR32" s="164"/>
      <c r="AS32" s="164"/>
      <c r="AT32" s="164"/>
      <c r="AU32" s="164"/>
      <c r="AV32" s="164"/>
      <c r="AW32" s="164"/>
      <c r="AX32" s="164"/>
      <c r="AY32" s="168"/>
      <c r="AZ32" s="168"/>
      <c r="BA32" s="168"/>
      <c r="BB32" s="168"/>
      <c r="BC32" s="168"/>
      <c r="BD32" s="168"/>
      <c r="BE32" s="164"/>
      <c r="BF32" s="166"/>
      <c r="BG32" s="166"/>
    </row>
    <row r="33" spans="1:59" s="17" customFormat="1" ht="15.75" customHeight="1">
      <c r="A33" s="108">
        <v>45279</v>
      </c>
      <c r="B33" s="87" t="s">
        <v>37</v>
      </c>
      <c r="C33" s="89">
        <v>1</v>
      </c>
      <c r="D33" s="91" t="s">
        <v>38</v>
      </c>
      <c r="E33" s="89">
        <v>84426</v>
      </c>
      <c r="F33" s="89" t="s">
        <v>49</v>
      </c>
      <c r="G33" s="93" t="s">
        <v>55</v>
      </c>
      <c r="H33" s="90" t="s">
        <v>58</v>
      </c>
      <c r="I33" s="90">
        <v>549</v>
      </c>
      <c r="J33" s="90">
        <v>549</v>
      </c>
      <c r="K33" s="20">
        <v>0</v>
      </c>
      <c r="L33" s="20">
        <v>0</v>
      </c>
      <c r="M33" s="20">
        <v>0</v>
      </c>
      <c r="N33" s="97">
        <f>O34/L34</f>
        <v>0.81238615664845171</v>
      </c>
      <c r="O33" s="21">
        <f t="shared" si="0"/>
        <v>0</v>
      </c>
      <c r="P33" s="27">
        <v>0</v>
      </c>
      <c r="Q33" s="99">
        <f>+L34-P34</f>
        <v>3</v>
      </c>
      <c r="R33" s="108"/>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49">
        <f>483+66</f>
        <v>549</v>
      </c>
      <c r="L34" s="18">
        <f>483+66</f>
        <v>549</v>
      </c>
      <c r="M34" s="18">
        <f>86+17</f>
        <v>103</v>
      </c>
      <c r="N34" s="98"/>
      <c r="O34" s="19">
        <f t="shared" si="0"/>
        <v>446</v>
      </c>
      <c r="P34" s="22">
        <f>453+80+11+2</f>
        <v>546</v>
      </c>
      <c r="Q34" s="100"/>
      <c r="R34" s="85"/>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45279</v>
      </c>
      <c r="B35" s="87" t="s">
        <v>37</v>
      </c>
      <c r="C35" s="89">
        <v>1</v>
      </c>
      <c r="D35" s="91" t="s">
        <v>38</v>
      </c>
      <c r="E35" s="89">
        <v>84352</v>
      </c>
      <c r="F35" s="89" t="s">
        <v>49</v>
      </c>
      <c r="G35" s="93" t="s">
        <v>55</v>
      </c>
      <c r="H35" s="109" t="s">
        <v>39</v>
      </c>
      <c r="I35" s="90">
        <v>1050</v>
      </c>
      <c r="J35" s="170">
        <v>1053</v>
      </c>
      <c r="K35" s="43">
        <v>20</v>
      </c>
      <c r="L35" s="48">
        <v>20</v>
      </c>
      <c r="M35" s="20">
        <v>9</v>
      </c>
      <c r="N35" s="97">
        <f>O36/L36</f>
        <v>0.64230769230769236</v>
      </c>
      <c r="O35" s="21">
        <f t="shared" si="0"/>
        <v>11</v>
      </c>
      <c r="P35" s="27">
        <v>9</v>
      </c>
      <c r="Q35" s="99">
        <f>+L36-P36</f>
        <v>11</v>
      </c>
      <c r="R35" s="85"/>
      <c r="S35" s="96"/>
      <c r="T35" s="96"/>
      <c r="U35" s="96"/>
      <c r="V35" s="96"/>
      <c r="W35" s="96"/>
      <c r="X35" s="96"/>
      <c r="Y35" s="96"/>
      <c r="Z35" s="96"/>
      <c r="AA35" s="96"/>
      <c r="AB35" s="96"/>
      <c r="AC35" s="96">
        <v>2</v>
      </c>
      <c r="AD35" s="96"/>
      <c r="AE35" s="96"/>
      <c r="AF35" s="96">
        <v>6</v>
      </c>
      <c r="AG35" s="96"/>
      <c r="AH35" s="96">
        <v>3</v>
      </c>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171"/>
      <c r="K36" s="47">
        <f>320+108+237+109+43+100+35+68+20</f>
        <v>1040</v>
      </c>
      <c r="L36" s="46">
        <f>10+10+10+235+60+10+150+85+185+102+40+95+28+20</f>
        <v>1040</v>
      </c>
      <c r="M36" s="18">
        <f>75+30+45+42+80+30+8+40+13+9</f>
        <v>372</v>
      </c>
      <c r="N36" s="98"/>
      <c r="O36" s="19">
        <f t="shared" si="0"/>
        <v>668</v>
      </c>
      <c r="P36" s="22">
        <f>105+70+80+92+96+70+74+165+91+21+40+50+46+20+9</f>
        <v>1029</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45279</v>
      </c>
      <c r="B37" s="87" t="s">
        <v>37</v>
      </c>
      <c r="C37" s="89">
        <v>1</v>
      </c>
      <c r="D37" s="91" t="s">
        <v>38</v>
      </c>
      <c r="E37" s="89">
        <v>84352</v>
      </c>
      <c r="F37" s="89" t="s">
        <v>49</v>
      </c>
      <c r="G37" s="93" t="s">
        <v>55</v>
      </c>
      <c r="H37" s="109" t="s">
        <v>57</v>
      </c>
      <c r="I37" s="90">
        <v>525</v>
      </c>
      <c r="J37" s="90">
        <v>525</v>
      </c>
      <c r="K37" s="20">
        <v>0</v>
      </c>
      <c r="L37" s="20">
        <v>0</v>
      </c>
      <c r="M37" s="20">
        <v>0</v>
      </c>
      <c r="N37" s="97">
        <f>O38/L38</f>
        <v>0.65714285714285714</v>
      </c>
      <c r="O37" s="21">
        <f t="shared" si="0"/>
        <v>0</v>
      </c>
      <c r="P37" s="27">
        <v>37</v>
      </c>
      <c r="Q37" s="99">
        <f>+L38-P38</f>
        <v>50</v>
      </c>
      <c r="R37" s="85"/>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41">
        <f>70+50+122+102+35+75+71</f>
        <v>525</v>
      </c>
      <c r="L38" s="18">
        <f>20+60+162+37+125+50+71</f>
        <v>525</v>
      </c>
      <c r="M38" s="18">
        <f>9+30+22+7+65+16+31</f>
        <v>180</v>
      </c>
      <c r="N38" s="98"/>
      <c r="O38" s="19">
        <f t="shared" si="0"/>
        <v>345</v>
      </c>
      <c r="P38" s="22">
        <f>9+30+32+8+90+90+15+164+37</f>
        <v>475</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45279</v>
      </c>
      <c r="B39" s="87" t="s">
        <v>37</v>
      </c>
      <c r="C39" s="89">
        <v>1</v>
      </c>
      <c r="D39" s="91" t="s">
        <v>38</v>
      </c>
      <c r="E39" s="89">
        <v>84031</v>
      </c>
      <c r="F39" s="89" t="s">
        <v>49</v>
      </c>
      <c r="G39" s="93" t="s">
        <v>53</v>
      </c>
      <c r="H39" s="90" t="s">
        <v>57</v>
      </c>
      <c r="I39" s="90">
        <v>563</v>
      </c>
      <c r="J39" s="90">
        <v>563</v>
      </c>
      <c r="K39" s="43">
        <v>0</v>
      </c>
      <c r="L39" s="20">
        <v>0</v>
      </c>
      <c r="M39" s="20">
        <v>0</v>
      </c>
      <c r="N39" s="97">
        <f>O40/L40</f>
        <v>0.85343228200371057</v>
      </c>
      <c r="O39" s="21">
        <f t="shared" si="0"/>
        <v>0</v>
      </c>
      <c r="P39" s="27">
        <v>0</v>
      </c>
      <c r="Q39" s="99">
        <f>+L40-P40</f>
        <v>0</v>
      </c>
      <c r="R39" s="85" t="s">
        <v>86</v>
      </c>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516+20+3</f>
        <v>539</v>
      </c>
      <c r="L40" s="18">
        <f>516+20+3</f>
        <v>539</v>
      </c>
      <c r="M40" s="18">
        <f>74+2+3</f>
        <v>79</v>
      </c>
      <c r="N40" s="98"/>
      <c r="O40" s="19">
        <f t="shared" si="0"/>
        <v>460</v>
      </c>
      <c r="P40" s="22">
        <f>516+20+3</f>
        <v>539</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45279</v>
      </c>
      <c r="B41" s="87" t="s">
        <v>37</v>
      </c>
      <c r="C41" s="89">
        <v>1</v>
      </c>
      <c r="D41" s="91" t="s">
        <v>38</v>
      </c>
      <c r="E41" s="89">
        <v>84031</v>
      </c>
      <c r="F41" s="89" t="s">
        <v>49</v>
      </c>
      <c r="G41" s="93" t="s">
        <v>53</v>
      </c>
      <c r="H41" s="90" t="s">
        <v>39</v>
      </c>
      <c r="I41" s="90">
        <v>623</v>
      </c>
      <c r="J41" s="90">
        <v>623</v>
      </c>
      <c r="K41" s="20">
        <v>0</v>
      </c>
      <c r="L41" s="20">
        <v>0</v>
      </c>
      <c r="M41" s="20">
        <v>0</v>
      </c>
      <c r="N41" s="97">
        <f>O42/L42</f>
        <v>0.79710144927536231</v>
      </c>
      <c r="O41" s="21">
        <f t="shared" si="0"/>
        <v>0</v>
      </c>
      <c r="P41" s="27">
        <v>0</v>
      </c>
      <c r="Q41" s="99">
        <f>+L42-P42</f>
        <v>0</v>
      </c>
      <c r="R41" s="85" t="s">
        <v>86</v>
      </c>
      <c r="S41" s="96"/>
      <c r="T41" s="96"/>
      <c r="U41" s="96"/>
      <c r="V41" s="96"/>
      <c r="W41" s="96"/>
      <c r="X41" s="96"/>
      <c r="Y41" s="96"/>
      <c r="Z41" s="96"/>
      <c r="AA41" s="96"/>
      <c r="AB41" s="96"/>
      <c r="AC41" s="96"/>
      <c r="AD41" s="96"/>
      <c r="AE41" s="96"/>
      <c r="AF41" s="96"/>
      <c r="AG41" s="96"/>
      <c r="AH41" s="96"/>
      <c r="AI41" s="96"/>
      <c r="AJ41" s="96"/>
      <c r="AK41" s="96"/>
      <c r="AL41" s="96"/>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574+9+30+5+3</f>
        <v>621</v>
      </c>
      <c r="L42" s="18">
        <f>574+9+30+5+3</f>
        <v>621</v>
      </c>
      <c r="M42" s="18">
        <f>109+9+5+3</f>
        <v>126</v>
      </c>
      <c r="N42" s="98"/>
      <c r="O42" s="19">
        <f t="shared" si="0"/>
        <v>495</v>
      </c>
      <c r="P42" s="22">
        <f>574+9+30+5+3</f>
        <v>621</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s="17" customFormat="1" ht="15.75" customHeight="1">
      <c r="A43" s="108">
        <v>45279</v>
      </c>
      <c r="B43" s="87" t="s">
        <v>37</v>
      </c>
      <c r="C43" s="89">
        <v>1</v>
      </c>
      <c r="D43" s="91" t="s">
        <v>77</v>
      </c>
      <c r="E43" s="89">
        <v>20785</v>
      </c>
      <c r="F43" s="89" t="s">
        <v>76</v>
      </c>
      <c r="G43" s="93" t="s">
        <v>71</v>
      </c>
      <c r="H43" s="90" t="s">
        <v>70</v>
      </c>
      <c r="I43" s="90">
        <v>1475</v>
      </c>
      <c r="J43" s="90">
        <v>1475</v>
      </c>
      <c r="K43" s="20">
        <v>29</v>
      </c>
      <c r="L43" s="20">
        <v>29</v>
      </c>
      <c r="M43" s="20">
        <v>9</v>
      </c>
      <c r="N43" s="97">
        <f>O44/L44</f>
        <v>0.92800000000000005</v>
      </c>
      <c r="O43" s="21">
        <f t="shared" si="0"/>
        <v>20</v>
      </c>
      <c r="P43" s="27">
        <v>9</v>
      </c>
      <c r="Q43" s="99">
        <f>+L44-P44</f>
        <v>20</v>
      </c>
      <c r="R43" s="85"/>
      <c r="S43" s="96"/>
      <c r="T43" s="96"/>
      <c r="U43" s="96"/>
      <c r="V43" s="96"/>
      <c r="W43" s="96"/>
      <c r="X43" s="96">
        <v>1</v>
      </c>
      <c r="Y43" s="96"/>
      <c r="Z43" s="96"/>
      <c r="AA43" s="96"/>
      <c r="AB43" s="96"/>
      <c r="AC43" s="96"/>
      <c r="AD43" s="96"/>
      <c r="AE43" s="96">
        <v>5</v>
      </c>
      <c r="AF43" s="96">
        <v>3</v>
      </c>
      <c r="AG43" s="96">
        <v>6</v>
      </c>
      <c r="AH43" s="96"/>
      <c r="AI43" s="96"/>
      <c r="AJ43" s="96"/>
      <c r="AK43" s="96"/>
      <c r="AL43" s="96">
        <v>5</v>
      </c>
      <c r="AM43" s="103"/>
      <c r="AN43" s="103"/>
      <c r="AO43" s="103"/>
      <c r="AP43" s="103"/>
      <c r="AQ43" s="103"/>
      <c r="AR43" s="103"/>
      <c r="AS43" s="103"/>
      <c r="AT43" s="103"/>
      <c r="AU43" s="103"/>
      <c r="AV43" s="103"/>
      <c r="AW43" s="103"/>
      <c r="AX43" s="103"/>
      <c r="AY43" s="106"/>
      <c r="AZ43" s="106"/>
      <c r="BA43" s="106"/>
      <c r="BB43" s="106"/>
      <c r="BC43" s="106"/>
      <c r="BD43" s="106"/>
      <c r="BE43" s="103"/>
      <c r="BF43" s="104"/>
      <c r="BG43" s="104"/>
    </row>
    <row r="44" spans="1:59" s="17" customFormat="1" ht="15.75" customHeight="1">
      <c r="A44" s="85"/>
      <c r="B44" s="88"/>
      <c r="C44" s="90"/>
      <c r="D44" s="92"/>
      <c r="E44" s="90"/>
      <c r="F44" s="90"/>
      <c r="G44" s="94"/>
      <c r="H44" s="95"/>
      <c r="I44" s="95"/>
      <c r="J44" s="95"/>
      <c r="K44" s="22">
        <f>26+20+20+15+15+29</f>
        <v>125</v>
      </c>
      <c r="L44" s="18">
        <f>26+10+30+15+15+29</f>
        <v>125</v>
      </c>
      <c r="M44" s="18">
        <f>9</f>
        <v>9</v>
      </c>
      <c r="N44" s="98"/>
      <c r="O44" s="19">
        <f t="shared" si="0"/>
        <v>116</v>
      </c>
      <c r="P44" s="22">
        <f>10+10+6+5+20+15+14+16+9</f>
        <v>105</v>
      </c>
      <c r="Q44" s="100"/>
      <c r="R44" s="86"/>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7"/>
      <c r="AZ44" s="107"/>
      <c r="BA44" s="107"/>
      <c r="BB44" s="107"/>
      <c r="BC44" s="107"/>
      <c r="BD44" s="107"/>
      <c r="BE44" s="103"/>
      <c r="BF44" s="105"/>
      <c r="BG44" s="105"/>
    </row>
    <row r="45" spans="1:59" s="17" customFormat="1" ht="15.75" customHeight="1">
      <c r="A45" s="108">
        <v>45279</v>
      </c>
      <c r="B45" s="87" t="s">
        <v>37</v>
      </c>
      <c r="C45" s="89">
        <v>1</v>
      </c>
      <c r="D45" s="91" t="s">
        <v>77</v>
      </c>
      <c r="E45" s="89">
        <v>20785</v>
      </c>
      <c r="F45" s="89" t="s">
        <v>76</v>
      </c>
      <c r="G45" s="93" t="s">
        <v>71</v>
      </c>
      <c r="H45" s="90" t="s">
        <v>75</v>
      </c>
      <c r="I45" s="90">
        <v>501</v>
      </c>
      <c r="J45" s="90">
        <v>501</v>
      </c>
      <c r="K45" s="20">
        <v>0</v>
      </c>
      <c r="L45" s="20">
        <v>0</v>
      </c>
      <c r="M45" s="20">
        <v>0</v>
      </c>
      <c r="N45" s="97">
        <f>O46/L46</f>
        <v>0.9358974358974359</v>
      </c>
      <c r="O45" s="21">
        <f t="shared" si="0"/>
        <v>0</v>
      </c>
      <c r="P45" s="27">
        <v>0</v>
      </c>
      <c r="Q45" s="99">
        <f>+L46-P46</f>
        <v>0</v>
      </c>
      <c r="R45" s="85"/>
      <c r="S45" s="96"/>
      <c r="T45" s="96"/>
      <c r="U45" s="96"/>
      <c r="V45" s="96"/>
      <c r="W45" s="96"/>
      <c r="X45" s="96"/>
      <c r="Y45" s="96"/>
      <c r="Z45" s="96"/>
      <c r="AA45" s="96"/>
      <c r="AB45" s="96"/>
      <c r="AC45" s="96"/>
      <c r="AD45" s="96"/>
      <c r="AE45" s="96"/>
      <c r="AF45" s="96"/>
      <c r="AG45" s="96"/>
      <c r="AH45" s="96"/>
      <c r="AI45" s="96"/>
      <c r="AJ45" s="96"/>
      <c r="AK45" s="96"/>
      <c r="AL45" s="96"/>
      <c r="AM45" s="103"/>
      <c r="AN45" s="103"/>
      <c r="AO45" s="103"/>
      <c r="AP45" s="103"/>
      <c r="AQ45" s="103"/>
      <c r="AR45" s="103"/>
      <c r="AS45" s="103"/>
      <c r="AT45" s="103"/>
      <c r="AU45" s="103"/>
      <c r="AV45" s="103"/>
      <c r="AW45" s="103"/>
      <c r="AX45" s="103"/>
      <c r="AY45" s="106"/>
      <c r="AZ45" s="106"/>
      <c r="BA45" s="106"/>
      <c r="BB45" s="106"/>
      <c r="BC45" s="106"/>
      <c r="BD45" s="106"/>
      <c r="BE45" s="103"/>
      <c r="BF45" s="104"/>
      <c r="BG45" s="104"/>
    </row>
    <row r="46" spans="1:59" s="17" customFormat="1" ht="15.75" customHeight="1">
      <c r="A46" s="85"/>
      <c r="B46" s="88"/>
      <c r="C46" s="90"/>
      <c r="D46" s="92"/>
      <c r="E46" s="90"/>
      <c r="F46" s="90"/>
      <c r="G46" s="94"/>
      <c r="H46" s="95"/>
      <c r="I46" s="95"/>
      <c r="J46" s="95"/>
      <c r="K46" s="22">
        <f>24+31+23</f>
        <v>78</v>
      </c>
      <c r="L46" s="18">
        <f>10+45+5+18</f>
        <v>78</v>
      </c>
      <c r="M46" s="18">
        <f>5</f>
        <v>5</v>
      </c>
      <c r="N46" s="98"/>
      <c r="O46" s="19">
        <f t="shared" si="0"/>
        <v>73</v>
      </c>
      <c r="P46" s="22">
        <f>5+15+58</f>
        <v>78</v>
      </c>
      <c r="Q46" s="100"/>
      <c r="R46" s="86"/>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7"/>
      <c r="AZ46" s="107"/>
      <c r="BA46" s="107"/>
      <c r="BB46" s="107"/>
      <c r="BC46" s="107"/>
      <c r="BD46" s="107"/>
      <c r="BE46" s="103"/>
      <c r="BF46" s="105"/>
      <c r="BG46" s="105"/>
    </row>
    <row r="47" spans="1:59" s="17" customFormat="1" ht="15.75" customHeight="1">
      <c r="A47" s="108">
        <v>45279</v>
      </c>
      <c r="B47" s="87" t="s">
        <v>37</v>
      </c>
      <c r="C47" s="89">
        <v>1</v>
      </c>
      <c r="D47" s="91" t="s">
        <v>77</v>
      </c>
      <c r="E47" s="89">
        <v>20785</v>
      </c>
      <c r="F47" s="89" t="s">
        <v>76</v>
      </c>
      <c r="G47" s="93" t="s">
        <v>71</v>
      </c>
      <c r="H47" s="90" t="s">
        <v>79</v>
      </c>
      <c r="I47" s="90">
        <v>826</v>
      </c>
      <c r="J47" s="90">
        <v>826</v>
      </c>
      <c r="K47" s="20">
        <v>44</v>
      </c>
      <c r="L47" s="20">
        <v>44</v>
      </c>
      <c r="M47" s="20">
        <v>5</v>
      </c>
      <c r="N47" s="97">
        <f>O48/L48</f>
        <v>0.87106918238993714</v>
      </c>
      <c r="O47" s="21">
        <f t="shared" si="0"/>
        <v>39</v>
      </c>
      <c r="P47" s="27">
        <v>37</v>
      </c>
      <c r="Q47" s="99">
        <f>+L48-P48</f>
        <v>67</v>
      </c>
      <c r="R47" s="85"/>
      <c r="S47" s="96"/>
      <c r="T47" s="96">
        <v>12</v>
      </c>
      <c r="U47" s="96"/>
      <c r="V47" s="96"/>
      <c r="W47" s="96"/>
      <c r="X47" s="96">
        <v>2</v>
      </c>
      <c r="Y47" s="96"/>
      <c r="Z47" s="96"/>
      <c r="AA47" s="96"/>
      <c r="AB47" s="96"/>
      <c r="AC47" s="96"/>
      <c r="AD47" s="96"/>
      <c r="AE47" s="96"/>
      <c r="AF47" s="96"/>
      <c r="AG47" s="96">
        <v>10</v>
      </c>
      <c r="AH47" s="96">
        <v>8</v>
      </c>
      <c r="AI47" s="96"/>
      <c r="AJ47" s="96">
        <v>7</v>
      </c>
      <c r="AK47" s="96"/>
      <c r="AL47" s="96"/>
      <c r="AM47" s="103"/>
      <c r="AN47" s="103"/>
      <c r="AO47" s="103"/>
      <c r="AP47" s="103"/>
      <c r="AQ47" s="103"/>
      <c r="AR47" s="103"/>
      <c r="AS47" s="103"/>
      <c r="AT47" s="103"/>
      <c r="AU47" s="103"/>
      <c r="AV47" s="103"/>
      <c r="AW47" s="103"/>
      <c r="AX47" s="103"/>
      <c r="AY47" s="106"/>
      <c r="AZ47" s="106"/>
      <c r="BA47" s="106"/>
      <c r="BB47" s="106"/>
      <c r="BC47" s="106"/>
      <c r="BD47" s="106"/>
      <c r="BE47" s="103"/>
      <c r="BF47" s="104"/>
      <c r="BG47" s="104"/>
    </row>
    <row r="48" spans="1:59" s="17" customFormat="1" ht="15.75" customHeight="1">
      <c r="A48" s="85"/>
      <c r="B48" s="88"/>
      <c r="C48" s="90"/>
      <c r="D48" s="92"/>
      <c r="E48" s="90"/>
      <c r="F48" s="90"/>
      <c r="G48" s="94"/>
      <c r="H48" s="95"/>
      <c r="I48" s="95"/>
      <c r="J48" s="95"/>
      <c r="K48" s="22">
        <f>8+32+48+44+34+38+20+74+44</f>
        <v>342</v>
      </c>
      <c r="L48" s="18">
        <f>7+30+45+50+45+47+50+44</f>
        <v>318</v>
      </c>
      <c r="M48" s="18">
        <f>3+10+5+10+8+5</f>
        <v>41</v>
      </c>
      <c r="N48" s="98"/>
      <c r="O48" s="19">
        <f t="shared" si="0"/>
        <v>277</v>
      </c>
      <c r="P48" s="22">
        <f>3+10+12+30+25+114+20+37</f>
        <v>251</v>
      </c>
      <c r="Q48" s="100"/>
      <c r="R48" s="86"/>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7"/>
      <c r="AZ48" s="107"/>
      <c r="BA48" s="107"/>
      <c r="BB48" s="107"/>
      <c r="BC48" s="107"/>
      <c r="BD48" s="107"/>
      <c r="BE48" s="103"/>
      <c r="BF48" s="105"/>
      <c r="BG48" s="105"/>
    </row>
    <row r="49" spans="1:59" ht="24.75" customHeight="1">
      <c r="A49" s="111" t="s">
        <v>15</v>
      </c>
      <c r="B49" s="112"/>
      <c r="C49" s="112"/>
      <c r="D49" s="112"/>
      <c r="E49" s="112"/>
      <c r="F49" s="112"/>
      <c r="G49" s="112"/>
      <c r="H49" s="112"/>
      <c r="I49" s="113"/>
      <c r="J49" s="5">
        <f>SUM(J5:J48)</f>
        <v>26708</v>
      </c>
      <c r="K49" s="5">
        <f>+SUMPRODUCT(((MOD(ROW(K5:K48),2)=1)*(K5:K48)))</f>
        <v>929</v>
      </c>
      <c r="L49" s="5">
        <f>+SUMPRODUCT(((MOD(ROW(L5:L48),2)=1)*(L5:L48)))</f>
        <v>1035</v>
      </c>
      <c r="M49" s="5">
        <f>+SUMPRODUCT(((MOD(ROW(M5:M48),2)=1)*(M5:M48)))</f>
        <v>349</v>
      </c>
      <c r="N49" s="23">
        <f>O49/L49</f>
        <v>0.66280193236714979</v>
      </c>
      <c r="O49" s="5">
        <f>+SUMPRODUCT(((MOD(ROW(O5:O48),2)=1)*(O5:O48)))</f>
        <v>686</v>
      </c>
      <c r="P49" s="5">
        <f>+SUMPRODUCT(((MOD(ROW(P5:P48),2)=1)*(P5:P48)))</f>
        <v>1024</v>
      </c>
      <c r="Q49" s="5">
        <f>+SUMPRODUCT(((MOD(ROW(Q5:Q48),2)=1)*(Q5:Q48)))</f>
        <v>1927</v>
      </c>
      <c r="R49" s="29"/>
      <c r="S49" s="5">
        <f t="shared" ref="S49:BG49" si="1">SUM(S5:S48)</f>
        <v>87</v>
      </c>
      <c r="T49" s="5">
        <f t="shared" si="1"/>
        <v>98</v>
      </c>
      <c r="U49" s="5">
        <f t="shared" si="1"/>
        <v>38</v>
      </c>
      <c r="V49" s="5">
        <f t="shared" si="1"/>
        <v>0</v>
      </c>
      <c r="W49" s="5">
        <f t="shared" si="1"/>
        <v>0</v>
      </c>
      <c r="X49" s="5">
        <f t="shared" si="1"/>
        <v>12</v>
      </c>
      <c r="Y49" s="5">
        <f t="shared" si="1"/>
        <v>2</v>
      </c>
      <c r="Z49" s="5">
        <f t="shared" si="1"/>
        <v>0</v>
      </c>
      <c r="AA49" s="5">
        <f t="shared" si="1"/>
        <v>0</v>
      </c>
      <c r="AB49" s="5">
        <f t="shared" si="1"/>
        <v>0</v>
      </c>
      <c r="AC49" s="5">
        <f t="shared" si="1"/>
        <v>81</v>
      </c>
      <c r="AD49" s="5">
        <f t="shared" si="1"/>
        <v>0</v>
      </c>
      <c r="AE49" s="5">
        <f t="shared" si="1"/>
        <v>24</v>
      </c>
      <c r="AF49" s="5">
        <f t="shared" si="1"/>
        <v>73</v>
      </c>
      <c r="AG49" s="5">
        <f t="shared" si="1"/>
        <v>88</v>
      </c>
      <c r="AH49" s="5">
        <f t="shared" si="1"/>
        <v>94</v>
      </c>
      <c r="AI49" s="5">
        <f t="shared" si="1"/>
        <v>0</v>
      </c>
      <c r="AJ49" s="5">
        <f t="shared" si="1"/>
        <v>7</v>
      </c>
      <c r="AK49" s="5">
        <f t="shared" si="1"/>
        <v>0</v>
      </c>
      <c r="AL49" s="5">
        <f t="shared" si="1"/>
        <v>82</v>
      </c>
      <c r="AM49" s="5">
        <f t="shared" si="1"/>
        <v>0</v>
      </c>
      <c r="AN49" s="5">
        <f t="shared" si="1"/>
        <v>0</v>
      </c>
      <c r="AO49" s="5">
        <f t="shared" si="1"/>
        <v>0</v>
      </c>
      <c r="AP49" s="5">
        <f t="shared" si="1"/>
        <v>0</v>
      </c>
      <c r="AQ49" s="5">
        <f t="shared" si="1"/>
        <v>0</v>
      </c>
      <c r="AR49" s="5">
        <f t="shared" si="1"/>
        <v>0</v>
      </c>
      <c r="AS49" s="5">
        <f t="shared" si="1"/>
        <v>0</v>
      </c>
      <c r="AT49" s="5">
        <f t="shared" si="1"/>
        <v>0</v>
      </c>
      <c r="AU49" s="5">
        <f t="shared" si="1"/>
        <v>0</v>
      </c>
      <c r="AV49" s="5">
        <f t="shared" si="1"/>
        <v>0</v>
      </c>
      <c r="AW49" s="5">
        <f t="shared" si="1"/>
        <v>0</v>
      </c>
      <c r="AX49" s="5">
        <f t="shared" si="1"/>
        <v>0</v>
      </c>
      <c r="AY49" s="5">
        <f t="shared" si="1"/>
        <v>0</v>
      </c>
      <c r="AZ49" s="5">
        <f t="shared" si="1"/>
        <v>0</v>
      </c>
      <c r="BA49" s="5">
        <f t="shared" si="1"/>
        <v>0</v>
      </c>
      <c r="BB49" s="5">
        <f t="shared" si="1"/>
        <v>0</v>
      </c>
      <c r="BC49" s="5">
        <f t="shared" si="1"/>
        <v>0</v>
      </c>
      <c r="BD49" s="5">
        <f t="shared" si="1"/>
        <v>0</v>
      </c>
      <c r="BE49" s="5">
        <f t="shared" si="1"/>
        <v>0</v>
      </c>
      <c r="BF49" s="5">
        <f t="shared" si="1"/>
        <v>0</v>
      </c>
      <c r="BG49" s="5">
        <f t="shared" si="1"/>
        <v>0</v>
      </c>
    </row>
    <row r="50" spans="1:59" s="17" customFormat="1" ht="15.75" customHeight="1">
      <c r="A50" s="108">
        <v>45279</v>
      </c>
      <c r="B50" s="87" t="s">
        <v>37</v>
      </c>
      <c r="C50" s="89">
        <v>1</v>
      </c>
      <c r="D50" s="91" t="s">
        <v>85</v>
      </c>
      <c r="E50" s="91" t="s">
        <v>84</v>
      </c>
      <c r="F50" s="89" t="s">
        <v>83</v>
      </c>
      <c r="G50" s="93" t="s">
        <v>71</v>
      </c>
      <c r="H50" s="90" t="s">
        <v>82</v>
      </c>
      <c r="I50" s="90">
        <v>13712</v>
      </c>
      <c r="J50" s="90">
        <v>505</v>
      </c>
      <c r="K50" s="20">
        <v>7</v>
      </c>
      <c r="L50" s="20">
        <v>7</v>
      </c>
      <c r="M50" s="20">
        <v>7</v>
      </c>
      <c r="N50" s="97">
        <f>O51/L51</f>
        <v>0.42574257425742573</v>
      </c>
      <c r="O50" s="21">
        <f>+L50-M50</f>
        <v>0</v>
      </c>
      <c r="P50" s="27">
        <v>7</v>
      </c>
      <c r="Q50" s="99">
        <f>+L51-P51</f>
        <v>0</v>
      </c>
      <c r="R50" s="169" t="s">
        <v>81</v>
      </c>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6"/>
      <c r="AZ50" s="106"/>
      <c r="BA50" s="106"/>
      <c r="BB50" s="106"/>
      <c r="BC50" s="106"/>
      <c r="BD50" s="106"/>
      <c r="BE50" s="103"/>
      <c r="BF50" s="104"/>
      <c r="BG50" s="104"/>
    </row>
    <row r="51" spans="1:59" s="17" customFormat="1" ht="15.75" customHeight="1">
      <c r="A51" s="85"/>
      <c r="B51" s="88"/>
      <c r="C51" s="90"/>
      <c r="D51" s="92"/>
      <c r="E51" s="92"/>
      <c r="F51" s="90"/>
      <c r="G51" s="94"/>
      <c r="H51" s="95"/>
      <c r="I51" s="95"/>
      <c r="J51" s="95"/>
      <c r="K51" s="22">
        <f>150+288+60+7</f>
        <v>505</v>
      </c>
      <c r="L51" s="18">
        <f>150+288+60+7</f>
        <v>505</v>
      </c>
      <c r="M51" s="18">
        <f>60+188+35+7</f>
        <v>290</v>
      </c>
      <c r="N51" s="98"/>
      <c r="O51" s="19">
        <f>+L51-M51</f>
        <v>215</v>
      </c>
      <c r="P51" s="22">
        <f>100+270+128+7</f>
        <v>505</v>
      </c>
      <c r="Q51" s="100"/>
      <c r="R51" s="86"/>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7"/>
      <c r="AZ51" s="107"/>
      <c r="BA51" s="107"/>
      <c r="BB51" s="107"/>
      <c r="BC51" s="107"/>
      <c r="BD51" s="107"/>
      <c r="BE51" s="103"/>
      <c r="BF51" s="105"/>
      <c r="BG51" s="105"/>
    </row>
    <row r="52" spans="1:59" s="17" customFormat="1" ht="15.75" hidden="1" customHeight="1">
      <c r="A52" s="101"/>
      <c r="B52" s="114"/>
      <c r="C52" s="116"/>
      <c r="D52" s="118"/>
      <c r="E52" s="116"/>
      <c r="F52" s="116"/>
      <c r="G52" s="120"/>
      <c r="H52" s="90"/>
      <c r="I52" s="90"/>
      <c r="J52" s="90"/>
      <c r="K52" s="20"/>
      <c r="L52" s="20"/>
      <c r="M52" s="20"/>
      <c r="N52" s="97"/>
      <c r="O52" s="21"/>
      <c r="P52" s="27"/>
      <c r="Q52" s="99"/>
      <c r="R52" s="110"/>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6"/>
      <c r="AZ52" s="106"/>
      <c r="BA52" s="106"/>
      <c r="BB52" s="106"/>
      <c r="BC52" s="106"/>
      <c r="BD52" s="106"/>
      <c r="BE52" s="103"/>
      <c r="BF52" s="104"/>
      <c r="BG52" s="104"/>
    </row>
    <row r="53" spans="1:59" s="17" customFormat="1" ht="15.75" hidden="1" customHeight="1">
      <c r="A53" s="102"/>
      <c r="B53" s="115"/>
      <c r="C53" s="117"/>
      <c r="D53" s="119"/>
      <c r="E53" s="117"/>
      <c r="F53" s="117"/>
      <c r="G53" s="121"/>
      <c r="H53" s="95"/>
      <c r="I53" s="95"/>
      <c r="J53" s="95"/>
      <c r="K53" s="22"/>
      <c r="L53" s="18"/>
      <c r="M53" s="18"/>
      <c r="N53" s="98"/>
      <c r="O53" s="19"/>
      <c r="P53" s="22"/>
      <c r="Q53" s="100"/>
      <c r="R53" s="102"/>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7"/>
      <c r="AZ53" s="107"/>
      <c r="BA53" s="107"/>
      <c r="BB53" s="107"/>
      <c r="BC53" s="107"/>
      <c r="BD53" s="107"/>
      <c r="BE53" s="103"/>
      <c r="BF53" s="105"/>
      <c r="BG53" s="105"/>
    </row>
    <row r="54" spans="1:59" s="17" customFormat="1" ht="15.75" hidden="1" customHeight="1">
      <c r="A54" s="101"/>
      <c r="B54" s="114"/>
      <c r="C54" s="116"/>
      <c r="D54" s="118"/>
      <c r="E54" s="116"/>
      <c r="F54" s="116"/>
      <c r="G54" s="120"/>
      <c r="H54" s="90"/>
      <c r="I54" s="90"/>
      <c r="J54" s="90"/>
      <c r="K54" s="20"/>
      <c r="L54" s="20"/>
      <c r="M54" s="20"/>
      <c r="N54" s="97"/>
      <c r="O54" s="21"/>
      <c r="P54" s="27"/>
      <c r="Q54" s="99"/>
      <c r="R54" s="110"/>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6"/>
      <c r="AZ54" s="106"/>
      <c r="BA54" s="106"/>
      <c r="BB54" s="106"/>
      <c r="BC54" s="106"/>
      <c r="BD54" s="106"/>
      <c r="BE54" s="103"/>
      <c r="BF54" s="104"/>
      <c r="BG54" s="104"/>
    </row>
    <row r="55" spans="1:59" s="17" customFormat="1" ht="15.75" hidden="1" customHeight="1">
      <c r="A55" s="102"/>
      <c r="B55" s="115"/>
      <c r="C55" s="117"/>
      <c r="D55" s="119"/>
      <c r="E55" s="117"/>
      <c r="F55" s="117"/>
      <c r="G55" s="121"/>
      <c r="H55" s="95"/>
      <c r="I55" s="95"/>
      <c r="J55" s="95"/>
      <c r="K55" s="22"/>
      <c r="L55" s="18"/>
      <c r="M55" s="18"/>
      <c r="N55" s="98"/>
      <c r="O55" s="19"/>
      <c r="P55" s="22"/>
      <c r="Q55" s="100"/>
      <c r="R55" s="102"/>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7"/>
      <c r="AZ55" s="107"/>
      <c r="BA55" s="107"/>
      <c r="BB55" s="107"/>
      <c r="BC55" s="107"/>
      <c r="BD55" s="107"/>
      <c r="BE55" s="103"/>
      <c r="BF55" s="105"/>
      <c r="BG55" s="105"/>
    </row>
    <row r="56" spans="1:59" ht="24.75" customHeight="1">
      <c r="A56" s="111" t="s">
        <v>46</v>
      </c>
      <c r="B56" s="112"/>
      <c r="C56" s="112"/>
      <c r="D56" s="112"/>
      <c r="E56" s="112"/>
      <c r="F56" s="112"/>
      <c r="G56" s="112"/>
      <c r="H56" s="112"/>
      <c r="I56" s="113"/>
      <c r="J56" s="5">
        <f>SUM(J50:J55)</f>
        <v>505</v>
      </c>
      <c r="K56" s="5">
        <f>+SUMPRODUCT(((MOD(ROW(K50:K55),2)=0)*(K50:K55)))</f>
        <v>7</v>
      </c>
      <c r="L56" s="5">
        <f>+SUMPRODUCT(((MOD(ROW(L50:L55),2)=0)*(L50:L55)))</f>
        <v>7</v>
      </c>
      <c r="M56" s="5">
        <f>+SUMPRODUCT(((MOD(ROW(M50:M55),2)=0)*(M50:M55)))</f>
        <v>7</v>
      </c>
      <c r="N56" s="23">
        <f>O56/L56</f>
        <v>0</v>
      </c>
      <c r="O56" s="5">
        <f>+SUMPRODUCT(((MOD(ROW(O50:O55),2)=0)*(O50:O55)))</f>
        <v>0</v>
      </c>
      <c r="P56" s="5">
        <f>+SUMPRODUCT(((MOD(ROW(P50:P55),2)=0)*(P50:P55)))</f>
        <v>7</v>
      </c>
      <c r="Q56" s="29">
        <f>SUM(Q50:Q55)</f>
        <v>0</v>
      </c>
      <c r="R56" s="29"/>
      <c r="S56" s="5">
        <f t="shared" ref="S56:BG56" si="2">SUM(S50:S55)</f>
        <v>0</v>
      </c>
      <c r="T56" s="5">
        <f t="shared" si="2"/>
        <v>0</v>
      </c>
      <c r="U56" s="5">
        <f t="shared" si="2"/>
        <v>0</v>
      </c>
      <c r="V56" s="5">
        <f t="shared" si="2"/>
        <v>0</v>
      </c>
      <c r="W56" s="5">
        <f t="shared" si="2"/>
        <v>0</v>
      </c>
      <c r="X56" s="5">
        <f t="shared" si="2"/>
        <v>0</v>
      </c>
      <c r="Y56" s="5">
        <f t="shared" si="2"/>
        <v>0</v>
      </c>
      <c r="Z56" s="5">
        <f t="shared" si="2"/>
        <v>0</v>
      </c>
      <c r="AA56" s="5">
        <f t="shared" si="2"/>
        <v>0</v>
      </c>
      <c r="AB56" s="5">
        <f t="shared" si="2"/>
        <v>0</v>
      </c>
      <c r="AC56" s="5">
        <f t="shared" si="2"/>
        <v>0</v>
      </c>
      <c r="AD56" s="5">
        <f t="shared" si="2"/>
        <v>0</v>
      </c>
      <c r="AE56" s="5">
        <f t="shared" si="2"/>
        <v>0</v>
      </c>
      <c r="AF56" s="5">
        <f t="shared" si="2"/>
        <v>0</v>
      </c>
      <c r="AG56" s="5">
        <f t="shared" si="2"/>
        <v>0</v>
      </c>
      <c r="AH56" s="5">
        <f t="shared" si="2"/>
        <v>0</v>
      </c>
      <c r="AI56" s="5">
        <f t="shared" si="2"/>
        <v>0</v>
      </c>
      <c r="AJ56" s="5">
        <f t="shared" si="2"/>
        <v>0</v>
      </c>
      <c r="AK56" s="5">
        <f t="shared" si="2"/>
        <v>0</v>
      </c>
      <c r="AL56" s="5">
        <f t="shared" si="2"/>
        <v>0</v>
      </c>
      <c r="AM56" s="5">
        <f t="shared" si="2"/>
        <v>0</v>
      </c>
      <c r="AN56" s="5">
        <f t="shared" si="2"/>
        <v>0</v>
      </c>
      <c r="AO56" s="5">
        <f t="shared" si="2"/>
        <v>0</v>
      </c>
      <c r="AP56" s="5">
        <f t="shared" si="2"/>
        <v>0</v>
      </c>
      <c r="AQ56" s="5">
        <f t="shared" si="2"/>
        <v>0</v>
      </c>
      <c r="AR56" s="5">
        <f t="shared" si="2"/>
        <v>0</v>
      </c>
      <c r="AS56" s="5">
        <f t="shared" si="2"/>
        <v>0</v>
      </c>
      <c r="AT56" s="5">
        <f t="shared" si="2"/>
        <v>0</v>
      </c>
      <c r="AU56" s="5">
        <f t="shared" si="2"/>
        <v>0</v>
      </c>
      <c r="AV56" s="5">
        <f t="shared" si="2"/>
        <v>0</v>
      </c>
      <c r="AW56" s="5">
        <f t="shared" si="2"/>
        <v>0</v>
      </c>
      <c r="AX56" s="5">
        <f t="shared" si="2"/>
        <v>0</v>
      </c>
      <c r="AY56" s="5">
        <f t="shared" si="2"/>
        <v>0</v>
      </c>
      <c r="AZ56" s="5">
        <f t="shared" si="2"/>
        <v>0</v>
      </c>
      <c r="BA56" s="5">
        <f t="shared" si="2"/>
        <v>0</v>
      </c>
      <c r="BB56" s="5">
        <f t="shared" si="2"/>
        <v>0</v>
      </c>
      <c r="BC56" s="5">
        <f t="shared" si="2"/>
        <v>0</v>
      </c>
      <c r="BD56" s="5">
        <f t="shared" si="2"/>
        <v>0</v>
      </c>
      <c r="BE56" s="5">
        <f t="shared" si="2"/>
        <v>0</v>
      </c>
      <c r="BF56" s="5">
        <f t="shared" si="2"/>
        <v>0</v>
      </c>
      <c r="BG56" s="5">
        <f t="shared" si="2"/>
        <v>0</v>
      </c>
    </row>
    <row r="57" spans="1:59" s="17" customFormat="1" ht="15.75" hidden="1" customHeight="1">
      <c r="A57" s="85"/>
      <c r="B57" s="87"/>
      <c r="C57" s="89"/>
      <c r="D57" s="91"/>
      <c r="E57" s="89"/>
      <c r="F57" s="89"/>
      <c r="G57" s="93"/>
      <c r="H57" s="90"/>
      <c r="I57" s="90"/>
      <c r="J57" s="90"/>
      <c r="K57" s="20"/>
      <c r="L57" s="20"/>
      <c r="M57" s="20"/>
      <c r="N57" s="97"/>
      <c r="O57" s="21"/>
      <c r="P57" s="27"/>
      <c r="Q57" s="99"/>
      <c r="R57" s="110"/>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86"/>
      <c r="B58" s="88"/>
      <c r="C58" s="90"/>
      <c r="D58" s="92"/>
      <c r="E58" s="90"/>
      <c r="F58" s="90"/>
      <c r="G58" s="94"/>
      <c r="H58" s="95"/>
      <c r="I58" s="95"/>
      <c r="J58" s="95"/>
      <c r="K58" s="22"/>
      <c r="L58" s="18"/>
      <c r="M58" s="18"/>
      <c r="N58" s="98"/>
      <c r="O58" s="19"/>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90"/>
      <c r="I59" s="90"/>
      <c r="J59" s="90"/>
      <c r="K59" s="20"/>
      <c r="L59" s="20"/>
      <c r="M59" s="20"/>
      <c r="N59" s="97" t="e">
        <f>O60/L60</f>
        <v>#DIV/0!</v>
      </c>
      <c r="O59" s="21">
        <f t="shared" ref="O59:O66" si="3">L59-M59</f>
        <v>0</v>
      </c>
      <c r="P59" s="27"/>
      <c r="Q59" s="99">
        <f>+L60-P60</f>
        <v>0</v>
      </c>
      <c r="R59" s="110"/>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8"/>
      <c r="F61" s="116"/>
      <c r="G61" s="120"/>
      <c r="H61" s="90"/>
      <c r="I61" s="90"/>
      <c r="J61" s="90"/>
      <c r="K61" s="20"/>
      <c r="L61" s="20"/>
      <c r="M61" s="20"/>
      <c r="N61" s="97" t="e">
        <f>O62/L62</f>
        <v>#DIV/0!</v>
      </c>
      <c r="O61" s="21">
        <f t="shared" si="3"/>
        <v>0</v>
      </c>
      <c r="P61" s="27"/>
      <c r="Q61" s="99">
        <f>+L62-P62</f>
        <v>0</v>
      </c>
      <c r="R61" s="110"/>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9"/>
      <c r="F62" s="117"/>
      <c r="G62" s="121"/>
      <c r="H62" s="95"/>
      <c r="I62" s="95"/>
      <c r="J62" s="95"/>
      <c r="K62" s="22"/>
      <c r="L62" s="18"/>
      <c r="M62" s="18"/>
      <c r="N62" s="98"/>
      <c r="O62" s="19">
        <f t="shared" si="3"/>
        <v>0</v>
      </c>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s="17" customFormat="1" ht="15.75" hidden="1" customHeight="1">
      <c r="A63" s="101"/>
      <c r="B63" s="114"/>
      <c r="C63" s="116"/>
      <c r="D63" s="118"/>
      <c r="E63" s="118"/>
      <c r="F63" s="116"/>
      <c r="G63" s="120"/>
      <c r="H63" s="90"/>
      <c r="I63" s="90"/>
      <c r="J63" s="90"/>
      <c r="K63" s="20"/>
      <c r="L63" s="20"/>
      <c r="M63" s="20"/>
      <c r="N63" s="97" t="e">
        <f>O64/L64</f>
        <v>#DIV/0!</v>
      </c>
      <c r="O63" s="21">
        <f t="shared" si="3"/>
        <v>0</v>
      </c>
      <c r="P63" s="27"/>
      <c r="Q63" s="99">
        <f>+L64-P64</f>
        <v>0</v>
      </c>
      <c r="R63" s="110"/>
      <c r="S63" s="96"/>
      <c r="T63" s="96"/>
      <c r="U63" s="96"/>
      <c r="V63" s="96"/>
      <c r="W63" s="96"/>
      <c r="X63" s="96"/>
      <c r="Y63" s="96"/>
      <c r="Z63" s="96"/>
      <c r="AA63" s="96"/>
      <c r="AB63" s="96"/>
      <c r="AC63" s="96"/>
      <c r="AD63" s="96"/>
      <c r="AE63" s="96"/>
      <c r="AF63" s="96"/>
      <c r="AG63" s="96"/>
      <c r="AH63" s="96"/>
      <c r="AI63" s="96"/>
      <c r="AJ63" s="96"/>
      <c r="AK63" s="96"/>
      <c r="AL63" s="96"/>
      <c r="AM63" s="103"/>
      <c r="AN63" s="103"/>
      <c r="AO63" s="103"/>
      <c r="AP63" s="103"/>
      <c r="AQ63" s="103"/>
      <c r="AR63" s="103"/>
      <c r="AS63" s="103"/>
      <c r="AT63" s="103"/>
      <c r="AU63" s="103"/>
      <c r="AV63" s="103"/>
      <c r="AW63" s="103"/>
      <c r="AX63" s="103"/>
      <c r="AY63" s="106"/>
      <c r="AZ63" s="106"/>
      <c r="BA63" s="106"/>
      <c r="BB63" s="106"/>
      <c r="BC63" s="106"/>
      <c r="BD63" s="106"/>
      <c r="BE63" s="103"/>
      <c r="BF63" s="104"/>
      <c r="BG63" s="104"/>
    </row>
    <row r="64" spans="1:59" s="17" customFormat="1" ht="15.75" hidden="1" customHeight="1">
      <c r="A64" s="102"/>
      <c r="B64" s="115"/>
      <c r="C64" s="117"/>
      <c r="D64" s="119"/>
      <c r="E64" s="119"/>
      <c r="F64" s="117"/>
      <c r="G64" s="121"/>
      <c r="H64" s="95"/>
      <c r="I64" s="95"/>
      <c r="J64" s="95"/>
      <c r="K64" s="22"/>
      <c r="L64" s="18"/>
      <c r="M64" s="18"/>
      <c r="N64" s="98"/>
      <c r="O64" s="19">
        <f t="shared" si="3"/>
        <v>0</v>
      </c>
      <c r="P64" s="22"/>
      <c r="Q64" s="100"/>
      <c r="R64" s="102"/>
      <c r="S64" s="96"/>
      <c r="T64" s="96"/>
      <c r="U64" s="96"/>
      <c r="V64" s="96"/>
      <c r="W64" s="96"/>
      <c r="X64" s="96"/>
      <c r="Y64" s="96"/>
      <c r="Z64" s="96"/>
      <c r="AA64" s="96"/>
      <c r="AB64" s="96"/>
      <c r="AC64" s="96"/>
      <c r="AD64" s="96"/>
      <c r="AE64" s="96"/>
      <c r="AF64" s="96"/>
      <c r="AG64" s="96"/>
      <c r="AH64" s="96"/>
      <c r="AI64" s="96"/>
      <c r="AJ64" s="96"/>
      <c r="AK64" s="96"/>
      <c r="AL64" s="96"/>
      <c r="AM64" s="103"/>
      <c r="AN64" s="103"/>
      <c r="AO64" s="103"/>
      <c r="AP64" s="103"/>
      <c r="AQ64" s="103"/>
      <c r="AR64" s="103"/>
      <c r="AS64" s="103"/>
      <c r="AT64" s="103"/>
      <c r="AU64" s="103"/>
      <c r="AV64" s="103"/>
      <c r="AW64" s="103"/>
      <c r="AX64" s="103"/>
      <c r="AY64" s="107"/>
      <c r="AZ64" s="107"/>
      <c r="BA64" s="107"/>
      <c r="BB64" s="107"/>
      <c r="BC64" s="107"/>
      <c r="BD64" s="107"/>
      <c r="BE64" s="103"/>
      <c r="BF64" s="105"/>
      <c r="BG64" s="105"/>
    </row>
    <row r="65" spans="1:59" s="17" customFormat="1" ht="15.75" hidden="1" customHeight="1">
      <c r="A65" s="101"/>
      <c r="B65" s="114"/>
      <c r="C65" s="116"/>
      <c r="D65" s="118"/>
      <c r="E65" s="118"/>
      <c r="F65" s="116"/>
      <c r="G65" s="120"/>
      <c r="H65" s="109"/>
      <c r="I65" s="90"/>
      <c r="J65" s="90"/>
      <c r="K65" s="20"/>
      <c r="L65" s="20"/>
      <c r="M65" s="20"/>
      <c r="N65" s="97" t="e">
        <f>O66/L66</f>
        <v>#DIV/0!</v>
      </c>
      <c r="O65" s="21">
        <f t="shared" si="3"/>
        <v>0</v>
      </c>
      <c r="P65" s="27"/>
      <c r="Q65" s="99">
        <f>+L66-P66</f>
        <v>0</v>
      </c>
      <c r="R65" s="110"/>
      <c r="S65" s="96"/>
      <c r="T65" s="96"/>
      <c r="U65" s="96"/>
      <c r="V65" s="96"/>
      <c r="W65" s="96"/>
      <c r="X65" s="96"/>
      <c r="Y65" s="96"/>
      <c r="Z65" s="96"/>
      <c r="AA65" s="96"/>
      <c r="AB65" s="96"/>
      <c r="AC65" s="96"/>
      <c r="AD65" s="96"/>
      <c r="AE65" s="96"/>
      <c r="AF65" s="96"/>
      <c r="AG65" s="96"/>
      <c r="AH65" s="96"/>
      <c r="AI65" s="96"/>
      <c r="AJ65" s="96"/>
      <c r="AK65" s="96"/>
      <c r="AL65" s="96"/>
      <c r="AM65" s="103"/>
      <c r="AN65" s="103"/>
      <c r="AO65" s="103"/>
      <c r="AP65" s="103"/>
      <c r="AQ65" s="103"/>
      <c r="AR65" s="103"/>
      <c r="AS65" s="103"/>
      <c r="AT65" s="103"/>
      <c r="AU65" s="103"/>
      <c r="AV65" s="103"/>
      <c r="AW65" s="103"/>
      <c r="AX65" s="103"/>
      <c r="AY65" s="106"/>
      <c r="AZ65" s="106"/>
      <c r="BA65" s="106"/>
      <c r="BB65" s="106"/>
      <c r="BC65" s="106"/>
      <c r="BD65" s="106"/>
      <c r="BE65" s="103"/>
      <c r="BF65" s="104"/>
      <c r="BG65" s="104"/>
    </row>
    <row r="66" spans="1:59" s="17" customFormat="1" ht="15.75" hidden="1" customHeight="1">
      <c r="A66" s="102"/>
      <c r="B66" s="115"/>
      <c r="C66" s="117"/>
      <c r="D66" s="119"/>
      <c r="E66" s="119"/>
      <c r="F66" s="117"/>
      <c r="G66" s="121"/>
      <c r="H66" s="95"/>
      <c r="I66" s="95"/>
      <c r="J66" s="95"/>
      <c r="K66" s="22"/>
      <c r="L66" s="18"/>
      <c r="M66" s="18"/>
      <c r="N66" s="98"/>
      <c r="O66" s="19">
        <f t="shared" si="3"/>
        <v>0</v>
      </c>
      <c r="P66" s="22"/>
      <c r="Q66" s="100"/>
      <c r="R66" s="102"/>
      <c r="S66" s="96"/>
      <c r="T66" s="96"/>
      <c r="U66" s="96"/>
      <c r="V66" s="96"/>
      <c r="W66" s="96"/>
      <c r="X66" s="96"/>
      <c r="Y66" s="96"/>
      <c r="Z66" s="96"/>
      <c r="AA66" s="96"/>
      <c r="AB66" s="96"/>
      <c r="AC66" s="96"/>
      <c r="AD66" s="96"/>
      <c r="AE66" s="96"/>
      <c r="AF66" s="96"/>
      <c r="AG66" s="96"/>
      <c r="AH66" s="96"/>
      <c r="AI66" s="96"/>
      <c r="AJ66" s="96"/>
      <c r="AK66" s="96"/>
      <c r="AL66" s="96"/>
      <c r="AM66" s="103"/>
      <c r="AN66" s="103"/>
      <c r="AO66" s="103"/>
      <c r="AP66" s="103"/>
      <c r="AQ66" s="103"/>
      <c r="AR66" s="103"/>
      <c r="AS66" s="103"/>
      <c r="AT66" s="103"/>
      <c r="AU66" s="103"/>
      <c r="AV66" s="103"/>
      <c r="AW66" s="103"/>
      <c r="AX66" s="103"/>
      <c r="AY66" s="107"/>
      <c r="AZ66" s="107"/>
      <c r="BA66" s="107"/>
      <c r="BB66" s="107"/>
      <c r="BC66" s="107"/>
      <c r="BD66" s="107"/>
      <c r="BE66" s="103"/>
      <c r="BF66" s="105"/>
      <c r="BG66" s="105"/>
    </row>
    <row r="67" spans="1:59" s="17" customFormat="1" ht="15.75" hidden="1" customHeight="1">
      <c r="A67" s="101"/>
      <c r="B67" s="114"/>
      <c r="C67" s="116"/>
      <c r="D67" s="118"/>
      <c r="E67" s="116"/>
      <c r="F67" s="116"/>
      <c r="G67" s="120"/>
      <c r="H67" s="90"/>
      <c r="I67" s="90"/>
      <c r="J67" s="90"/>
      <c r="K67" s="20"/>
      <c r="L67" s="20"/>
      <c r="M67" s="20"/>
      <c r="N67" s="97" t="e">
        <f>O68/L68</f>
        <v>#DIV/0!</v>
      </c>
      <c r="O67" s="21"/>
      <c r="P67" s="27"/>
      <c r="Q67" s="99"/>
      <c r="R67" s="110"/>
      <c r="S67" s="96"/>
      <c r="T67" s="96"/>
      <c r="U67" s="96"/>
      <c r="V67" s="96"/>
      <c r="W67" s="96"/>
      <c r="X67" s="96"/>
      <c r="Y67" s="96"/>
      <c r="Z67" s="96"/>
      <c r="AA67" s="96"/>
      <c r="AB67" s="96"/>
      <c r="AC67" s="96"/>
      <c r="AD67" s="96"/>
      <c r="AE67" s="96"/>
      <c r="AF67" s="96"/>
      <c r="AG67" s="96"/>
      <c r="AH67" s="96"/>
      <c r="AI67" s="96"/>
      <c r="AJ67" s="96"/>
      <c r="AK67" s="96"/>
      <c r="AL67" s="96"/>
      <c r="AM67" s="103"/>
      <c r="AN67" s="103"/>
      <c r="AO67" s="103"/>
      <c r="AP67" s="103"/>
      <c r="AQ67" s="103"/>
      <c r="AR67" s="103"/>
      <c r="AS67" s="103"/>
      <c r="AT67" s="103"/>
      <c r="AU67" s="103"/>
      <c r="AV67" s="103"/>
      <c r="AW67" s="103"/>
      <c r="AX67" s="103"/>
      <c r="AY67" s="106"/>
      <c r="AZ67" s="106"/>
      <c r="BA67" s="106"/>
      <c r="BB67" s="106"/>
      <c r="BC67" s="106"/>
      <c r="BD67" s="106"/>
      <c r="BE67" s="103"/>
      <c r="BF67" s="104"/>
      <c r="BG67" s="104"/>
    </row>
    <row r="68" spans="1:59" s="17" customFormat="1" ht="15.75" hidden="1" customHeight="1">
      <c r="A68" s="102"/>
      <c r="B68" s="115"/>
      <c r="C68" s="117"/>
      <c r="D68" s="119"/>
      <c r="E68" s="117"/>
      <c r="F68" s="117"/>
      <c r="G68" s="121"/>
      <c r="H68" s="95"/>
      <c r="I68" s="95"/>
      <c r="J68" s="95"/>
      <c r="K68" s="22"/>
      <c r="L68" s="18"/>
      <c r="M68" s="18"/>
      <c r="N68" s="98"/>
      <c r="O68" s="19"/>
      <c r="P68" s="22"/>
      <c r="Q68" s="100"/>
      <c r="R68" s="102"/>
      <c r="S68" s="96"/>
      <c r="T68" s="96"/>
      <c r="U68" s="96"/>
      <c r="V68" s="96"/>
      <c r="W68" s="96"/>
      <c r="X68" s="96"/>
      <c r="Y68" s="96"/>
      <c r="Z68" s="96"/>
      <c r="AA68" s="96"/>
      <c r="AB68" s="96"/>
      <c r="AC68" s="96"/>
      <c r="AD68" s="96"/>
      <c r="AE68" s="96"/>
      <c r="AF68" s="96"/>
      <c r="AG68" s="96"/>
      <c r="AH68" s="96"/>
      <c r="AI68" s="96"/>
      <c r="AJ68" s="96"/>
      <c r="AK68" s="96"/>
      <c r="AL68" s="96"/>
      <c r="AM68" s="103"/>
      <c r="AN68" s="103"/>
      <c r="AO68" s="103"/>
      <c r="AP68" s="103"/>
      <c r="AQ68" s="103"/>
      <c r="AR68" s="103"/>
      <c r="AS68" s="103"/>
      <c r="AT68" s="103"/>
      <c r="AU68" s="103"/>
      <c r="AV68" s="103"/>
      <c r="AW68" s="103"/>
      <c r="AX68" s="103"/>
      <c r="AY68" s="107"/>
      <c r="AZ68" s="107"/>
      <c r="BA68" s="107"/>
      <c r="BB68" s="107"/>
      <c r="BC68" s="107"/>
      <c r="BD68" s="107"/>
      <c r="BE68" s="103"/>
      <c r="BF68" s="105"/>
      <c r="BG68" s="105"/>
    </row>
    <row r="69" spans="1:59" ht="24.75" hidden="1" customHeight="1">
      <c r="A69" s="111" t="s">
        <v>74</v>
      </c>
      <c r="B69" s="112"/>
      <c r="C69" s="112"/>
      <c r="D69" s="112"/>
      <c r="E69" s="112"/>
      <c r="F69" s="112"/>
      <c r="G69" s="112"/>
      <c r="H69" s="112"/>
      <c r="I69" s="113"/>
      <c r="J69" s="5">
        <f>+SUMPRODUCT(((MOD(ROW(J57:J68),2)=1)*(J57:J68)))</f>
        <v>0</v>
      </c>
      <c r="K69" s="5">
        <f>+SUMPRODUCT(((MOD(ROW(K57:K68),2)=1)*(K57:K68)))</f>
        <v>0</v>
      </c>
      <c r="L69" s="5">
        <f>+SUMPRODUCT(((MOD(ROW(L57:L68),2)=1)*(L57:L68)))</f>
        <v>0</v>
      </c>
      <c r="M69" s="5">
        <f>+SUMPRODUCT(((MOD(ROW(M57:M68),2)=1)*(M57:M68)))</f>
        <v>0</v>
      </c>
      <c r="N69" s="23" t="e">
        <f>O69/L69</f>
        <v>#DIV/0!</v>
      </c>
      <c r="O69" s="5">
        <f>+SUMPRODUCT(((MOD(ROW(O57:O68),2)=1)*(O57:O68)))</f>
        <v>0</v>
      </c>
      <c r="P69" s="5">
        <f>+SUMPRODUCT(((MOD(ROW(P57:P68),2)=1)*(P57:P68)))</f>
        <v>0</v>
      </c>
      <c r="Q69" s="29">
        <f>SUM(Q57:Q68)</f>
        <v>0</v>
      </c>
      <c r="R69" s="29"/>
      <c r="S69" s="5">
        <f t="shared" ref="S69:BG69" si="4">SUM(S57:S68)</f>
        <v>0</v>
      </c>
      <c r="T69" s="5">
        <f t="shared" si="4"/>
        <v>0</v>
      </c>
      <c r="U69" s="5">
        <f t="shared" si="4"/>
        <v>0</v>
      </c>
      <c r="V69" s="5">
        <f t="shared" si="4"/>
        <v>0</v>
      </c>
      <c r="W69" s="5">
        <f t="shared" si="4"/>
        <v>0</v>
      </c>
      <c r="X69" s="5">
        <f t="shared" si="4"/>
        <v>0</v>
      </c>
      <c r="Y69" s="5">
        <f t="shared" si="4"/>
        <v>0</v>
      </c>
      <c r="Z69" s="5">
        <f t="shared" si="4"/>
        <v>0</v>
      </c>
      <c r="AA69" s="5">
        <f t="shared" si="4"/>
        <v>0</v>
      </c>
      <c r="AB69" s="5">
        <f t="shared" si="4"/>
        <v>0</v>
      </c>
      <c r="AC69" s="5">
        <f t="shared" si="4"/>
        <v>0</v>
      </c>
      <c r="AD69" s="5">
        <f t="shared" si="4"/>
        <v>0</v>
      </c>
      <c r="AE69" s="5">
        <f t="shared" si="4"/>
        <v>0</v>
      </c>
      <c r="AF69" s="5">
        <f t="shared" si="4"/>
        <v>0</v>
      </c>
      <c r="AG69" s="5">
        <f t="shared" si="4"/>
        <v>0</v>
      </c>
      <c r="AH69" s="5">
        <f t="shared" si="4"/>
        <v>0</v>
      </c>
      <c r="AI69" s="5">
        <f t="shared" si="4"/>
        <v>0</v>
      </c>
      <c r="AJ69" s="5">
        <f t="shared" si="4"/>
        <v>0</v>
      </c>
      <c r="AK69" s="5">
        <f t="shared" si="4"/>
        <v>0</v>
      </c>
      <c r="AL69" s="5">
        <f t="shared" si="4"/>
        <v>0</v>
      </c>
      <c r="AM69" s="5">
        <f t="shared" si="4"/>
        <v>0</v>
      </c>
      <c r="AN69" s="5">
        <f t="shared" si="4"/>
        <v>0</v>
      </c>
      <c r="AO69" s="5">
        <f t="shared" si="4"/>
        <v>0</v>
      </c>
      <c r="AP69" s="5">
        <f t="shared" si="4"/>
        <v>0</v>
      </c>
      <c r="AQ69" s="5">
        <f t="shared" si="4"/>
        <v>0</v>
      </c>
      <c r="AR69" s="5">
        <f t="shared" si="4"/>
        <v>0</v>
      </c>
      <c r="AS69" s="5">
        <f t="shared" si="4"/>
        <v>0</v>
      </c>
      <c r="AT69" s="5">
        <f t="shared" si="4"/>
        <v>0</v>
      </c>
      <c r="AU69" s="5">
        <f t="shared" si="4"/>
        <v>0</v>
      </c>
      <c r="AV69" s="5">
        <f t="shared" si="4"/>
        <v>0</v>
      </c>
      <c r="AW69" s="5">
        <f t="shared" si="4"/>
        <v>0</v>
      </c>
      <c r="AX69" s="5">
        <f t="shared" si="4"/>
        <v>0</v>
      </c>
      <c r="AY69" s="5">
        <f t="shared" si="4"/>
        <v>0</v>
      </c>
      <c r="AZ69" s="5">
        <f t="shared" si="4"/>
        <v>0</v>
      </c>
      <c r="BA69" s="5">
        <f t="shared" si="4"/>
        <v>0</v>
      </c>
      <c r="BB69" s="5">
        <f t="shared" si="4"/>
        <v>0</v>
      </c>
      <c r="BC69" s="5">
        <f t="shared" si="4"/>
        <v>0</v>
      </c>
      <c r="BD69" s="5">
        <f t="shared" si="4"/>
        <v>0</v>
      </c>
      <c r="BE69" s="5">
        <f t="shared" si="4"/>
        <v>0</v>
      </c>
      <c r="BF69" s="5">
        <f t="shared" si="4"/>
        <v>0</v>
      </c>
      <c r="BG69" s="5">
        <f t="shared" si="4"/>
        <v>0</v>
      </c>
    </row>
    <row r="70" spans="1:59" ht="24.75" customHeight="1">
      <c r="A70" s="122" t="s">
        <v>5</v>
      </c>
      <c r="B70" s="122"/>
      <c r="C70" s="122"/>
      <c r="D70" s="122"/>
      <c r="E70" s="122"/>
      <c r="F70" s="122"/>
      <c r="G70" s="122"/>
      <c r="H70" s="122"/>
      <c r="I70" s="122"/>
      <c r="J70" s="30">
        <f>J49+J69+J56</f>
        <v>27213</v>
      </c>
      <c r="K70" s="56">
        <f>K49+K56+K69</f>
        <v>936</v>
      </c>
      <c r="L70" s="56">
        <f>L49+L56+L69</f>
        <v>1042</v>
      </c>
      <c r="M70" s="56">
        <f>M49+M56+M69</f>
        <v>356</v>
      </c>
      <c r="N70" s="32">
        <f>O70/L70</f>
        <v>0.65834932821497116</v>
      </c>
      <c r="O70" s="56">
        <f>O49+O56+O69</f>
        <v>686</v>
      </c>
      <c r="P70" s="56">
        <f>P49+P56+P69</f>
        <v>1031</v>
      </c>
      <c r="Q70" s="56">
        <f>Q49+Q56+Q69</f>
        <v>1927</v>
      </c>
      <c r="R70" s="56"/>
      <c r="S70" s="56">
        <f t="shared" ref="S70:BG70" si="5">S49+S56+S69</f>
        <v>87</v>
      </c>
      <c r="T70" s="56">
        <f t="shared" si="5"/>
        <v>98</v>
      </c>
      <c r="U70" s="56">
        <f t="shared" si="5"/>
        <v>38</v>
      </c>
      <c r="V70" s="56">
        <f t="shared" si="5"/>
        <v>0</v>
      </c>
      <c r="W70" s="56">
        <f t="shared" si="5"/>
        <v>0</v>
      </c>
      <c r="X70" s="56">
        <f t="shared" si="5"/>
        <v>12</v>
      </c>
      <c r="Y70" s="56">
        <f t="shared" si="5"/>
        <v>2</v>
      </c>
      <c r="Z70" s="56">
        <f t="shared" si="5"/>
        <v>0</v>
      </c>
      <c r="AA70" s="56">
        <f t="shared" si="5"/>
        <v>0</v>
      </c>
      <c r="AB70" s="56">
        <f t="shared" si="5"/>
        <v>0</v>
      </c>
      <c r="AC70" s="56">
        <f t="shared" si="5"/>
        <v>81</v>
      </c>
      <c r="AD70" s="56">
        <f t="shared" si="5"/>
        <v>0</v>
      </c>
      <c r="AE70" s="56">
        <f t="shared" si="5"/>
        <v>24</v>
      </c>
      <c r="AF70" s="56">
        <f t="shared" si="5"/>
        <v>73</v>
      </c>
      <c r="AG70" s="56">
        <f t="shared" si="5"/>
        <v>88</v>
      </c>
      <c r="AH70" s="56">
        <f t="shared" si="5"/>
        <v>94</v>
      </c>
      <c r="AI70" s="56">
        <f t="shared" si="5"/>
        <v>0</v>
      </c>
      <c r="AJ70" s="56">
        <f t="shared" si="5"/>
        <v>7</v>
      </c>
      <c r="AK70" s="56">
        <f t="shared" si="5"/>
        <v>0</v>
      </c>
      <c r="AL70" s="56">
        <f t="shared" si="5"/>
        <v>82</v>
      </c>
      <c r="AM70" s="56">
        <f t="shared" si="5"/>
        <v>0</v>
      </c>
      <c r="AN70" s="56">
        <f t="shared" si="5"/>
        <v>0</v>
      </c>
      <c r="AO70" s="56">
        <f t="shared" si="5"/>
        <v>0</v>
      </c>
      <c r="AP70" s="56">
        <f t="shared" si="5"/>
        <v>0</v>
      </c>
      <c r="AQ70" s="56">
        <f t="shared" si="5"/>
        <v>0</v>
      </c>
      <c r="AR70" s="56">
        <f t="shared" si="5"/>
        <v>0</v>
      </c>
      <c r="AS70" s="56">
        <f t="shared" si="5"/>
        <v>0</v>
      </c>
      <c r="AT70" s="56">
        <f t="shared" si="5"/>
        <v>0</v>
      </c>
      <c r="AU70" s="56">
        <f t="shared" si="5"/>
        <v>0</v>
      </c>
      <c r="AV70" s="56">
        <f t="shared" si="5"/>
        <v>0</v>
      </c>
      <c r="AW70" s="56">
        <f t="shared" si="5"/>
        <v>0</v>
      </c>
      <c r="AX70" s="56">
        <f t="shared" si="5"/>
        <v>0</v>
      </c>
      <c r="AY70" s="56">
        <f t="shared" si="5"/>
        <v>0</v>
      </c>
      <c r="AZ70" s="56">
        <f t="shared" si="5"/>
        <v>0</v>
      </c>
      <c r="BA70" s="56">
        <f t="shared" si="5"/>
        <v>0</v>
      </c>
      <c r="BB70" s="56">
        <f t="shared" si="5"/>
        <v>0</v>
      </c>
      <c r="BC70" s="56">
        <f t="shared" si="5"/>
        <v>0</v>
      </c>
      <c r="BD70" s="56">
        <f t="shared" si="5"/>
        <v>0</v>
      </c>
      <c r="BE70" s="56">
        <f t="shared" si="5"/>
        <v>0</v>
      </c>
      <c r="BF70" s="56">
        <f t="shared" si="5"/>
        <v>0</v>
      </c>
      <c r="BG70" s="56">
        <f t="shared" si="5"/>
        <v>0</v>
      </c>
    </row>
    <row r="71" spans="1:59" ht="31.8">
      <c r="A71" s="81" t="s">
        <v>36</v>
      </c>
      <c r="B71" s="81"/>
      <c r="C71" s="81"/>
      <c r="D71" s="81"/>
      <c r="E71" s="81"/>
      <c r="F71" s="81"/>
      <c r="G71" s="81"/>
      <c r="H71" s="81"/>
      <c r="I71" s="81"/>
      <c r="J71" s="81"/>
      <c r="K71" s="81"/>
      <c r="L71" s="81"/>
      <c r="M71" s="81"/>
      <c r="N71" s="81"/>
      <c r="O71" s="81"/>
      <c r="P71" s="24"/>
      <c r="Q71" s="24"/>
      <c r="R71" s="24"/>
      <c r="AM71" s="34"/>
      <c r="AN71" s="34"/>
      <c r="AO71" s="34"/>
      <c r="AP71" s="34"/>
      <c r="AQ71" s="34"/>
      <c r="AR71" s="34"/>
      <c r="AS71" s="34"/>
      <c r="AT71" s="34"/>
      <c r="AU71" s="34"/>
      <c r="AV71" s="34"/>
      <c r="AW71" s="34"/>
      <c r="AX71" s="34"/>
      <c r="AY71" s="34"/>
      <c r="AZ71" s="34"/>
      <c r="BA71" s="34"/>
      <c r="BB71" s="34"/>
      <c r="BC71" s="34"/>
      <c r="BD71" s="34"/>
      <c r="BE71" s="34"/>
      <c r="BF71" s="34"/>
      <c r="BG71" s="34"/>
    </row>
    <row r="72" spans="1:59" ht="33.75" customHeight="1">
      <c r="A72" s="82" t="s">
        <v>13</v>
      </c>
      <c r="B72" s="82"/>
      <c r="C72" s="82"/>
      <c r="D72" s="82"/>
      <c r="E72" s="82"/>
      <c r="F72" s="82"/>
      <c r="G72" s="82"/>
      <c r="H72" s="82"/>
      <c r="I72" s="82"/>
      <c r="J72" s="82"/>
      <c r="K72" s="82"/>
      <c r="L72" s="82"/>
      <c r="M72" s="82"/>
      <c r="N72" s="82"/>
      <c r="O72" s="82"/>
      <c r="AM72" s="34"/>
      <c r="AN72" s="34"/>
      <c r="AO72" s="34"/>
      <c r="AP72" s="34"/>
      <c r="AQ72" s="34"/>
      <c r="AR72" s="34"/>
      <c r="AS72" s="34"/>
      <c r="AT72" s="34"/>
      <c r="AU72" s="34"/>
      <c r="AV72" s="34"/>
      <c r="AW72" s="34"/>
      <c r="AX72" s="34"/>
      <c r="AY72" s="34"/>
      <c r="AZ72" s="34"/>
      <c r="BA72" s="34"/>
      <c r="BB72" s="34"/>
      <c r="BC72" s="34"/>
      <c r="BD72" s="34"/>
      <c r="BE72" s="34"/>
      <c r="BF72" s="34"/>
      <c r="BG72" s="34"/>
    </row>
    <row r="73" spans="1:59" ht="62.4">
      <c r="A73" s="9" t="s">
        <v>0</v>
      </c>
      <c r="B73" s="10" t="s">
        <v>34</v>
      </c>
      <c r="C73" s="11" t="s">
        <v>7</v>
      </c>
      <c r="D73" s="12" t="s">
        <v>1</v>
      </c>
      <c r="E73" s="13" t="s">
        <v>4</v>
      </c>
      <c r="F73" s="13" t="s">
        <v>2</v>
      </c>
      <c r="G73" s="13" t="s">
        <v>3</v>
      </c>
      <c r="H73" s="11" t="s">
        <v>6</v>
      </c>
      <c r="I73" s="14" t="s">
        <v>8</v>
      </c>
      <c r="J73" s="14" t="s">
        <v>17</v>
      </c>
      <c r="K73" s="12" t="s">
        <v>9</v>
      </c>
      <c r="L73" s="15" t="s">
        <v>10</v>
      </c>
      <c r="M73" s="15" t="s">
        <v>11</v>
      </c>
      <c r="N73" s="15" t="s">
        <v>12</v>
      </c>
      <c r="O73" s="15" t="s">
        <v>14</v>
      </c>
      <c r="P73" s="26" t="s">
        <v>16</v>
      </c>
      <c r="Q73" s="15" t="s">
        <v>42</v>
      </c>
      <c r="R73" s="15" t="s">
        <v>44</v>
      </c>
      <c r="S73" s="83">
        <v>101</v>
      </c>
      <c r="T73" s="83">
        <v>102</v>
      </c>
      <c r="U73" s="80">
        <v>106</v>
      </c>
      <c r="V73" s="80">
        <v>108</v>
      </c>
      <c r="W73" s="80">
        <v>109</v>
      </c>
      <c r="X73" s="80">
        <v>113</v>
      </c>
      <c r="Y73" s="80">
        <v>114</v>
      </c>
      <c r="Z73" s="80">
        <v>115</v>
      </c>
      <c r="AA73" s="80">
        <v>116</v>
      </c>
      <c r="AB73" s="80">
        <v>199</v>
      </c>
      <c r="AC73" s="80">
        <v>201</v>
      </c>
      <c r="AD73" s="80">
        <v>202</v>
      </c>
      <c r="AE73" s="80">
        <v>203</v>
      </c>
      <c r="AF73" s="80">
        <v>205</v>
      </c>
      <c r="AG73" s="80">
        <v>206</v>
      </c>
      <c r="AH73" s="79">
        <v>209</v>
      </c>
      <c r="AI73" s="79">
        <v>212</v>
      </c>
      <c r="AJ73" s="79">
        <v>216</v>
      </c>
      <c r="AK73" s="79">
        <v>217</v>
      </c>
      <c r="AL73" s="79">
        <v>299</v>
      </c>
      <c r="AM73" s="79">
        <v>301</v>
      </c>
      <c r="AN73" s="79">
        <v>302</v>
      </c>
      <c r="AO73" s="79">
        <v>399</v>
      </c>
      <c r="AP73" s="79">
        <v>401</v>
      </c>
      <c r="AQ73" s="79">
        <v>402</v>
      </c>
      <c r="AR73" s="79">
        <v>411</v>
      </c>
      <c r="AS73" s="79">
        <v>412</v>
      </c>
      <c r="AT73" s="79">
        <v>413</v>
      </c>
      <c r="AU73" s="79">
        <v>499</v>
      </c>
      <c r="AV73" s="79">
        <v>501</v>
      </c>
      <c r="AW73" s="79">
        <v>502</v>
      </c>
      <c r="AX73" s="79">
        <v>599</v>
      </c>
      <c r="AY73" s="79">
        <v>604</v>
      </c>
      <c r="AZ73" s="79">
        <v>605</v>
      </c>
      <c r="BA73" s="79">
        <v>699</v>
      </c>
      <c r="BB73" s="79">
        <v>701</v>
      </c>
      <c r="BC73" s="79">
        <v>702</v>
      </c>
      <c r="BD73" s="79">
        <v>703</v>
      </c>
      <c r="BE73" s="79">
        <v>704</v>
      </c>
      <c r="BF73" s="79">
        <v>799</v>
      </c>
      <c r="BG73" s="84">
        <v>999</v>
      </c>
    </row>
    <row r="74" spans="1:59" ht="62.25" customHeight="1">
      <c r="A74" s="10" t="s">
        <v>18</v>
      </c>
      <c r="B74" s="10" t="s">
        <v>19</v>
      </c>
      <c r="C74" s="13" t="s">
        <v>20</v>
      </c>
      <c r="D74" s="12" t="s">
        <v>21</v>
      </c>
      <c r="E74" s="13" t="s">
        <v>22</v>
      </c>
      <c r="F74" s="13" t="s">
        <v>23</v>
      </c>
      <c r="G74" s="13" t="s">
        <v>25</v>
      </c>
      <c r="H74" s="13" t="s">
        <v>24</v>
      </c>
      <c r="I74" s="14" t="s">
        <v>26</v>
      </c>
      <c r="J74" s="14" t="s">
        <v>27</v>
      </c>
      <c r="K74" s="15" t="s">
        <v>28</v>
      </c>
      <c r="L74" s="15" t="s">
        <v>29</v>
      </c>
      <c r="M74" s="15" t="s">
        <v>30</v>
      </c>
      <c r="N74" s="15" t="s">
        <v>32</v>
      </c>
      <c r="O74" s="15" t="s">
        <v>31</v>
      </c>
      <c r="P74" s="26" t="s">
        <v>33</v>
      </c>
      <c r="Q74" s="15" t="s">
        <v>43</v>
      </c>
      <c r="R74" s="15" t="s">
        <v>45</v>
      </c>
      <c r="S74" s="83"/>
      <c r="T74" s="83"/>
      <c r="U74" s="80"/>
      <c r="V74" s="80"/>
      <c r="W74" s="80"/>
      <c r="X74" s="80"/>
      <c r="Y74" s="80"/>
      <c r="Z74" s="80"/>
      <c r="AA74" s="80"/>
      <c r="AB74" s="80"/>
      <c r="AC74" s="80"/>
      <c r="AD74" s="80"/>
      <c r="AE74" s="80"/>
      <c r="AF74" s="80"/>
      <c r="AG74" s="80"/>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84"/>
    </row>
    <row r="75" spans="1:59" s="17" customFormat="1" ht="15.75" hidden="1" customHeight="1">
      <c r="A75" s="108"/>
      <c r="B75" s="87"/>
      <c r="C75" s="89"/>
      <c r="D75" s="91"/>
      <c r="E75" s="89"/>
      <c r="F75" s="89"/>
      <c r="G75" s="93"/>
      <c r="H75" s="89"/>
      <c r="I75" s="89"/>
      <c r="J75" s="89"/>
      <c r="K75" s="20"/>
      <c r="L75" s="20"/>
      <c r="M75" s="20"/>
      <c r="N75" s="146" t="e">
        <f>O76/L76</f>
        <v>#DIV/0!</v>
      </c>
      <c r="O75" s="21">
        <f t="shared" ref="O75:O80" si="6">L75-M75</f>
        <v>0</v>
      </c>
      <c r="P75" s="27"/>
      <c r="Q75" s="99">
        <f>+L76-P76</f>
        <v>0</v>
      </c>
      <c r="R75" s="108"/>
      <c r="S75" s="149"/>
      <c r="T75" s="149"/>
      <c r="U75" s="149"/>
      <c r="V75" s="149"/>
      <c r="W75" s="149"/>
      <c r="X75" s="149"/>
      <c r="Y75" s="149"/>
      <c r="Z75" s="149"/>
      <c r="AA75" s="149"/>
      <c r="AB75" s="149"/>
      <c r="AC75" s="149"/>
      <c r="AD75" s="149"/>
      <c r="AE75" s="149"/>
      <c r="AF75" s="149"/>
      <c r="AG75" s="149"/>
      <c r="AH75" s="149"/>
      <c r="AI75" s="149"/>
      <c r="AJ75" s="149"/>
      <c r="AK75" s="149"/>
      <c r="AL75" s="149"/>
      <c r="AM75" s="163"/>
      <c r="AN75" s="163"/>
      <c r="AO75" s="163"/>
      <c r="AP75" s="163"/>
      <c r="AQ75" s="163"/>
      <c r="AR75" s="163"/>
      <c r="AS75" s="163"/>
      <c r="AT75" s="163"/>
      <c r="AU75" s="163"/>
      <c r="AV75" s="163"/>
      <c r="AW75" s="163"/>
      <c r="AX75" s="163"/>
      <c r="AY75" s="167"/>
      <c r="AZ75" s="167"/>
      <c r="BA75" s="167"/>
      <c r="BB75" s="167"/>
      <c r="BC75" s="167"/>
      <c r="BD75" s="161"/>
      <c r="BE75" s="163"/>
      <c r="BF75" s="165"/>
      <c r="BG75" s="165"/>
    </row>
    <row r="76" spans="1:59" s="17" customFormat="1" ht="15.75" hidden="1" customHeight="1">
      <c r="A76" s="85"/>
      <c r="B76" s="88"/>
      <c r="C76" s="90"/>
      <c r="D76" s="92"/>
      <c r="E76" s="90"/>
      <c r="F76" s="90"/>
      <c r="G76" s="94"/>
      <c r="H76" s="90"/>
      <c r="I76" s="90"/>
      <c r="J76" s="90"/>
      <c r="K76" s="22"/>
      <c r="L76" s="18"/>
      <c r="M76" s="18"/>
      <c r="N76" s="147"/>
      <c r="O76" s="19">
        <f t="shared" si="6"/>
        <v>0</v>
      </c>
      <c r="P76" s="22"/>
      <c r="Q76" s="100"/>
      <c r="R76" s="85"/>
      <c r="S76" s="150"/>
      <c r="T76" s="150"/>
      <c r="U76" s="150"/>
      <c r="V76" s="150"/>
      <c r="W76" s="150"/>
      <c r="X76" s="150"/>
      <c r="Y76" s="150"/>
      <c r="Z76" s="150"/>
      <c r="AA76" s="150"/>
      <c r="AB76" s="150"/>
      <c r="AC76" s="150"/>
      <c r="AD76" s="150"/>
      <c r="AE76" s="150"/>
      <c r="AF76" s="150"/>
      <c r="AG76" s="150"/>
      <c r="AH76" s="150"/>
      <c r="AI76" s="150"/>
      <c r="AJ76" s="150"/>
      <c r="AK76" s="150"/>
      <c r="AL76" s="150"/>
      <c r="AM76" s="164"/>
      <c r="AN76" s="164"/>
      <c r="AO76" s="164"/>
      <c r="AP76" s="164"/>
      <c r="AQ76" s="164"/>
      <c r="AR76" s="164"/>
      <c r="AS76" s="164"/>
      <c r="AT76" s="164"/>
      <c r="AU76" s="164"/>
      <c r="AV76" s="164"/>
      <c r="AW76" s="164"/>
      <c r="AX76" s="164"/>
      <c r="AY76" s="168"/>
      <c r="AZ76" s="168"/>
      <c r="BA76" s="168"/>
      <c r="BB76" s="168"/>
      <c r="BC76" s="168"/>
      <c r="BD76" s="162"/>
      <c r="BE76" s="164"/>
      <c r="BF76" s="166"/>
      <c r="BG76" s="166"/>
    </row>
    <row r="77" spans="1:59" s="17" customFormat="1" ht="18" customHeight="1">
      <c r="A77" s="108">
        <v>45279</v>
      </c>
      <c r="B77" s="138" t="s">
        <v>37</v>
      </c>
      <c r="C77" s="90" t="s">
        <v>56</v>
      </c>
      <c r="D77" s="91" t="s">
        <v>38</v>
      </c>
      <c r="E77" s="89">
        <v>84217</v>
      </c>
      <c r="F77" s="89" t="s">
        <v>49</v>
      </c>
      <c r="G77" s="137" t="s">
        <v>61</v>
      </c>
      <c r="H77" s="95" t="s">
        <v>39</v>
      </c>
      <c r="I77" s="90">
        <v>4497</v>
      </c>
      <c r="J77" s="90">
        <v>4097</v>
      </c>
      <c r="K77" s="20">
        <v>7</v>
      </c>
      <c r="L77" s="20">
        <v>7</v>
      </c>
      <c r="M77" s="20">
        <v>7</v>
      </c>
      <c r="N77" s="97">
        <f>O78/L78</f>
        <v>0.61288747864290949</v>
      </c>
      <c r="O77" s="21">
        <f t="shared" si="6"/>
        <v>0</v>
      </c>
      <c r="P77" s="27">
        <v>22</v>
      </c>
      <c r="Q77" s="99">
        <f>+L78-P78</f>
        <v>56</v>
      </c>
      <c r="R77" s="85"/>
      <c r="S77" s="96"/>
      <c r="T77" s="96"/>
      <c r="U77" s="96"/>
      <c r="V77" s="96"/>
      <c r="W77" s="96"/>
      <c r="X77" s="96"/>
      <c r="Y77" s="96"/>
      <c r="Z77" s="96"/>
      <c r="AA77" s="96"/>
      <c r="AB77" s="96"/>
      <c r="AC77" s="96"/>
      <c r="AD77" s="96"/>
      <c r="AE77" s="96"/>
      <c r="AF77" s="96"/>
      <c r="AG77" s="96"/>
      <c r="AH77" s="96"/>
      <c r="AI77" s="96"/>
      <c r="AJ77" s="96"/>
      <c r="AK77" s="96"/>
      <c r="AL77" s="96"/>
      <c r="AM77" s="103"/>
      <c r="AN77" s="103"/>
      <c r="AO77" s="103"/>
      <c r="AP77" s="103"/>
      <c r="AQ77" s="103"/>
      <c r="AR77" s="103"/>
      <c r="AS77" s="103"/>
      <c r="AT77" s="103"/>
      <c r="AU77" s="103"/>
      <c r="AV77" s="103"/>
      <c r="AW77" s="103"/>
      <c r="AX77" s="103"/>
      <c r="AY77" s="106"/>
      <c r="AZ77" s="106"/>
      <c r="BA77" s="106"/>
      <c r="BB77" s="106"/>
      <c r="BC77" s="106"/>
      <c r="BD77" s="106"/>
      <c r="BE77" s="103"/>
      <c r="BF77" s="104"/>
      <c r="BG77" s="104"/>
    </row>
    <row r="78" spans="1:59" s="17" customFormat="1" ht="17.25" customHeight="1">
      <c r="A78" s="85"/>
      <c r="B78" s="139"/>
      <c r="C78" s="95"/>
      <c r="D78" s="92"/>
      <c r="E78" s="90"/>
      <c r="F78" s="90"/>
      <c r="G78" s="95"/>
      <c r="H78" s="95"/>
      <c r="I78" s="95"/>
      <c r="J78" s="95"/>
      <c r="K78" s="18">
        <f>260+160+50+100+100+240+349+166+150+60+120+30+30+230+80+125+115+200+209+115+50+371+435+245+60+40+7</f>
        <v>4097</v>
      </c>
      <c r="L78" s="18">
        <f>260+160+50+100+140+100+240+150+60+370+60+150+75+245+185+200+450+375+390+290+40+7</f>
        <v>4097</v>
      </c>
      <c r="M78" s="18">
        <f>120+55+27+40+30+60+87+45+34+74+40+100+40+75+74+73+199+146+180+50+30+7</f>
        <v>1586</v>
      </c>
      <c r="N78" s="98"/>
      <c r="O78" s="19">
        <f t="shared" si="6"/>
        <v>2511</v>
      </c>
      <c r="P78" s="22">
        <f>170+70+15+112+30+30+83+50+100+127+218+53+42+60+34+200+66+100+130+190+144+20+151+307+424+312+340+441+22</f>
        <v>4041</v>
      </c>
      <c r="Q78" s="100"/>
      <c r="R78" s="86"/>
      <c r="S78" s="96"/>
      <c r="T78" s="96"/>
      <c r="U78" s="96"/>
      <c r="V78" s="96"/>
      <c r="W78" s="96"/>
      <c r="X78" s="96"/>
      <c r="Y78" s="96"/>
      <c r="Z78" s="96"/>
      <c r="AA78" s="96"/>
      <c r="AB78" s="96"/>
      <c r="AC78" s="96"/>
      <c r="AD78" s="96"/>
      <c r="AE78" s="96"/>
      <c r="AF78" s="96"/>
      <c r="AG78" s="96"/>
      <c r="AH78" s="96"/>
      <c r="AI78" s="96"/>
      <c r="AJ78" s="96"/>
      <c r="AK78" s="96"/>
      <c r="AL78" s="96"/>
      <c r="AM78" s="103"/>
      <c r="AN78" s="103"/>
      <c r="AO78" s="103"/>
      <c r="AP78" s="103"/>
      <c r="AQ78" s="103"/>
      <c r="AR78" s="103"/>
      <c r="AS78" s="103"/>
      <c r="AT78" s="103"/>
      <c r="AU78" s="103"/>
      <c r="AV78" s="103"/>
      <c r="AW78" s="103"/>
      <c r="AX78" s="103"/>
      <c r="AY78" s="107"/>
      <c r="AZ78" s="107"/>
      <c r="BA78" s="107"/>
      <c r="BB78" s="107"/>
      <c r="BC78" s="107"/>
      <c r="BD78" s="107"/>
      <c r="BE78" s="103"/>
      <c r="BF78" s="105"/>
      <c r="BG78" s="105"/>
    </row>
    <row r="79" spans="1:59" s="17" customFormat="1" ht="18" customHeight="1">
      <c r="A79" s="101">
        <v>45279</v>
      </c>
      <c r="B79" s="132" t="s">
        <v>37</v>
      </c>
      <c r="C79" s="117" t="s">
        <v>56</v>
      </c>
      <c r="D79" s="118" t="s">
        <v>38</v>
      </c>
      <c r="E79" s="116">
        <v>84217</v>
      </c>
      <c r="F79" s="116" t="s">
        <v>49</v>
      </c>
      <c r="G79" s="141" t="s">
        <v>63</v>
      </c>
      <c r="H79" s="95" t="s">
        <v>39</v>
      </c>
      <c r="I79" s="90">
        <v>4970</v>
      </c>
      <c r="J79" s="90">
        <v>2149</v>
      </c>
      <c r="K79" s="20">
        <v>300</v>
      </c>
      <c r="L79" s="20">
        <v>200</v>
      </c>
      <c r="M79" s="20">
        <f>70+18</f>
        <v>88</v>
      </c>
      <c r="N79" s="143">
        <f>O80/L80</f>
        <v>0.56000000000000005</v>
      </c>
      <c r="O79" s="21">
        <f t="shared" si="6"/>
        <v>112</v>
      </c>
      <c r="P79" s="27">
        <f>18+70</f>
        <v>88</v>
      </c>
      <c r="Q79" s="99">
        <f>+L80-P80</f>
        <v>112</v>
      </c>
      <c r="R79" s="101"/>
      <c r="S79" s="96"/>
      <c r="T79" s="96"/>
      <c r="U79" s="96">
        <v>20</v>
      </c>
      <c r="V79" s="96"/>
      <c r="W79" s="96"/>
      <c r="X79" s="96"/>
      <c r="Y79" s="96"/>
      <c r="Z79" s="96"/>
      <c r="AA79" s="96"/>
      <c r="AB79" s="96"/>
      <c r="AC79" s="140">
        <v>23</v>
      </c>
      <c r="AD79" s="96"/>
      <c r="AE79" s="96">
        <v>20</v>
      </c>
      <c r="AF79" s="96">
        <v>10</v>
      </c>
      <c r="AG79" s="96">
        <v>10</v>
      </c>
      <c r="AH79" s="96">
        <v>19</v>
      </c>
      <c r="AI79" s="96"/>
      <c r="AJ79" s="96"/>
      <c r="AK79" s="96"/>
      <c r="AL79" s="96">
        <v>10</v>
      </c>
      <c r="AM79" s="96"/>
      <c r="AN79" s="96"/>
      <c r="AO79" s="96"/>
      <c r="AP79" s="96"/>
      <c r="AQ79" s="96"/>
      <c r="AR79" s="96"/>
      <c r="AS79" s="96"/>
      <c r="AT79" s="96"/>
      <c r="AU79" s="96"/>
      <c r="AV79" s="96"/>
      <c r="AW79" s="96"/>
      <c r="AX79" s="96"/>
      <c r="AY79" s="124"/>
      <c r="AZ79" s="123"/>
      <c r="BA79" s="123"/>
      <c r="BB79" s="123"/>
      <c r="BC79" s="123"/>
      <c r="BD79" s="123"/>
      <c r="BE79" s="123"/>
      <c r="BF79" s="123"/>
      <c r="BG79" s="123"/>
    </row>
    <row r="80" spans="1:59" s="17" customFormat="1" ht="17.25" customHeight="1">
      <c r="A80" s="102"/>
      <c r="B80" s="145"/>
      <c r="C80" s="142"/>
      <c r="D80" s="119"/>
      <c r="E80" s="117"/>
      <c r="F80" s="117"/>
      <c r="G80" s="142"/>
      <c r="H80" s="95"/>
      <c r="I80" s="95"/>
      <c r="J80" s="95"/>
      <c r="K80" s="3">
        <f>300</f>
        <v>300</v>
      </c>
      <c r="L80" s="3">
        <f>200</f>
        <v>200</v>
      </c>
      <c r="M80" s="3">
        <f>88</f>
        <v>88</v>
      </c>
      <c r="N80" s="144"/>
      <c r="O80" s="7">
        <f t="shared" si="6"/>
        <v>112</v>
      </c>
      <c r="P80" s="28">
        <f>88</f>
        <v>88</v>
      </c>
      <c r="Q80" s="100"/>
      <c r="R80" s="102"/>
      <c r="S80" s="96"/>
      <c r="T80" s="96"/>
      <c r="U80" s="96"/>
      <c r="V80" s="96"/>
      <c r="W80" s="96"/>
      <c r="X80" s="96"/>
      <c r="Y80" s="96"/>
      <c r="Z80" s="96"/>
      <c r="AA80" s="96"/>
      <c r="AB80" s="96"/>
      <c r="AC80" s="140"/>
      <c r="AD80" s="96"/>
      <c r="AE80" s="96"/>
      <c r="AF80" s="96"/>
      <c r="AG80" s="96"/>
      <c r="AH80" s="96"/>
      <c r="AI80" s="96"/>
      <c r="AJ80" s="96"/>
      <c r="AK80" s="96"/>
      <c r="AL80" s="96"/>
      <c r="AM80" s="96"/>
      <c r="AN80" s="96"/>
      <c r="AO80" s="96"/>
      <c r="AP80" s="96"/>
      <c r="AQ80" s="96"/>
      <c r="AR80" s="96"/>
      <c r="AS80" s="96"/>
      <c r="AT80" s="96"/>
      <c r="AU80" s="96"/>
      <c r="AV80" s="96"/>
      <c r="AW80" s="96"/>
      <c r="AX80" s="96"/>
      <c r="AY80" s="124"/>
      <c r="AZ80" s="124"/>
      <c r="BA80" s="124"/>
      <c r="BB80" s="124"/>
      <c r="BC80" s="124"/>
      <c r="BD80" s="124"/>
      <c r="BE80" s="124"/>
      <c r="BF80" s="124"/>
      <c r="BG80" s="124"/>
    </row>
    <row r="81" spans="1:61" ht="24.75" customHeight="1">
      <c r="A81" s="111" t="s">
        <v>15</v>
      </c>
      <c r="B81" s="112"/>
      <c r="C81" s="112"/>
      <c r="D81" s="112"/>
      <c r="E81" s="112"/>
      <c r="F81" s="112"/>
      <c r="G81" s="112"/>
      <c r="H81" s="112"/>
      <c r="I81" s="113"/>
      <c r="J81" s="5">
        <f>SUM(J75:J80)</f>
        <v>6246</v>
      </c>
      <c r="K81" s="5">
        <f>+SUMPRODUCT(((MOD(ROW(K75:K80),2)=1)*(K75:K80)))</f>
        <v>307</v>
      </c>
      <c r="L81" s="5">
        <f>+SUMPRODUCT(((MOD(ROW(L75:L80),2)=1)*(L75:L80)))</f>
        <v>207</v>
      </c>
      <c r="M81" s="5">
        <f>+SUMPRODUCT(((MOD(ROW(M75:M80),2)=1)*(M75:M80)))</f>
        <v>95</v>
      </c>
      <c r="N81" s="23">
        <f>O81/L81</f>
        <v>0.54106280193236711</v>
      </c>
      <c r="O81" s="5">
        <f>+SUMPRODUCT(((MOD(ROW(O75:O80),2)=1)*(O75:O80)))</f>
        <v>112</v>
      </c>
      <c r="P81" s="5">
        <f>+SUMPRODUCT(((MOD(ROW(P75:P80),2)=1)*(P75:P80)))</f>
        <v>110</v>
      </c>
      <c r="Q81" s="5">
        <f>+SUMPRODUCT(((MOD(ROW(Q75:Q80),2)=1)*(Q75:Q80)))</f>
        <v>168</v>
      </c>
      <c r="R81" s="5"/>
      <c r="S81" s="5">
        <f t="shared" ref="S81:BG81" si="7">SUM(S75:S80)</f>
        <v>0</v>
      </c>
      <c r="T81" s="5">
        <f t="shared" si="7"/>
        <v>0</v>
      </c>
      <c r="U81" s="5">
        <f t="shared" si="7"/>
        <v>20</v>
      </c>
      <c r="V81" s="5">
        <f t="shared" si="7"/>
        <v>0</v>
      </c>
      <c r="W81" s="5">
        <f t="shared" si="7"/>
        <v>0</v>
      </c>
      <c r="X81" s="5">
        <f t="shared" si="7"/>
        <v>0</v>
      </c>
      <c r="Y81" s="5">
        <f t="shared" si="7"/>
        <v>0</v>
      </c>
      <c r="Z81" s="5">
        <f t="shared" si="7"/>
        <v>0</v>
      </c>
      <c r="AA81" s="5">
        <f t="shared" si="7"/>
        <v>0</v>
      </c>
      <c r="AB81" s="5">
        <f t="shared" si="7"/>
        <v>0</v>
      </c>
      <c r="AC81" s="5">
        <f t="shared" si="7"/>
        <v>23</v>
      </c>
      <c r="AD81" s="5">
        <f t="shared" si="7"/>
        <v>0</v>
      </c>
      <c r="AE81" s="5">
        <f t="shared" si="7"/>
        <v>20</v>
      </c>
      <c r="AF81" s="5">
        <f t="shared" si="7"/>
        <v>10</v>
      </c>
      <c r="AG81" s="5">
        <f t="shared" si="7"/>
        <v>10</v>
      </c>
      <c r="AH81" s="5">
        <f t="shared" si="7"/>
        <v>19</v>
      </c>
      <c r="AI81" s="5">
        <f t="shared" si="7"/>
        <v>0</v>
      </c>
      <c r="AJ81" s="5">
        <f t="shared" si="7"/>
        <v>0</v>
      </c>
      <c r="AK81" s="5">
        <f t="shared" si="7"/>
        <v>0</v>
      </c>
      <c r="AL81" s="5">
        <f t="shared" si="7"/>
        <v>10</v>
      </c>
      <c r="AM81" s="5">
        <f t="shared" si="7"/>
        <v>0</v>
      </c>
      <c r="AN81" s="5">
        <f t="shared" si="7"/>
        <v>0</v>
      </c>
      <c r="AO81" s="5">
        <f t="shared" si="7"/>
        <v>0</v>
      </c>
      <c r="AP81" s="5">
        <f t="shared" si="7"/>
        <v>0</v>
      </c>
      <c r="AQ81" s="5">
        <f t="shared" si="7"/>
        <v>0</v>
      </c>
      <c r="AR81" s="5">
        <f t="shared" si="7"/>
        <v>0</v>
      </c>
      <c r="AS81" s="5">
        <f t="shared" si="7"/>
        <v>0</v>
      </c>
      <c r="AT81" s="5">
        <f t="shared" si="7"/>
        <v>0</v>
      </c>
      <c r="AU81" s="5">
        <f t="shared" si="7"/>
        <v>0</v>
      </c>
      <c r="AV81" s="5">
        <f t="shared" si="7"/>
        <v>0</v>
      </c>
      <c r="AW81" s="5">
        <f t="shared" si="7"/>
        <v>0</v>
      </c>
      <c r="AX81" s="5">
        <f t="shared" si="7"/>
        <v>0</v>
      </c>
      <c r="AY81" s="5">
        <f t="shared" si="7"/>
        <v>0</v>
      </c>
      <c r="AZ81" s="5">
        <f t="shared" si="7"/>
        <v>0</v>
      </c>
      <c r="BA81" s="5">
        <f t="shared" si="7"/>
        <v>0</v>
      </c>
      <c r="BB81" s="5">
        <f t="shared" si="7"/>
        <v>0</v>
      </c>
      <c r="BC81" s="5">
        <f t="shared" si="7"/>
        <v>0</v>
      </c>
      <c r="BD81" s="5">
        <f t="shared" si="7"/>
        <v>0</v>
      </c>
      <c r="BE81" s="5">
        <f t="shared" si="7"/>
        <v>0</v>
      </c>
      <c r="BF81" s="5">
        <f t="shared" si="7"/>
        <v>0</v>
      </c>
      <c r="BG81" s="5">
        <f t="shared" si="7"/>
        <v>0</v>
      </c>
    </row>
    <row r="82" spans="1:61" s="17" customFormat="1" ht="15.75" hidden="1" customHeight="1">
      <c r="A82" s="101"/>
      <c r="B82" s="114"/>
      <c r="C82" s="116"/>
      <c r="D82" s="118"/>
      <c r="E82" s="116"/>
      <c r="F82" s="116"/>
      <c r="G82" s="120"/>
      <c r="H82" s="151"/>
      <c r="I82" s="89"/>
      <c r="J82" s="89"/>
      <c r="K82" s="20"/>
      <c r="L82" s="20"/>
      <c r="M82" s="20"/>
      <c r="N82" s="146"/>
      <c r="O82" s="21"/>
      <c r="P82" s="27"/>
      <c r="Q82" s="99"/>
      <c r="R82" s="148"/>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52"/>
      <c r="AZ82" s="152"/>
      <c r="BA82" s="152"/>
      <c r="BB82" s="152"/>
      <c r="BC82" s="152"/>
      <c r="BD82" s="152"/>
      <c r="BE82" s="149"/>
      <c r="BF82" s="152"/>
      <c r="BG82" s="152"/>
    </row>
    <row r="83" spans="1:61" s="17" customFormat="1" ht="15.75" hidden="1" customHeight="1">
      <c r="A83" s="102"/>
      <c r="B83" s="115"/>
      <c r="C83" s="117"/>
      <c r="D83" s="119"/>
      <c r="E83" s="117"/>
      <c r="F83" s="117"/>
      <c r="G83" s="121"/>
      <c r="H83" s="90"/>
      <c r="I83" s="90"/>
      <c r="J83" s="90"/>
      <c r="K83" s="22"/>
      <c r="L83" s="18"/>
      <c r="M83" s="18"/>
      <c r="N83" s="147"/>
      <c r="O83" s="19"/>
      <c r="P83" s="22"/>
      <c r="Q83" s="100"/>
      <c r="R83" s="101"/>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3"/>
      <c r="AZ83" s="153"/>
      <c r="BA83" s="153"/>
      <c r="BB83" s="153"/>
      <c r="BC83" s="153"/>
      <c r="BD83" s="153"/>
      <c r="BE83" s="150"/>
      <c r="BF83" s="153"/>
      <c r="BG83" s="153"/>
    </row>
    <row r="84" spans="1:61" s="17" customFormat="1" ht="15.75" hidden="1" customHeight="1">
      <c r="A84" s="101"/>
      <c r="B84" s="114"/>
      <c r="C84" s="116"/>
      <c r="D84" s="118"/>
      <c r="E84" s="116"/>
      <c r="F84" s="116"/>
      <c r="G84" s="120"/>
      <c r="H84" s="151"/>
      <c r="I84" s="89"/>
      <c r="J84" s="89"/>
      <c r="K84" s="20"/>
      <c r="L84" s="20"/>
      <c r="M84" s="20"/>
      <c r="N84" s="146"/>
      <c r="O84" s="21"/>
      <c r="P84" s="27"/>
      <c r="Q84" s="99"/>
      <c r="R84" s="148"/>
      <c r="S84" s="149"/>
      <c r="T84" s="149"/>
      <c r="U84" s="149"/>
      <c r="V84" s="149"/>
      <c r="W84" s="149"/>
      <c r="X84" s="149"/>
      <c r="Y84" s="149"/>
      <c r="Z84" s="149"/>
      <c r="AA84" s="149"/>
      <c r="AB84" s="149"/>
      <c r="AC84" s="149"/>
      <c r="AD84" s="149"/>
      <c r="AE84" s="149"/>
      <c r="AF84" s="149"/>
      <c r="AG84" s="149"/>
      <c r="AH84" s="149"/>
      <c r="AI84" s="149"/>
      <c r="AJ84" s="149"/>
      <c r="AK84" s="149"/>
      <c r="AL84" s="149"/>
      <c r="AM84" s="149"/>
      <c r="AN84" s="149"/>
      <c r="AO84" s="149"/>
      <c r="AP84" s="149"/>
      <c r="AQ84" s="149"/>
      <c r="AR84" s="149"/>
      <c r="AS84" s="149"/>
      <c r="AT84" s="149"/>
      <c r="AU84" s="149"/>
      <c r="AV84" s="149"/>
      <c r="AW84" s="149"/>
      <c r="AX84" s="149"/>
      <c r="AY84" s="152"/>
      <c r="AZ84" s="152"/>
      <c r="BA84" s="152"/>
      <c r="BB84" s="152"/>
      <c r="BC84" s="152"/>
      <c r="BD84" s="152"/>
      <c r="BE84" s="149"/>
      <c r="BF84" s="152"/>
      <c r="BG84" s="152"/>
    </row>
    <row r="85" spans="1:61" s="17" customFormat="1" ht="15.75" hidden="1" customHeight="1">
      <c r="A85" s="102"/>
      <c r="B85" s="115"/>
      <c r="C85" s="117"/>
      <c r="D85" s="119"/>
      <c r="E85" s="117"/>
      <c r="F85" s="117"/>
      <c r="G85" s="121"/>
      <c r="H85" s="90"/>
      <c r="I85" s="90"/>
      <c r="J85" s="90"/>
      <c r="K85" s="22"/>
      <c r="L85" s="18"/>
      <c r="M85" s="18"/>
      <c r="N85" s="147"/>
      <c r="O85" s="19"/>
      <c r="P85" s="22"/>
      <c r="Q85" s="100"/>
      <c r="R85" s="101"/>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3"/>
      <c r="AZ85" s="153"/>
      <c r="BA85" s="153"/>
      <c r="BB85" s="153"/>
      <c r="BC85" s="153"/>
      <c r="BD85" s="153"/>
      <c r="BE85" s="150"/>
      <c r="BF85" s="153"/>
      <c r="BG85" s="153"/>
    </row>
    <row r="86" spans="1:61" s="17" customFormat="1" ht="15.75" hidden="1" customHeight="1">
      <c r="A86" s="101"/>
      <c r="B86" s="114"/>
      <c r="C86" s="116"/>
      <c r="D86" s="118"/>
      <c r="E86" s="116"/>
      <c r="F86" s="116"/>
      <c r="G86" s="120"/>
      <c r="H86" s="109"/>
      <c r="I86" s="90"/>
      <c r="J86" s="90"/>
      <c r="K86" s="20"/>
      <c r="L86" s="20"/>
      <c r="M86" s="20"/>
      <c r="N86" s="97"/>
      <c r="O86" s="21"/>
      <c r="P86" s="27"/>
      <c r="Q86" s="99"/>
      <c r="R86" s="154"/>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1"/>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s="17" customFormat="1" ht="15.75" hidden="1" customHeight="1">
      <c r="A88" s="101"/>
      <c r="B88" s="114"/>
      <c r="C88" s="116"/>
      <c r="D88" s="118"/>
      <c r="E88" s="116"/>
      <c r="F88" s="116"/>
      <c r="G88" s="120"/>
      <c r="H88" s="109"/>
      <c r="I88" s="90"/>
      <c r="J88" s="90"/>
      <c r="K88" s="20"/>
      <c r="L88" s="20"/>
      <c r="M88" s="20"/>
      <c r="N88" s="97"/>
      <c r="O88" s="21"/>
      <c r="P88" s="27"/>
      <c r="Q88" s="99"/>
      <c r="R88" s="148"/>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5"/>
      <c r="AZ88" s="155"/>
      <c r="BA88" s="155"/>
      <c r="BB88" s="155"/>
      <c r="BC88" s="155"/>
      <c r="BD88" s="155"/>
      <c r="BE88" s="96"/>
      <c r="BF88" s="155"/>
      <c r="BG88" s="155"/>
    </row>
    <row r="89" spans="1:61" s="17" customFormat="1" ht="15.75" hidden="1" customHeight="1">
      <c r="A89" s="102"/>
      <c r="B89" s="115"/>
      <c r="C89" s="117"/>
      <c r="D89" s="119"/>
      <c r="E89" s="117"/>
      <c r="F89" s="117"/>
      <c r="G89" s="121"/>
      <c r="H89" s="95"/>
      <c r="I89" s="95"/>
      <c r="J89" s="95"/>
      <c r="K89" s="22"/>
      <c r="L89" s="18"/>
      <c r="M89" s="18"/>
      <c r="N89" s="98"/>
      <c r="O89" s="19"/>
      <c r="P89" s="22"/>
      <c r="Q89" s="100"/>
      <c r="R89" s="101"/>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6"/>
      <c r="AZ89" s="156"/>
      <c r="BA89" s="156"/>
      <c r="BB89" s="156"/>
      <c r="BC89" s="156"/>
      <c r="BD89" s="156"/>
      <c r="BE89" s="96"/>
      <c r="BF89" s="156"/>
      <c r="BG89" s="156"/>
    </row>
    <row r="90" spans="1:61" s="17" customFormat="1" ht="15.75" hidden="1" customHeight="1">
      <c r="A90" s="101">
        <v>45084</v>
      </c>
      <c r="B90" s="114" t="s">
        <v>37</v>
      </c>
      <c r="C90" s="116"/>
      <c r="D90" s="118"/>
      <c r="E90" s="116"/>
      <c r="F90" s="116"/>
      <c r="G90" s="120"/>
      <c r="H90" s="109"/>
      <c r="I90" s="90"/>
      <c r="J90" s="90"/>
      <c r="K90" s="20"/>
      <c r="L90" s="20"/>
      <c r="M90" s="20"/>
      <c r="N90" s="97" t="e">
        <f>O91/L91</f>
        <v>#DIV/0!</v>
      </c>
      <c r="O90" s="21"/>
      <c r="P90" s="27"/>
      <c r="Q90" s="99">
        <f>+L91-P91</f>
        <v>0</v>
      </c>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5"/>
      <c r="AZ90" s="155"/>
      <c r="BA90" s="155"/>
      <c r="BB90" s="155"/>
      <c r="BC90" s="155"/>
      <c r="BD90" s="155"/>
      <c r="BE90" s="96"/>
      <c r="BF90" s="155"/>
      <c r="BG90" s="155"/>
    </row>
    <row r="91" spans="1:61" s="17" customFormat="1" ht="15.75" hidden="1" customHeight="1">
      <c r="A91" s="102"/>
      <c r="B91" s="115"/>
      <c r="C91" s="117"/>
      <c r="D91" s="119"/>
      <c r="E91" s="117"/>
      <c r="F91" s="117"/>
      <c r="G91" s="121"/>
      <c r="H91" s="95"/>
      <c r="I91" s="95"/>
      <c r="J91" s="95"/>
      <c r="K91" s="22"/>
      <c r="L91" s="18"/>
      <c r="M91" s="18"/>
      <c r="N91" s="98"/>
      <c r="O91" s="19"/>
      <c r="P91" s="22"/>
      <c r="Q91" s="100"/>
      <c r="R91" s="102"/>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6"/>
      <c r="AZ91" s="156"/>
      <c r="BA91" s="156"/>
      <c r="BB91" s="156"/>
      <c r="BC91" s="156"/>
      <c r="BD91" s="156"/>
      <c r="BE91" s="96"/>
      <c r="BF91" s="156"/>
      <c r="BG91" s="156"/>
    </row>
    <row r="92" spans="1:61" ht="24.75" hidden="1" customHeight="1">
      <c r="A92" s="111" t="s">
        <v>40</v>
      </c>
      <c r="B92" s="112"/>
      <c r="C92" s="112"/>
      <c r="D92" s="112"/>
      <c r="E92" s="112"/>
      <c r="F92" s="112"/>
      <c r="G92" s="112"/>
      <c r="H92" s="112"/>
      <c r="I92" s="113"/>
      <c r="J92" s="5">
        <f>SUM(J82:J91)</f>
        <v>0</v>
      </c>
      <c r="K92" s="5">
        <f>+SUMPRODUCT(((MOD(ROW(K82:K89),2)=0)*(K82:K89)))</f>
        <v>0</v>
      </c>
      <c r="L92" s="5">
        <f>+SUMPRODUCT(((MOD(ROW(L82:L89),2)=0)*(L82:L89)))</f>
        <v>0</v>
      </c>
      <c r="M92" s="5">
        <f>+SUMPRODUCT(((MOD(ROW(M82:M89),2)=0)*(M82:M89)))</f>
        <v>0</v>
      </c>
      <c r="N92" s="6" t="e">
        <f>O92/L92</f>
        <v>#DIV/0!</v>
      </c>
      <c r="O92" s="5">
        <f>+SUMPRODUCT(((MOD(ROW(O82:O89),2)=0)*(O82:O89)))</f>
        <v>0</v>
      </c>
      <c r="P92" s="5">
        <f>+SUMPRODUCT(((MOD(ROW(P82:P89),2)=0)*(P82:P89)))</f>
        <v>0</v>
      </c>
      <c r="Q92" s="29">
        <f>SUM(Q82:Q91)</f>
        <v>0</v>
      </c>
      <c r="R92" s="29"/>
      <c r="S92" s="29">
        <f t="shared" ref="S92:BG92" si="8">SUM(S82:S91)</f>
        <v>0</v>
      </c>
      <c r="T92" s="29">
        <f t="shared" si="8"/>
        <v>0</v>
      </c>
      <c r="U92" s="29">
        <f t="shared" si="8"/>
        <v>0</v>
      </c>
      <c r="V92" s="29">
        <f t="shared" si="8"/>
        <v>0</v>
      </c>
      <c r="W92" s="29">
        <f t="shared" si="8"/>
        <v>0</v>
      </c>
      <c r="X92" s="29">
        <f t="shared" si="8"/>
        <v>0</v>
      </c>
      <c r="Y92" s="29">
        <f t="shared" si="8"/>
        <v>0</v>
      </c>
      <c r="Z92" s="29">
        <f t="shared" si="8"/>
        <v>0</v>
      </c>
      <c r="AA92" s="29">
        <f t="shared" si="8"/>
        <v>0</v>
      </c>
      <c r="AB92" s="29">
        <f t="shared" si="8"/>
        <v>0</v>
      </c>
      <c r="AC92" s="29">
        <f t="shared" si="8"/>
        <v>0</v>
      </c>
      <c r="AD92" s="29">
        <f t="shared" si="8"/>
        <v>0</v>
      </c>
      <c r="AE92" s="29">
        <f t="shared" si="8"/>
        <v>0</v>
      </c>
      <c r="AF92" s="29">
        <f t="shared" si="8"/>
        <v>0</v>
      </c>
      <c r="AG92" s="29">
        <f t="shared" si="8"/>
        <v>0</v>
      </c>
      <c r="AH92" s="29">
        <f t="shared" si="8"/>
        <v>0</v>
      </c>
      <c r="AI92" s="29">
        <f t="shared" si="8"/>
        <v>0</v>
      </c>
      <c r="AJ92" s="29">
        <f t="shared" si="8"/>
        <v>0</v>
      </c>
      <c r="AK92" s="29">
        <f t="shared" si="8"/>
        <v>0</v>
      </c>
      <c r="AL92" s="29">
        <f t="shared" si="8"/>
        <v>0</v>
      </c>
      <c r="AM92" s="29">
        <f t="shared" si="8"/>
        <v>0</v>
      </c>
      <c r="AN92" s="29">
        <f t="shared" si="8"/>
        <v>0</v>
      </c>
      <c r="AO92" s="29">
        <f t="shared" si="8"/>
        <v>0</v>
      </c>
      <c r="AP92" s="29">
        <f t="shared" si="8"/>
        <v>0</v>
      </c>
      <c r="AQ92" s="29">
        <f t="shared" si="8"/>
        <v>0</v>
      </c>
      <c r="AR92" s="29">
        <f t="shared" si="8"/>
        <v>0</v>
      </c>
      <c r="AS92" s="29">
        <f t="shared" si="8"/>
        <v>0</v>
      </c>
      <c r="AT92" s="29">
        <f t="shared" si="8"/>
        <v>0</v>
      </c>
      <c r="AU92" s="29">
        <f t="shared" si="8"/>
        <v>0</v>
      </c>
      <c r="AV92" s="29">
        <f t="shared" si="8"/>
        <v>0</v>
      </c>
      <c r="AW92" s="29">
        <f t="shared" si="8"/>
        <v>0</v>
      </c>
      <c r="AX92" s="29">
        <f t="shared" si="8"/>
        <v>0</v>
      </c>
      <c r="AY92" s="29">
        <f t="shared" si="8"/>
        <v>0</v>
      </c>
      <c r="AZ92" s="29">
        <f t="shared" si="8"/>
        <v>0</v>
      </c>
      <c r="BA92" s="29">
        <f t="shared" si="8"/>
        <v>0</v>
      </c>
      <c r="BB92" s="29">
        <f t="shared" si="8"/>
        <v>0</v>
      </c>
      <c r="BC92" s="29">
        <f t="shared" si="8"/>
        <v>0</v>
      </c>
      <c r="BD92" s="29">
        <f t="shared" si="8"/>
        <v>0</v>
      </c>
      <c r="BE92" s="29">
        <f t="shared" si="8"/>
        <v>0</v>
      </c>
      <c r="BF92" s="29">
        <f t="shared" si="8"/>
        <v>0</v>
      </c>
      <c r="BG92" s="29">
        <f t="shared" si="8"/>
        <v>0</v>
      </c>
      <c r="BH92" s="17"/>
      <c r="BI92" s="17"/>
    </row>
    <row r="93" spans="1:61" s="17" customFormat="1" ht="15.75" hidden="1" customHeight="1">
      <c r="A93" s="101"/>
      <c r="B93" s="114"/>
      <c r="C93" s="116"/>
      <c r="D93" s="118"/>
      <c r="E93" s="116"/>
      <c r="F93" s="116"/>
      <c r="G93" s="120"/>
      <c r="H93" s="109"/>
      <c r="I93" s="90"/>
      <c r="J93" s="90"/>
      <c r="K93" s="20"/>
      <c r="L93" s="20"/>
      <c r="M93" s="20"/>
      <c r="N93" s="97"/>
      <c r="O93" s="21"/>
      <c r="P93" s="27"/>
      <c r="Q93" s="99"/>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c r="B95" s="114"/>
      <c r="C95" s="116"/>
      <c r="D95" s="118"/>
      <c r="E95" s="116"/>
      <c r="F95" s="116"/>
      <c r="G95" s="120"/>
      <c r="H95" s="90"/>
      <c r="I95" s="90"/>
      <c r="J95" s="90"/>
      <c r="K95" s="20"/>
      <c r="L95" s="20"/>
      <c r="M95" s="20"/>
      <c r="N95" s="97"/>
      <c r="O95" s="21"/>
      <c r="P95" s="27"/>
      <c r="Q95" s="99"/>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row>
    <row r="97" spans="1:61" s="17" customFormat="1" ht="15.75" hidden="1" customHeight="1">
      <c r="A97" s="101">
        <v>45163</v>
      </c>
      <c r="B97" s="114" t="s">
        <v>37</v>
      </c>
      <c r="C97" s="116"/>
      <c r="D97" s="118"/>
      <c r="E97" s="116"/>
      <c r="F97" s="116"/>
      <c r="G97" s="120"/>
      <c r="H97" s="90"/>
      <c r="I97" s="90"/>
      <c r="J97" s="90"/>
      <c r="K97" s="20"/>
      <c r="L97" s="20"/>
      <c r="M97" s="20"/>
      <c r="N97" s="97" t="e">
        <f>O98/L98</f>
        <v>#DIV/0!</v>
      </c>
      <c r="O97" s="21">
        <f>L97-M97</f>
        <v>0</v>
      </c>
      <c r="P97" s="27"/>
      <c r="Q97" s="99">
        <f>+L98-P98</f>
        <v>0</v>
      </c>
      <c r="R97" s="154"/>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5"/>
      <c r="AZ97" s="155"/>
      <c r="BA97" s="155"/>
      <c r="BB97" s="155"/>
      <c r="BC97" s="155"/>
      <c r="BD97" s="155"/>
      <c r="BE97" s="96"/>
      <c r="BF97" s="155"/>
      <c r="BG97" s="155"/>
    </row>
    <row r="98" spans="1:61" s="17" customFormat="1" ht="15.75" hidden="1" customHeight="1">
      <c r="A98" s="102"/>
      <c r="B98" s="115"/>
      <c r="C98" s="117"/>
      <c r="D98" s="119"/>
      <c r="E98" s="117"/>
      <c r="F98" s="117"/>
      <c r="G98" s="121"/>
      <c r="H98" s="95"/>
      <c r="I98" s="95"/>
      <c r="J98" s="95"/>
      <c r="K98" s="22"/>
      <c r="L98" s="18"/>
      <c r="M98" s="18"/>
      <c r="N98" s="98"/>
      <c r="O98" s="19">
        <f>L98-M98</f>
        <v>0</v>
      </c>
      <c r="P98" s="22"/>
      <c r="Q98" s="100"/>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6"/>
      <c r="AZ98" s="156"/>
      <c r="BA98" s="156"/>
      <c r="BB98" s="156"/>
      <c r="BC98" s="156"/>
      <c r="BD98" s="156"/>
      <c r="BE98" s="96"/>
      <c r="BF98" s="156"/>
      <c r="BG98" s="156"/>
    </row>
    <row r="99" spans="1:61" s="17" customFormat="1" ht="15.75" hidden="1" customHeight="1">
      <c r="A99" s="101">
        <v>45163</v>
      </c>
      <c r="B99" s="114" t="s">
        <v>37</v>
      </c>
      <c r="C99" s="116"/>
      <c r="D99" s="118"/>
      <c r="E99" s="116"/>
      <c r="F99" s="116"/>
      <c r="G99" s="120"/>
      <c r="H99" s="90"/>
      <c r="I99" s="90"/>
      <c r="J99" s="90"/>
      <c r="K99" s="20"/>
      <c r="L99" s="20"/>
      <c r="M99" s="20"/>
      <c r="N99" s="97" t="e">
        <f>O100/L100</f>
        <v>#DIV/0!</v>
      </c>
      <c r="O99" s="21">
        <f>L99-M99</f>
        <v>0</v>
      </c>
      <c r="P99" s="27"/>
      <c r="Q99" s="99">
        <f>+L100-P100</f>
        <v>0</v>
      </c>
      <c r="R99" s="154"/>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5"/>
      <c r="AZ99" s="155"/>
      <c r="BA99" s="155"/>
      <c r="BB99" s="155"/>
      <c r="BC99" s="155"/>
      <c r="BD99" s="155"/>
      <c r="BE99" s="96"/>
      <c r="BF99" s="155"/>
      <c r="BG99" s="155"/>
    </row>
    <row r="100" spans="1:61" s="17" customFormat="1" ht="15.75" hidden="1" customHeight="1">
      <c r="A100" s="102"/>
      <c r="B100" s="115"/>
      <c r="C100" s="117"/>
      <c r="D100" s="119"/>
      <c r="E100" s="117"/>
      <c r="F100" s="117"/>
      <c r="G100" s="121"/>
      <c r="H100" s="95"/>
      <c r="I100" s="95"/>
      <c r="J100" s="95"/>
      <c r="K100" s="22"/>
      <c r="L100" s="18"/>
      <c r="M100" s="18"/>
      <c r="N100" s="98"/>
      <c r="O100" s="19">
        <f>L100-M100</f>
        <v>0</v>
      </c>
      <c r="P100" s="22"/>
      <c r="Q100" s="100"/>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6"/>
      <c r="AZ100" s="156"/>
      <c r="BA100" s="156"/>
      <c r="BB100" s="156"/>
      <c r="BC100" s="156"/>
      <c r="BD100" s="156"/>
      <c r="BE100" s="96"/>
      <c r="BF100" s="156"/>
      <c r="BG100" s="156"/>
      <c r="BH100" s="1"/>
      <c r="BI100" s="1"/>
    </row>
    <row r="101" spans="1:61" ht="24.75" hidden="1" customHeight="1">
      <c r="A101" s="111" t="s">
        <v>48</v>
      </c>
      <c r="B101" s="112"/>
      <c r="C101" s="112"/>
      <c r="D101" s="112"/>
      <c r="E101" s="112"/>
      <c r="F101" s="112"/>
      <c r="G101" s="112"/>
      <c r="H101" s="112"/>
      <c r="I101" s="113"/>
      <c r="J101" s="5">
        <f>SUM(J93:J100)</f>
        <v>0</v>
      </c>
      <c r="K101" s="5">
        <f>+SUMPRODUCT(((MOD(ROW(K93:K100),2)=0)*(K93:K100)))</f>
        <v>0</v>
      </c>
      <c r="L101" s="5">
        <f>+SUMPRODUCT(((MOD(ROW(L93:L100),2)=0)*(L93:L100)))</f>
        <v>0</v>
      </c>
      <c r="M101" s="5">
        <f>+SUMPRODUCT(((MOD(ROW(M93:M100),2)=0)*(M93:M100)))</f>
        <v>0</v>
      </c>
      <c r="N101" s="6" t="e">
        <f>O101/L101</f>
        <v>#DIV/0!</v>
      </c>
      <c r="O101" s="5">
        <f>+SUMPRODUCT(((MOD(ROW(O93:O100),2)=0)*(O93:O100)))</f>
        <v>0</v>
      </c>
      <c r="P101" s="5">
        <f>+SUMPRODUCT(((MOD(ROW(P93:P100),2)=0)*(P93:P100)))</f>
        <v>0</v>
      </c>
      <c r="Q101" s="29">
        <f>SUM(Q93:Q100)</f>
        <v>0</v>
      </c>
      <c r="R101" s="29"/>
      <c r="S101" s="29">
        <f t="shared" ref="S101:BG101" si="9">SUM(S93:S100)</f>
        <v>0</v>
      </c>
      <c r="T101" s="29">
        <f t="shared" si="9"/>
        <v>0</v>
      </c>
      <c r="U101" s="29">
        <f t="shared" si="9"/>
        <v>0</v>
      </c>
      <c r="V101" s="29">
        <f t="shared" si="9"/>
        <v>0</v>
      </c>
      <c r="W101" s="29">
        <f t="shared" si="9"/>
        <v>0</v>
      </c>
      <c r="X101" s="29">
        <f t="shared" si="9"/>
        <v>0</v>
      </c>
      <c r="Y101" s="29">
        <f t="shared" si="9"/>
        <v>0</v>
      </c>
      <c r="Z101" s="29">
        <f t="shared" si="9"/>
        <v>0</v>
      </c>
      <c r="AA101" s="29">
        <f t="shared" si="9"/>
        <v>0</v>
      </c>
      <c r="AB101" s="29">
        <f t="shared" si="9"/>
        <v>0</v>
      </c>
      <c r="AC101" s="29">
        <f t="shared" si="9"/>
        <v>0</v>
      </c>
      <c r="AD101" s="29">
        <f t="shared" si="9"/>
        <v>0</v>
      </c>
      <c r="AE101" s="29">
        <f t="shared" si="9"/>
        <v>0</v>
      </c>
      <c r="AF101" s="29">
        <f t="shared" si="9"/>
        <v>0</v>
      </c>
      <c r="AG101" s="29">
        <f t="shared" si="9"/>
        <v>0</v>
      </c>
      <c r="AH101" s="29">
        <f t="shared" si="9"/>
        <v>0</v>
      </c>
      <c r="AI101" s="29">
        <f t="shared" si="9"/>
        <v>0</v>
      </c>
      <c r="AJ101" s="29">
        <f t="shared" si="9"/>
        <v>0</v>
      </c>
      <c r="AK101" s="29">
        <f t="shared" si="9"/>
        <v>0</v>
      </c>
      <c r="AL101" s="29">
        <f t="shared" si="9"/>
        <v>0</v>
      </c>
      <c r="AM101" s="29">
        <f t="shared" si="9"/>
        <v>0</v>
      </c>
      <c r="AN101" s="29">
        <f t="shared" si="9"/>
        <v>0</v>
      </c>
      <c r="AO101" s="29">
        <f t="shared" si="9"/>
        <v>0</v>
      </c>
      <c r="AP101" s="29">
        <f t="shared" si="9"/>
        <v>0</v>
      </c>
      <c r="AQ101" s="29">
        <f t="shared" si="9"/>
        <v>0</v>
      </c>
      <c r="AR101" s="29">
        <f t="shared" si="9"/>
        <v>0</v>
      </c>
      <c r="AS101" s="29">
        <f t="shared" si="9"/>
        <v>0</v>
      </c>
      <c r="AT101" s="29">
        <f t="shared" si="9"/>
        <v>0</v>
      </c>
      <c r="AU101" s="29">
        <f t="shared" si="9"/>
        <v>0</v>
      </c>
      <c r="AV101" s="29">
        <f t="shared" si="9"/>
        <v>0</v>
      </c>
      <c r="AW101" s="29">
        <f t="shared" si="9"/>
        <v>0</v>
      </c>
      <c r="AX101" s="29">
        <f t="shared" si="9"/>
        <v>0</v>
      </c>
      <c r="AY101" s="29">
        <f t="shared" si="9"/>
        <v>0</v>
      </c>
      <c r="AZ101" s="29">
        <f t="shared" si="9"/>
        <v>0</v>
      </c>
      <c r="BA101" s="29">
        <f t="shared" si="9"/>
        <v>0</v>
      </c>
      <c r="BB101" s="29">
        <f t="shared" si="9"/>
        <v>0</v>
      </c>
      <c r="BC101" s="29">
        <f t="shared" si="9"/>
        <v>0</v>
      </c>
      <c r="BD101" s="29">
        <f t="shared" si="9"/>
        <v>0</v>
      </c>
      <c r="BE101" s="29">
        <f t="shared" si="9"/>
        <v>0</v>
      </c>
      <c r="BF101" s="29">
        <f t="shared" si="9"/>
        <v>0</v>
      </c>
      <c r="BG101" s="29">
        <f t="shared" si="9"/>
        <v>0</v>
      </c>
      <c r="BH101" s="17"/>
      <c r="BI101" s="17"/>
    </row>
    <row r="102" spans="1:61" s="17" customFormat="1" ht="15.75" hidden="1" customHeight="1">
      <c r="A102" s="101"/>
      <c r="B102" s="114"/>
      <c r="C102" s="116"/>
      <c r="D102" s="118"/>
      <c r="E102" s="157"/>
      <c r="F102" s="116"/>
      <c r="G102" s="120"/>
      <c r="H102" s="109"/>
      <c r="I102" s="90"/>
      <c r="J102" s="90"/>
      <c r="K102" s="20"/>
      <c r="L102" s="20"/>
      <c r="M102" s="20"/>
      <c r="N102" s="97"/>
      <c r="O102" s="21"/>
      <c r="P102" s="27"/>
      <c r="Q102" s="99"/>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45061</v>
      </c>
      <c r="B104" s="114" t="s">
        <v>37</v>
      </c>
      <c r="C104" s="116"/>
      <c r="D104" s="118"/>
      <c r="E104" s="157"/>
      <c r="F104" s="116"/>
      <c r="G104" s="120"/>
      <c r="H104" s="90"/>
      <c r="I104" s="90"/>
      <c r="J104" s="90"/>
      <c r="K104" s="20"/>
      <c r="L104" s="20"/>
      <c r="M104" s="20"/>
      <c r="N104" s="97" t="e">
        <f>O105/L105</f>
        <v>#DIV/0!</v>
      </c>
      <c r="O104" s="21">
        <f t="shared" ref="O104:O109" si="10">L104-M104</f>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10"/>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row>
    <row r="106" spans="1:61" s="17" customFormat="1" ht="15.75" hidden="1" customHeight="1">
      <c r="A106" s="101">
        <v>44990</v>
      </c>
      <c r="B106" s="114" t="s">
        <v>37</v>
      </c>
      <c r="C106" s="116"/>
      <c r="D106" s="118"/>
      <c r="E106" s="116"/>
      <c r="F106" s="116"/>
      <c r="G106" s="120"/>
      <c r="H106" s="90"/>
      <c r="I106" s="90"/>
      <c r="J106" s="90"/>
      <c r="K106" s="20"/>
      <c r="L106" s="20"/>
      <c r="M106" s="20"/>
      <c r="N106" s="97" t="e">
        <f>O107/L107</f>
        <v>#DIV/0!</v>
      </c>
      <c r="O106" s="21">
        <f t="shared" si="10"/>
        <v>0</v>
      </c>
      <c r="P106" s="27"/>
      <c r="Q106" s="99">
        <f>+L107-P107</f>
        <v>0</v>
      </c>
      <c r="R106" s="101"/>
      <c r="S106" s="96"/>
      <c r="T106" s="96"/>
      <c r="U106" s="96"/>
      <c r="V106" s="96"/>
      <c r="W106" s="96"/>
      <c r="X106" s="96"/>
      <c r="Y106" s="96"/>
      <c r="Z106" s="96"/>
      <c r="AA106" s="96"/>
      <c r="AB106" s="96"/>
      <c r="AC106" s="96"/>
      <c r="AD106" s="96"/>
      <c r="AE106" s="96"/>
      <c r="AF106" s="96"/>
      <c r="AG106" s="96"/>
      <c r="AH106" s="96"/>
      <c r="AI106" s="96"/>
      <c r="AJ106" s="96"/>
      <c r="AK106" s="96"/>
      <c r="AL106" s="96"/>
      <c r="AM106" s="96"/>
      <c r="AN106" s="96"/>
      <c r="AO106" s="96"/>
      <c r="AP106" s="96"/>
      <c r="AQ106" s="96"/>
      <c r="AR106" s="96"/>
      <c r="AS106" s="96"/>
      <c r="AT106" s="96"/>
      <c r="AU106" s="96"/>
      <c r="AV106" s="96"/>
      <c r="AW106" s="96"/>
      <c r="AX106" s="96"/>
      <c r="AY106" s="155"/>
      <c r="AZ106" s="155"/>
      <c r="BA106" s="155"/>
      <c r="BB106" s="155"/>
      <c r="BC106" s="155"/>
      <c r="BD106" s="155"/>
      <c r="BE106" s="96"/>
      <c r="BF106" s="155"/>
      <c r="BG106" s="155"/>
    </row>
    <row r="107" spans="1:61" s="17" customFormat="1" ht="15.75" hidden="1" customHeight="1">
      <c r="A107" s="102"/>
      <c r="B107" s="115"/>
      <c r="C107" s="117"/>
      <c r="D107" s="119"/>
      <c r="E107" s="117"/>
      <c r="F107" s="117"/>
      <c r="G107" s="121"/>
      <c r="H107" s="95"/>
      <c r="I107" s="95"/>
      <c r="J107" s="95"/>
      <c r="K107" s="22"/>
      <c r="L107" s="18"/>
      <c r="M107" s="18"/>
      <c r="N107" s="98"/>
      <c r="O107" s="19">
        <f t="shared" si="10"/>
        <v>0</v>
      </c>
      <c r="P107" s="22"/>
      <c r="Q107" s="100"/>
      <c r="R107" s="102"/>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156"/>
      <c r="AZ107" s="156"/>
      <c r="BA107" s="156"/>
      <c r="BB107" s="156"/>
      <c r="BC107" s="156"/>
      <c r="BD107" s="156"/>
      <c r="BE107" s="96"/>
      <c r="BF107" s="156"/>
      <c r="BG107" s="156"/>
    </row>
    <row r="108" spans="1:61" s="17" customFormat="1" ht="15.75" hidden="1" customHeight="1">
      <c r="A108" s="101">
        <v>44990</v>
      </c>
      <c r="B108" s="114" t="s">
        <v>37</v>
      </c>
      <c r="C108" s="116"/>
      <c r="D108" s="118"/>
      <c r="E108" s="116"/>
      <c r="F108" s="116"/>
      <c r="G108" s="120"/>
      <c r="H108" s="90"/>
      <c r="I108" s="90"/>
      <c r="J108" s="90"/>
      <c r="K108" s="20"/>
      <c r="L108" s="20"/>
      <c r="M108" s="20"/>
      <c r="N108" s="97" t="e">
        <f>O109/L109</f>
        <v>#DIV/0!</v>
      </c>
      <c r="O108" s="21">
        <f t="shared" si="10"/>
        <v>0</v>
      </c>
      <c r="P108" s="27"/>
      <c r="Q108" s="99">
        <f>+L109-P109</f>
        <v>0</v>
      </c>
      <c r="R108" s="101"/>
      <c r="S108" s="96"/>
      <c r="T108" s="96"/>
      <c r="U108" s="96"/>
      <c r="V108" s="96"/>
      <c r="W108" s="96"/>
      <c r="X108" s="96"/>
      <c r="Y108" s="96"/>
      <c r="Z108" s="96"/>
      <c r="AA108" s="96"/>
      <c r="AB108" s="96"/>
      <c r="AC108" s="96"/>
      <c r="AD108" s="96"/>
      <c r="AE108" s="96"/>
      <c r="AF108" s="96"/>
      <c r="AG108" s="96"/>
      <c r="AH108" s="96"/>
      <c r="AI108" s="96"/>
      <c r="AJ108" s="96"/>
      <c r="AK108" s="96"/>
      <c r="AL108" s="96"/>
      <c r="AM108" s="96"/>
      <c r="AN108" s="96"/>
      <c r="AO108" s="96"/>
      <c r="AP108" s="96"/>
      <c r="AQ108" s="96"/>
      <c r="AR108" s="96"/>
      <c r="AS108" s="96"/>
      <c r="AT108" s="96"/>
      <c r="AU108" s="96"/>
      <c r="AV108" s="96"/>
      <c r="AW108" s="96"/>
      <c r="AX108" s="96"/>
      <c r="AY108" s="155"/>
      <c r="AZ108" s="155"/>
      <c r="BA108" s="155"/>
      <c r="BB108" s="155"/>
      <c r="BC108" s="155"/>
      <c r="BD108" s="155"/>
      <c r="BE108" s="96"/>
      <c r="BF108" s="155"/>
      <c r="BG108" s="155"/>
    </row>
    <row r="109" spans="1:61" s="17" customFormat="1" ht="15.75" hidden="1" customHeight="1">
      <c r="A109" s="102"/>
      <c r="B109" s="115"/>
      <c r="C109" s="117"/>
      <c r="D109" s="119"/>
      <c r="E109" s="117"/>
      <c r="F109" s="117"/>
      <c r="G109" s="121"/>
      <c r="H109" s="95"/>
      <c r="I109" s="95"/>
      <c r="J109" s="95"/>
      <c r="K109" s="22"/>
      <c r="L109" s="18"/>
      <c r="M109" s="18"/>
      <c r="N109" s="98"/>
      <c r="O109" s="19">
        <f t="shared" si="10"/>
        <v>0</v>
      </c>
      <c r="P109" s="22"/>
      <c r="Q109" s="100"/>
      <c r="R109" s="102"/>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156"/>
      <c r="AZ109" s="156"/>
      <c r="BA109" s="156"/>
      <c r="BB109" s="156"/>
      <c r="BC109" s="156"/>
      <c r="BD109" s="156"/>
      <c r="BE109" s="96"/>
      <c r="BF109" s="156"/>
      <c r="BG109" s="156"/>
      <c r="BH109" s="1"/>
      <c r="BI109" s="1"/>
    </row>
    <row r="110" spans="1:61" ht="24.75" hidden="1" customHeight="1">
      <c r="A110" s="111" t="s">
        <v>46</v>
      </c>
      <c r="B110" s="112"/>
      <c r="C110" s="112"/>
      <c r="D110" s="112"/>
      <c r="E110" s="112"/>
      <c r="F110" s="112"/>
      <c r="G110" s="112"/>
      <c r="H110" s="112"/>
      <c r="I110" s="113"/>
      <c r="J110" s="5">
        <f>SUM(J102:J109)</f>
        <v>0</v>
      </c>
      <c r="K110" s="5">
        <f>+SUMPRODUCT(((MOD(ROW(K102:K109),2)=0)*(K102:K109)))</f>
        <v>0</v>
      </c>
      <c r="L110" s="5">
        <f>+SUMPRODUCT(((MOD(ROW(L102:L109),2)=0)*(L102:L109)))</f>
        <v>0</v>
      </c>
      <c r="M110" s="5">
        <f>+SUMPRODUCT(((MOD(ROW(M102:M109),2)=0)*(M102:M109)))</f>
        <v>0</v>
      </c>
      <c r="N110" s="6" t="e">
        <f>O110/L110</f>
        <v>#DIV/0!</v>
      </c>
      <c r="O110" s="5">
        <f>+SUMPRODUCT(((MOD(ROW(O102:O109),2)=0)*(O102:O109)))</f>
        <v>0</v>
      </c>
      <c r="P110" s="5">
        <f>+SUMPRODUCT(((MOD(ROW(P102:P109),2)=0)*(P102:P109)))</f>
        <v>0</v>
      </c>
      <c r="Q110" s="29">
        <f>SUM(Q102:Q109)</f>
        <v>0</v>
      </c>
      <c r="R110" s="29"/>
      <c r="S110" s="29">
        <f t="shared" ref="S110:BG110" si="11">SUM(S102:S109)</f>
        <v>0</v>
      </c>
      <c r="T110" s="29">
        <f t="shared" si="11"/>
        <v>0</v>
      </c>
      <c r="U110" s="29">
        <f t="shared" si="11"/>
        <v>0</v>
      </c>
      <c r="V110" s="29">
        <f t="shared" si="11"/>
        <v>0</v>
      </c>
      <c r="W110" s="29">
        <f t="shared" si="11"/>
        <v>0</v>
      </c>
      <c r="X110" s="29">
        <f t="shared" si="11"/>
        <v>0</v>
      </c>
      <c r="Y110" s="29">
        <f t="shared" si="11"/>
        <v>0</v>
      </c>
      <c r="Z110" s="29">
        <f t="shared" si="11"/>
        <v>0</v>
      </c>
      <c r="AA110" s="29">
        <f t="shared" si="11"/>
        <v>0</v>
      </c>
      <c r="AB110" s="29">
        <f t="shared" si="11"/>
        <v>0</v>
      </c>
      <c r="AC110" s="29">
        <f t="shared" si="11"/>
        <v>0</v>
      </c>
      <c r="AD110" s="29">
        <f t="shared" si="11"/>
        <v>0</v>
      </c>
      <c r="AE110" s="29">
        <f t="shared" si="11"/>
        <v>0</v>
      </c>
      <c r="AF110" s="29">
        <f t="shared" si="11"/>
        <v>0</v>
      </c>
      <c r="AG110" s="29">
        <f t="shared" si="11"/>
        <v>0</v>
      </c>
      <c r="AH110" s="29">
        <f t="shared" si="11"/>
        <v>0</v>
      </c>
      <c r="AI110" s="29">
        <f t="shared" si="11"/>
        <v>0</v>
      </c>
      <c r="AJ110" s="29">
        <f t="shared" si="11"/>
        <v>0</v>
      </c>
      <c r="AK110" s="29">
        <f t="shared" si="11"/>
        <v>0</v>
      </c>
      <c r="AL110" s="29">
        <f t="shared" si="11"/>
        <v>0</v>
      </c>
      <c r="AM110" s="29">
        <f t="shared" si="11"/>
        <v>0</v>
      </c>
      <c r="AN110" s="29">
        <f t="shared" si="11"/>
        <v>0</v>
      </c>
      <c r="AO110" s="29">
        <f t="shared" si="11"/>
        <v>0</v>
      </c>
      <c r="AP110" s="29">
        <f t="shared" si="11"/>
        <v>0</v>
      </c>
      <c r="AQ110" s="29">
        <f t="shared" si="11"/>
        <v>0</v>
      </c>
      <c r="AR110" s="29">
        <f t="shared" si="11"/>
        <v>0</v>
      </c>
      <c r="AS110" s="29">
        <f t="shared" si="11"/>
        <v>0</v>
      </c>
      <c r="AT110" s="29">
        <f t="shared" si="11"/>
        <v>0</v>
      </c>
      <c r="AU110" s="29">
        <f t="shared" si="11"/>
        <v>0</v>
      </c>
      <c r="AV110" s="29">
        <f t="shared" si="11"/>
        <v>0</v>
      </c>
      <c r="AW110" s="29">
        <f t="shared" si="11"/>
        <v>0</v>
      </c>
      <c r="AX110" s="29">
        <f t="shared" si="11"/>
        <v>0</v>
      </c>
      <c r="AY110" s="29">
        <f t="shared" si="11"/>
        <v>0</v>
      </c>
      <c r="AZ110" s="29">
        <f t="shared" si="11"/>
        <v>0</v>
      </c>
      <c r="BA110" s="29">
        <f t="shared" si="11"/>
        <v>0</v>
      </c>
      <c r="BB110" s="29">
        <f t="shared" si="11"/>
        <v>0</v>
      </c>
      <c r="BC110" s="29">
        <f t="shared" si="11"/>
        <v>0</v>
      </c>
      <c r="BD110" s="29">
        <f t="shared" si="11"/>
        <v>0</v>
      </c>
      <c r="BE110" s="29">
        <f t="shared" si="11"/>
        <v>0</v>
      </c>
      <c r="BF110" s="29">
        <f t="shared" si="11"/>
        <v>0</v>
      </c>
      <c r="BG110" s="29">
        <f t="shared" si="11"/>
        <v>0</v>
      </c>
    </row>
    <row r="111" spans="1:61" ht="24.75" customHeight="1">
      <c r="A111" s="122" t="s">
        <v>5</v>
      </c>
      <c r="B111" s="122"/>
      <c r="C111" s="122"/>
      <c r="D111" s="122"/>
      <c r="E111" s="122"/>
      <c r="F111" s="122"/>
      <c r="G111" s="122"/>
      <c r="H111" s="122"/>
      <c r="I111" s="122"/>
      <c r="J111" s="4">
        <f>J81+J92+J101+J110</f>
        <v>6246</v>
      </c>
      <c r="K111" s="4">
        <f>K81+K92+K101+K110</f>
        <v>307</v>
      </c>
      <c r="L111" s="4">
        <f>L81+L92+L101+L110</f>
        <v>207</v>
      </c>
      <c r="M111" s="4">
        <f>M81+M92+M101+M110</f>
        <v>95</v>
      </c>
      <c r="N111" s="33">
        <f>O111/L111</f>
        <v>0.54106280193236711</v>
      </c>
      <c r="O111" s="4">
        <f>O81+O92+O101+O110</f>
        <v>112</v>
      </c>
      <c r="P111" s="31">
        <f>P81+P92+P101+P110</f>
        <v>110</v>
      </c>
      <c r="Q111" s="31">
        <f>Q81+Q92+Q101+Q110</f>
        <v>168</v>
      </c>
      <c r="R111" s="4"/>
      <c r="S111" s="31">
        <f t="shared" ref="S111:BG111" si="12">S81+S92+S101+S110</f>
        <v>0</v>
      </c>
      <c r="T111" s="31">
        <f t="shared" si="12"/>
        <v>0</v>
      </c>
      <c r="U111" s="31">
        <f t="shared" si="12"/>
        <v>20</v>
      </c>
      <c r="V111" s="31">
        <f t="shared" si="12"/>
        <v>0</v>
      </c>
      <c r="W111" s="31">
        <f t="shared" si="12"/>
        <v>0</v>
      </c>
      <c r="X111" s="31">
        <f t="shared" si="12"/>
        <v>0</v>
      </c>
      <c r="Y111" s="31">
        <f t="shared" si="12"/>
        <v>0</v>
      </c>
      <c r="Z111" s="31">
        <f t="shared" si="12"/>
        <v>0</v>
      </c>
      <c r="AA111" s="31">
        <f t="shared" si="12"/>
        <v>0</v>
      </c>
      <c r="AB111" s="31">
        <f t="shared" si="12"/>
        <v>0</v>
      </c>
      <c r="AC111" s="31">
        <f t="shared" si="12"/>
        <v>23</v>
      </c>
      <c r="AD111" s="31">
        <f t="shared" si="12"/>
        <v>0</v>
      </c>
      <c r="AE111" s="31">
        <f t="shared" si="12"/>
        <v>20</v>
      </c>
      <c r="AF111" s="31">
        <f t="shared" si="12"/>
        <v>10</v>
      </c>
      <c r="AG111" s="31">
        <f t="shared" si="12"/>
        <v>10</v>
      </c>
      <c r="AH111" s="31">
        <f t="shared" si="12"/>
        <v>19</v>
      </c>
      <c r="AI111" s="31">
        <f t="shared" si="12"/>
        <v>0</v>
      </c>
      <c r="AJ111" s="31">
        <f t="shared" si="12"/>
        <v>0</v>
      </c>
      <c r="AK111" s="31">
        <f t="shared" si="12"/>
        <v>0</v>
      </c>
      <c r="AL111" s="31">
        <f t="shared" si="12"/>
        <v>10</v>
      </c>
      <c r="AM111" s="31">
        <f t="shared" si="12"/>
        <v>0</v>
      </c>
      <c r="AN111" s="31">
        <f t="shared" si="12"/>
        <v>0</v>
      </c>
      <c r="AO111" s="31">
        <f t="shared" si="12"/>
        <v>0</v>
      </c>
      <c r="AP111" s="31">
        <f t="shared" si="12"/>
        <v>0</v>
      </c>
      <c r="AQ111" s="31">
        <f t="shared" si="12"/>
        <v>0</v>
      </c>
      <c r="AR111" s="31">
        <f t="shared" si="12"/>
        <v>0</v>
      </c>
      <c r="AS111" s="31">
        <f t="shared" si="12"/>
        <v>0</v>
      </c>
      <c r="AT111" s="31">
        <f t="shared" si="12"/>
        <v>0</v>
      </c>
      <c r="AU111" s="31">
        <f t="shared" si="12"/>
        <v>0</v>
      </c>
      <c r="AV111" s="31">
        <f t="shared" si="12"/>
        <v>0</v>
      </c>
      <c r="AW111" s="31">
        <f t="shared" si="12"/>
        <v>0</v>
      </c>
      <c r="AX111" s="31">
        <f t="shared" si="12"/>
        <v>0</v>
      </c>
      <c r="AY111" s="31">
        <f t="shared" si="12"/>
        <v>0</v>
      </c>
      <c r="AZ111" s="31">
        <f t="shared" si="12"/>
        <v>0</v>
      </c>
      <c r="BA111" s="31">
        <f t="shared" si="12"/>
        <v>0</v>
      </c>
      <c r="BB111" s="31">
        <f t="shared" si="12"/>
        <v>0</v>
      </c>
      <c r="BC111" s="31">
        <f t="shared" si="12"/>
        <v>0</v>
      </c>
      <c r="BD111" s="31">
        <f t="shared" si="12"/>
        <v>0</v>
      </c>
      <c r="BE111" s="31">
        <f t="shared" si="12"/>
        <v>0</v>
      </c>
      <c r="BF111" s="31">
        <f t="shared" si="12"/>
        <v>0</v>
      </c>
      <c r="BG111" s="31">
        <f t="shared" si="12"/>
        <v>0</v>
      </c>
    </row>
    <row r="114" spans="1:61" s="25" customFormat="1" ht="35.25" customHeight="1">
      <c r="A114" s="2"/>
      <c r="B114" s="2"/>
      <c r="C114" s="2"/>
      <c r="D114" s="1"/>
      <c r="E114" s="1"/>
      <c r="F114" s="1"/>
      <c r="G114" s="1"/>
      <c r="H114" s="1"/>
      <c r="I114" s="1"/>
      <c r="J114" s="1"/>
      <c r="K114" s="35"/>
      <c r="L114" s="35"/>
      <c r="M114" s="35"/>
      <c r="N114" s="35"/>
      <c r="O114" s="35"/>
      <c r="P114" s="35"/>
      <c r="Q114" s="36"/>
      <c r="S114" s="8"/>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row>
    <row r="117" spans="1:61" s="25" customFormat="1" ht="33" customHeight="1">
      <c r="A117" s="2"/>
      <c r="B117" s="2"/>
      <c r="C117" s="2"/>
      <c r="D117" s="1"/>
      <c r="E117" s="1"/>
      <c r="F117" s="1"/>
      <c r="G117" s="1"/>
      <c r="H117" s="1"/>
      <c r="I117" s="1"/>
      <c r="J117" s="1"/>
      <c r="K117" s="1"/>
      <c r="L117" s="1"/>
      <c r="M117" s="1"/>
      <c r="N117" s="1"/>
      <c r="O117" s="1"/>
      <c r="S117" s="8"/>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row>
  </sheetData>
  <mergeCells count="2633">
    <mergeCell ref="A1:O1"/>
    <mergeCell ref="A2:O2"/>
    <mergeCell ref="S3:S4"/>
    <mergeCell ref="T3:T4"/>
    <mergeCell ref="U3:U4"/>
    <mergeCell ref="V3:V4"/>
    <mergeCell ref="W3:W4"/>
    <mergeCell ref="X3:X4"/>
    <mergeCell ref="Y3:Y4"/>
    <mergeCell ref="Z3:Z4"/>
    <mergeCell ref="AA3:AA4"/>
    <mergeCell ref="AB3:AB4"/>
    <mergeCell ref="AM3:AM4"/>
    <mergeCell ref="AN3:AN4"/>
    <mergeCell ref="AC3:AC4"/>
    <mergeCell ref="AD3:AD4"/>
    <mergeCell ref="AE3:AE4"/>
    <mergeCell ref="AF3:AF4"/>
    <mergeCell ref="AG3:AG4"/>
    <mergeCell ref="AH3:AH4"/>
    <mergeCell ref="AI3:AI4"/>
    <mergeCell ref="AJ3:AJ4"/>
    <mergeCell ref="BC3:BC4"/>
    <mergeCell ref="BD3:BD4"/>
    <mergeCell ref="BE3:BE4"/>
    <mergeCell ref="BF3:BF4"/>
    <mergeCell ref="BG3:BG4"/>
    <mergeCell ref="A5:A6"/>
    <mergeCell ref="B5:B6"/>
    <mergeCell ref="C5:C6"/>
    <mergeCell ref="D5:D6"/>
    <mergeCell ref="E5:E6"/>
    <mergeCell ref="F5:F6"/>
    <mergeCell ref="G5:G6"/>
    <mergeCell ref="H5:H6"/>
    <mergeCell ref="I5:I6"/>
    <mergeCell ref="AK3:AK4"/>
    <mergeCell ref="AL3:AL4"/>
    <mergeCell ref="AK5:AK6"/>
    <mergeCell ref="AL5:AL6"/>
    <mergeCell ref="AA5:AA6"/>
    <mergeCell ref="AB5:AB6"/>
    <mergeCell ref="AC5:AC6"/>
    <mergeCell ref="AD5:AD6"/>
    <mergeCell ref="AE5:AE6"/>
    <mergeCell ref="AF5:AF6"/>
    <mergeCell ref="AO3:AO4"/>
    <mergeCell ref="BC5:BC6"/>
    <mergeCell ref="BD5:BD6"/>
    <mergeCell ref="BE5:BE6"/>
    <mergeCell ref="BF5:BF6"/>
    <mergeCell ref="BG5:BG6"/>
    <mergeCell ref="Y5:Y6"/>
    <mergeCell ref="Z5:Z6"/>
    <mergeCell ref="A7:A8"/>
    <mergeCell ref="B7:B8"/>
    <mergeCell ref="C7:C8"/>
    <mergeCell ref="D7:D8"/>
    <mergeCell ref="E7:E8"/>
    <mergeCell ref="F7:F8"/>
    <mergeCell ref="G7:G8"/>
    <mergeCell ref="J5:J6"/>
    <mergeCell ref="N5:N6"/>
    <mergeCell ref="Q5:Q6"/>
    <mergeCell ref="R5:R6"/>
    <mergeCell ref="S5:S6"/>
    <mergeCell ref="T5:T6"/>
    <mergeCell ref="U5:U6"/>
    <mergeCell ref="V5:V6"/>
    <mergeCell ref="W5:W6"/>
    <mergeCell ref="X5:X6"/>
    <mergeCell ref="N7:N8"/>
    <mergeCell ref="Q7:Q8"/>
    <mergeCell ref="R7:R8"/>
    <mergeCell ref="S7:S8"/>
    <mergeCell ref="T7:T8"/>
    <mergeCell ref="U7:U8"/>
    <mergeCell ref="V7:V8"/>
    <mergeCell ref="W7:W8"/>
    <mergeCell ref="X7:X8"/>
    <mergeCell ref="AT5:AT6"/>
    <mergeCell ref="AU5:AU6"/>
    <mergeCell ref="AV5:AV6"/>
    <mergeCell ref="AW5:AW6"/>
    <mergeCell ref="AX5:AX6"/>
    <mergeCell ref="AY5:AY6"/>
    <mergeCell ref="AZ5:AZ6"/>
    <mergeCell ref="BA5:BA6"/>
    <mergeCell ref="BB5:BB6"/>
    <mergeCell ref="F9:F10"/>
    <mergeCell ref="G9:G10"/>
    <mergeCell ref="AP3:AP4"/>
    <mergeCell ref="AQ3:AQ4"/>
    <mergeCell ref="AR3:AR4"/>
    <mergeCell ref="AS3:AS4"/>
    <mergeCell ref="AT3:AT4"/>
    <mergeCell ref="AU3:AU4"/>
    <mergeCell ref="AV3:AV4"/>
    <mergeCell ref="AW3:AW4"/>
    <mergeCell ref="AX3:AX4"/>
    <mergeCell ref="AY3:AY4"/>
    <mergeCell ref="AZ3:AZ4"/>
    <mergeCell ref="BA3:BA4"/>
    <mergeCell ref="BB3:BB4"/>
    <mergeCell ref="AG5:AG6"/>
    <mergeCell ref="AH5:AH6"/>
    <mergeCell ref="AI5:AI6"/>
    <mergeCell ref="AJ5:AJ6"/>
    <mergeCell ref="I7:I8"/>
    <mergeCell ref="J7:J8"/>
    <mergeCell ref="AY9:AY10"/>
    <mergeCell ref="AZ9:AZ10"/>
    <mergeCell ref="A9:A10"/>
    <mergeCell ref="B9:B10"/>
    <mergeCell ref="C9:C10"/>
    <mergeCell ref="D9:D10"/>
    <mergeCell ref="E9:E10"/>
    <mergeCell ref="AE7:AE8"/>
    <mergeCell ref="AM5:AM6"/>
    <mergeCell ref="AN5:AN6"/>
    <mergeCell ref="AO5:AO6"/>
    <mergeCell ref="AP5:AP6"/>
    <mergeCell ref="AQ5:AQ6"/>
    <mergeCell ref="AR5:AR6"/>
    <mergeCell ref="AS5:AS6"/>
    <mergeCell ref="H9:H10"/>
    <mergeCell ref="I9:I10"/>
    <mergeCell ref="J9:J10"/>
    <mergeCell ref="N9:N10"/>
    <mergeCell ref="Q9:Q10"/>
    <mergeCell ref="R9:R10"/>
    <mergeCell ref="S9:S10"/>
    <mergeCell ref="T9:T10"/>
    <mergeCell ref="U9:U10"/>
    <mergeCell ref="V9:V10"/>
    <mergeCell ref="AF7:AF8"/>
    <mergeCell ref="AG7:AG8"/>
    <mergeCell ref="AH7:AH8"/>
    <mergeCell ref="AI7:AI8"/>
    <mergeCell ref="AJ7:AJ8"/>
    <mergeCell ref="Y7:Y8"/>
    <mergeCell ref="Z7:Z8"/>
    <mergeCell ref="AA7:AA8"/>
    <mergeCell ref="H7:H8"/>
    <mergeCell ref="BC7:BC8"/>
    <mergeCell ref="BD7:BD8"/>
    <mergeCell ref="BE7:BE8"/>
    <mergeCell ref="BF7:BF8"/>
    <mergeCell ref="BG7:BG8"/>
    <mergeCell ref="AB7:AB8"/>
    <mergeCell ref="AC7:AC8"/>
    <mergeCell ref="AD7:AD8"/>
    <mergeCell ref="AK7:AK8"/>
    <mergeCell ref="AL7:AL8"/>
    <mergeCell ref="AM7:AM8"/>
    <mergeCell ref="AN7:AN8"/>
    <mergeCell ref="AO7:AO8"/>
    <mergeCell ref="AP7:AP8"/>
    <mergeCell ref="AQ7:AQ8"/>
    <mergeCell ref="AR7:AR8"/>
    <mergeCell ref="AS7:AS8"/>
    <mergeCell ref="AT7:AT8"/>
    <mergeCell ref="AU7:AU8"/>
    <mergeCell ref="AV7:AV8"/>
    <mergeCell ref="AY7:AY8"/>
    <mergeCell ref="AZ7:AZ8"/>
    <mergeCell ref="BA7:BA8"/>
    <mergeCell ref="BB7:BB8"/>
    <mergeCell ref="AW7:AW8"/>
    <mergeCell ref="AX7:AX8"/>
    <mergeCell ref="BA9:BA10"/>
    <mergeCell ref="BB9:BB10"/>
    <mergeCell ref="BC9:BC10"/>
    <mergeCell ref="BD9:BD10"/>
    <mergeCell ref="BE9:BE10"/>
    <mergeCell ref="BF9:BF10"/>
    <mergeCell ref="BG9:BG10"/>
    <mergeCell ref="A11:A12"/>
    <mergeCell ref="B11:B12"/>
    <mergeCell ref="C11:C12"/>
    <mergeCell ref="D11:D12"/>
    <mergeCell ref="E11:E12"/>
    <mergeCell ref="F11:F12"/>
    <mergeCell ref="G11:G12"/>
    <mergeCell ref="H11:H12"/>
    <mergeCell ref="I11:I12"/>
    <mergeCell ref="J11:J12"/>
    <mergeCell ref="N11:N12"/>
    <mergeCell ref="Q11:Q12"/>
    <mergeCell ref="R11:R12"/>
    <mergeCell ref="S11:S12"/>
    <mergeCell ref="T11:T12"/>
    <mergeCell ref="W9:W10"/>
    <mergeCell ref="X9:X10"/>
    <mergeCell ref="Y9:Y10"/>
    <mergeCell ref="Z9:Z10"/>
    <mergeCell ref="AA9:AA10"/>
    <mergeCell ref="AB9:AB10"/>
    <mergeCell ref="AC9:AC10"/>
    <mergeCell ref="AD9:AD10"/>
    <mergeCell ref="AE11:AE12"/>
    <mergeCell ref="AF11:AF12"/>
    <mergeCell ref="AQ9:AQ10"/>
    <mergeCell ref="AR9:AR10"/>
    <mergeCell ref="AQ11:AQ12"/>
    <mergeCell ref="AR11:AR12"/>
    <mergeCell ref="AG11:AG12"/>
    <mergeCell ref="AH11:AH12"/>
    <mergeCell ref="AI11:AI12"/>
    <mergeCell ref="AJ11:AJ12"/>
    <mergeCell ref="AK11:AK12"/>
    <mergeCell ref="AL11:AL12"/>
    <mergeCell ref="AU9:AU10"/>
    <mergeCell ref="AV9:AV10"/>
    <mergeCell ref="AW9:AW10"/>
    <mergeCell ref="AX9:AX10"/>
    <mergeCell ref="AE9:AE10"/>
    <mergeCell ref="AF9:AF10"/>
    <mergeCell ref="AG9:AG10"/>
    <mergeCell ref="AH9:AH10"/>
    <mergeCell ref="AS9:AS10"/>
    <mergeCell ref="AT9:AT10"/>
    <mergeCell ref="AI9:AI10"/>
    <mergeCell ref="AJ9:AJ10"/>
    <mergeCell ref="AK9:AK10"/>
    <mergeCell ref="AL9:AL10"/>
    <mergeCell ref="AM9:AM10"/>
    <mergeCell ref="AN9:AN10"/>
    <mergeCell ref="AO9:AO10"/>
    <mergeCell ref="AP9:AP10"/>
    <mergeCell ref="AX11:AX12"/>
    <mergeCell ref="AM11:AM12"/>
    <mergeCell ref="AN11:AN12"/>
    <mergeCell ref="AO11:AO12"/>
    <mergeCell ref="AZ11:AZ12"/>
    <mergeCell ref="BA11:BA12"/>
    <mergeCell ref="BB11:BB12"/>
    <mergeCell ref="BC11:BC12"/>
    <mergeCell ref="BD11:BD12"/>
    <mergeCell ref="BE11:BE12"/>
    <mergeCell ref="BF11:BF12"/>
    <mergeCell ref="BG11:BG12"/>
    <mergeCell ref="A13:A14"/>
    <mergeCell ref="B13:B14"/>
    <mergeCell ref="C13:C14"/>
    <mergeCell ref="D13:D14"/>
    <mergeCell ref="E13:E14"/>
    <mergeCell ref="F13:F14"/>
    <mergeCell ref="G13:G14"/>
    <mergeCell ref="H13:H14"/>
    <mergeCell ref="I13:I14"/>
    <mergeCell ref="J13:J14"/>
    <mergeCell ref="N13:N14"/>
    <mergeCell ref="Q13:Q14"/>
    <mergeCell ref="R13:R14"/>
    <mergeCell ref="U11:U12"/>
    <mergeCell ref="V11:V12"/>
    <mergeCell ref="W11:W12"/>
    <mergeCell ref="X11:X12"/>
    <mergeCell ref="Y11:Y12"/>
    <mergeCell ref="Z11:Z12"/>
    <mergeCell ref="AA11:AA12"/>
    <mergeCell ref="AB11:AB12"/>
    <mergeCell ref="AC11:AC12"/>
    <mergeCell ref="AE13:AE14"/>
    <mergeCell ref="AD11:AD12"/>
    <mergeCell ref="AP11:AP12"/>
    <mergeCell ref="AO13:AO14"/>
    <mergeCell ref="AP13:AP14"/>
    <mergeCell ref="AS11:AS12"/>
    <mergeCell ref="AT11:AT12"/>
    <mergeCell ref="AU11:AU12"/>
    <mergeCell ref="AV11:AV12"/>
    <mergeCell ref="AW11:AW12"/>
    <mergeCell ref="AY13:AY14"/>
    <mergeCell ref="AY11:AY12"/>
    <mergeCell ref="AK13:AK14"/>
    <mergeCell ref="AL13:AL14"/>
    <mergeCell ref="AM13:AM14"/>
    <mergeCell ref="AN13:AN14"/>
    <mergeCell ref="AQ13:AQ14"/>
    <mergeCell ref="AR13:AR14"/>
    <mergeCell ref="AS13:AS14"/>
    <mergeCell ref="AT13:AT14"/>
    <mergeCell ref="AU13:AU14"/>
    <mergeCell ref="AV13:AV14"/>
    <mergeCell ref="AW13:AW14"/>
    <mergeCell ref="AX13:AX14"/>
    <mergeCell ref="BG13:BG14"/>
    <mergeCell ref="A15:A16"/>
    <mergeCell ref="B15:B16"/>
    <mergeCell ref="C15:C16"/>
    <mergeCell ref="D15:D16"/>
    <mergeCell ref="E15:E16"/>
    <mergeCell ref="F15:F16"/>
    <mergeCell ref="G15:G16"/>
    <mergeCell ref="H15:H16"/>
    <mergeCell ref="I15:I16"/>
    <mergeCell ref="J15:J16"/>
    <mergeCell ref="N15:N16"/>
    <mergeCell ref="S13:S14"/>
    <mergeCell ref="T13:T14"/>
    <mergeCell ref="U13:U14"/>
    <mergeCell ref="V13:V14"/>
    <mergeCell ref="W13:W14"/>
    <mergeCell ref="X13:X14"/>
    <mergeCell ref="Y13:Y14"/>
    <mergeCell ref="Z13:Z14"/>
    <mergeCell ref="AA13:AA14"/>
    <mergeCell ref="AB13:AB14"/>
    <mergeCell ref="AC13:AC14"/>
    <mergeCell ref="AD13:AD14"/>
    <mergeCell ref="AF15:AF16"/>
    <mergeCell ref="AF13:AF14"/>
    <mergeCell ref="AG13:AG14"/>
    <mergeCell ref="AH13:AH14"/>
    <mergeCell ref="AI13:AI14"/>
    <mergeCell ref="AJ13:AJ14"/>
    <mergeCell ref="AZ13:AZ14"/>
    <mergeCell ref="BG15:BG16"/>
    <mergeCell ref="A17:A18"/>
    <mergeCell ref="B17:B18"/>
    <mergeCell ref="C17:C18"/>
    <mergeCell ref="D17:D18"/>
    <mergeCell ref="E17:E18"/>
    <mergeCell ref="F17:F18"/>
    <mergeCell ref="G17:G18"/>
    <mergeCell ref="H17:H18"/>
    <mergeCell ref="I17:I18"/>
    <mergeCell ref="Q15:Q16"/>
    <mergeCell ref="R15:R16"/>
    <mergeCell ref="S15:S16"/>
    <mergeCell ref="T15:T16"/>
    <mergeCell ref="U15:U16"/>
    <mergeCell ref="V15:V16"/>
    <mergeCell ref="W15:W16"/>
    <mergeCell ref="BA13:BA14"/>
    <mergeCell ref="AL15:AL16"/>
    <mergeCell ref="BB13:BB14"/>
    <mergeCell ref="X15:X16"/>
    <mergeCell ref="Y15:Y16"/>
    <mergeCell ref="Z15:Z16"/>
    <mergeCell ref="AA15:AA16"/>
    <mergeCell ref="AB15:AB16"/>
    <mergeCell ref="AC15:AC16"/>
    <mergeCell ref="AD15:AD16"/>
    <mergeCell ref="AE15:AE16"/>
    <mergeCell ref="BC13:BC14"/>
    <mergeCell ref="BD13:BD14"/>
    <mergeCell ref="BE13:BE14"/>
    <mergeCell ref="BF13:BF14"/>
    <mergeCell ref="AI15:AI16"/>
    <mergeCell ref="AG15:AG16"/>
    <mergeCell ref="AH15:AH16"/>
    <mergeCell ref="AO15:AO16"/>
    <mergeCell ref="AP15:AP16"/>
    <mergeCell ref="AQ15:AQ16"/>
    <mergeCell ref="AR15:AR16"/>
    <mergeCell ref="AS15:AS16"/>
    <mergeCell ref="AT15:AT16"/>
    <mergeCell ref="AM15:AM16"/>
    <mergeCell ref="AN15:AN16"/>
    <mergeCell ref="AU15:AU16"/>
    <mergeCell ref="AV15:AV16"/>
    <mergeCell ref="AW15:AW16"/>
    <mergeCell ref="AX15:AX16"/>
    <mergeCell ref="AY15:AY16"/>
    <mergeCell ref="AZ15:AZ16"/>
    <mergeCell ref="AJ15:AJ16"/>
    <mergeCell ref="AK15:AK16"/>
    <mergeCell ref="BE17:BE18"/>
    <mergeCell ref="BF17:BF18"/>
    <mergeCell ref="AT17:AT18"/>
    <mergeCell ref="AU17:AU18"/>
    <mergeCell ref="AV17:AV18"/>
    <mergeCell ref="AW17:AW18"/>
    <mergeCell ref="AX17:AX18"/>
    <mergeCell ref="AY17:AY18"/>
    <mergeCell ref="AZ17:AZ18"/>
    <mergeCell ref="BA17:BA18"/>
    <mergeCell ref="BB17:BB18"/>
    <mergeCell ref="BA15:BA16"/>
    <mergeCell ref="BB15:BB16"/>
    <mergeCell ref="BC15:BC16"/>
    <mergeCell ref="BD15:BD16"/>
    <mergeCell ref="BE15:BE16"/>
    <mergeCell ref="BF15:BF16"/>
    <mergeCell ref="BG17:BG18"/>
    <mergeCell ref="A19:A20"/>
    <mergeCell ref="B19:B20"/>
    <mergeCell ref="C19:C20"/>
    <mergeCell ref="D19:D20"/>
    <mergeCell ref="E19:E20"/>
    <mergeCell ref="F19:F20"/>
    <mergeCell ref="G19:G20"/>
    <mergeCell ref="J17:J18"/>
    <mergeCell ref="N17:N18"/>
    <mergeCell ref="Q17:Q18"/>
    <mergeCell ref="R17:R18"/>
    <mergeCell ref="S17:S18"/>
    <mergeCell ref="T17:T18"/>
    <mergeCell ref="U17:U18"/>
    <mergeCell ref="V17:V18"/>
    <mergeCell ref="W17:W18"/>
    <mergeCell ref="X17:X18"/>
    <mergeCell ref="Y17:Y18"/>
    <mergeCell ref="Z17:Z18"/>
    <mergeCell ref="AA17:AA18"/>
    <mergeCell ref="AB17:AB18"/>
    <mergeCell ref="AC17:AC18"/>
    <mergeCell ref="AD17:AD18"/>
    <mergeCell ref="AE17:AE18"/>
    <mergeCell ref="AF17:AF18"/>
    <mergeCell ref="AW19:AW20"/>
    <mergeCell ref="AX19:AX20"/>
    <mergeCell ref="AY19:AY20"/>
    <mergeCell ref="AZ19:AZ20"/>
    <mergeCell ref="BA19:BA20"/>
    <mergeCell ref="BB19:BB20"/>
    <mergeCell ref="A21:A22"/>
    <mergeCell ref="B21:B22"/>
    <mergeCell ref="C21:C22"/>
    <mergeCell ref="D21:D22"/>
    <mergeCell ref="E21:E22"/>
    <mergeCell ref="AE19:AE20"/>
    <mergeCell ref="AM17:AM18"/>
    <mergeCell ref="AN17:AN18"/>
    <mergeCell ref="AO17:AO18"/>
    <mergeCell ref="AP17:AP18"/>
    <mergeCell ref="AQ17:AQ18"/>
    <mergeCell ref="AR17:AR18"/>
    <mergeCell ref="AS17:AS18"/>
    <mergeCell ref="F21:F22"/>
    <mergeCell ref="G21:G22"/>
    <mergeCell ref="H21:H22"/>
    <mergeCell ref="I21:I22"/>
    <mergeCell ref="J21:J22"/>
    <mergeCell ref="N21:N22"/>
    <mergeCell ref="Q21:Q22"/>
    <mergeCell ref="R21:R22"/>
    <mergeCell ref="S21:S22"/>
    <mergeCell ref="T21:T22"/>
    <mergeCell ref="U21:U22"/>
    <mergeCell ref="V21:V22"/>
    <mergeCell ref="AF19:AF20"/>
    <mergeCell ref="AG19:AG20"/>
    <mergeCell ref="AH19:AH20"/>
    <mergeCell ref="AK17:AK18"/>
    <mergeCell ref="AL17:AL18"/>
    <mergeCell ref="Y19:Y20"/>
    <mergeCell ref="Z19:Z20"/>
    <mergeCell ref="AA19:AA20"/>
    <mergeCell ref="H19:H20"/>
    <mergeCell ref="I19:I20"/>
    <mergeCell ref="J19:J20"/>
    <mergeCell ref="N19:N20"/>
    <mergeCell ref="Q19:Q20"/>
    <mergeCell ref="R19:R20"/>
    <mergeCell ref="S19:S20"/>
    <mergeCell ref="T19:T20"/>
    <mergeCell ref="U19:U20"/>
    <mergeCell ref="V19:V20"/>
    <mergeCell ref="W19:W20"/>
    <mergeCell ref="X19:X20"/>
    <mergeCell ref="AG17:AG18"/>
    <mergeCell ref="AH17:AH18"/>
    <mergeCell ref="BC19:BC20"/>
    <mergeCell ref="BD19:BD20"/>
    <mergeCell ref="BD17:BD18"/>
    <mergeCell ref="BC17:BC18"/>
    <mergeCell ref="AI17:AI18"/>
    <mergeCell ref="AJ17:AJ18"/>
    <mergeCell ref="BE19:BE20"/>
    <mergeCell ref="BF19:BF20"/>
    <mergeCell ref="BG19:BG20"/>
    <mergeCell ref="AB19:AB20"/>
    <mergeCell ref="AC19:AC20"/>
    <mergeCell ref="AD19:AD20"/>
    <mergeCell ref="AK19:AK20"/>
    <mergeCell ref="AL19:AL20"/>
    <mergeCell ref="AM19:AM20"/>
    <mergeCell ref="AN19:AN20"/>
    <mergeCell ref="AO19:AO20"/>
    <mergeCell ref="AP19:AP20"/>
    <mergeCell ref="AQ19:AQ20"/>
    <mergeCell ref="AR19:AR20"/>
    <mergeCell ref="AS19:AS20"/>
    <mergeCell ref="AT19:AT20"/>
    <mergeCell ref="AU19:AU20"/>
    <mergeCell ref="AV19:AV20"/>
    <mergeCell ref="AI19:AI20"/>
    <mergeCell ref="AJ19:AJ20"/>
    <mergeCell ref="AY21:AY22"/>
    <mergeCell ref="AZ21:AZ22"/>
    <mergeCell ref="BA21:BA22"/>
    <mergeCell ref="BB21:BB22"/>
    <mergeCell ref="BC21:BC22"/>
    <mergeCell ref="BD21:BD22"/>
    <mergeCell ref="BE21:BE22"/>
    <mergeCell ref="BF21:BF22"/>
    <mergeCell ref="BG21:BG22"/>
    <mergeCell ref="A23:A24"/>
    <mergeCell ref="B23:B24"/>
    <mergeCell ref="C23:C24"/>
    <mergeCell ref="D23:D24"/>
    <mergeCell ref="E23:E24"/>
    <mergeCell ref="F23:F24"/>
    <mergeCell ref="G23:G24"/>
    <mergeCell ref="H23:H24"/>
    <mergeCell ref="I23:I24"/>
    <mergeCell ref="J23:J24"/>
    <mergeCell ref="N23:N24"/>
    <mergeCell ref="Q23:Q24"/>
    <mergeCell ref="R23:R24"/>
    <mergeCell ref="S23:S24"/>
    <mergeCell ref="T23:T24"/>
    <mergeCell ref="W21:W22"/>
    <mergeCell ref="X21:X22"/>
    <mergeCell ref="Y21:Y22"/>
    <mergeCell ref="Z21:Z22"/>
    <mergeCell ref="AA21:AA22"/>
    <mergeCell ref="AB21:AB22"/>
    <mergeCell ref="AC21:AC22"/>
    <mergeCell ref="AD21:AD22"/>
    <mergeCell ref="AX21:AX22"/>
    <mergeCell ref="AE21:AE22"/>
    <mergeCell ref="AF21:AF22"/>
    <mergeCell ref="AG21:AG22"/>
    <mergeCell ref="AH21:AH22"/>
    <mergeCell ref="AS21:AS22"/>
    <mergeCell ref="AT21:AT22"/>
    <mergeCell ref="AI21:AI22"/>
    <mergeCell ref="AJ21:AJ22"/>
    <mergeCell ref="AK21:AK22"/>
    <mergeCell ref="AL21:AL22"/>
    <mergeCell ref="AM21:AM22"/>
    <mergeCell ref="AN21:AN22"/>
    <mergeCell ref="AO21:AO22"/>
    <mergeCell ref="AP21:AP22"/>
    <mergeCell ref="AX23:AX24"/>
    <mergeCell ref="AO23:AO24"/>
    <mergeCell ref="AP23:AP24"/>
    <mergeCell ref="AE23:AE24"/>
    <mergeCell ref="AF23:AF24"/>
    <mergeCell ref="AM23:AM24"/>
    <mergeCell ref="AN23:AN24"/>
    <mergeCell ref="AQ21:AQ22"/>
    <mergeCell ref="AR21:AR22"/>
    <mergeCell ref="AQ23:AQ24"/>
    <mergeCell ref="AR23:AR24"/>
    <mergeCell ref="AG23:AG24"/>
    <mergeCell ref="AH23:AH24"/>
    <mergeCell ref="AI23:AI24"/>
    <mergeCell ref="AJ23:AJ24"/>
    <mergeCell ref="AK23:AK24"/>
    <mergeCell ref="AL23:AL24"/>
    <mergeCell ref="AU21:AU22"/>
    <mergeCell ref="AV21:AV22"/>
    <mergeCell ref="AW21:AW22"/>
    <mergeCell ref="BD25:BD26"/>
    <mergeCell ref="AV25:AV26"/>
    <mergeCell ref="AW25:AW26"/>
    <mergeCell ref="AX25:AX26"/>
    <mergeCell ref="BD23:BD24"/>
    <mergeCell ref="BE23:BE24"/>
    <mergeCell ref="BF23:BF24"/>
    <mergeCell ref="BG23:BG24"/>
    <mergeCell ref="A25:A26"/>
    <mergeCell ref="B25:B26"/>
    <mergeCell ref="C25:C26"/>
    <mergeCell ref="D25:D26"/>
    <mergeCell ref="E25:E26"/>
    <mergeCell ref="F25:F26"/>
    <mergeCell ref="G25:G26"/>
    <mergeCell ref="H25:H26"/>
    <mergeCell ref="I25:I26"/>
    <mergeCell ref="J25:J26"/>
    <mergeCell ref="N25:N26"/>
    <mergeCell ref="Q25:Q26"/>
    <mergeCell ref="R25:R26"/>
    <mergeCell ref="U23:U24"/>
    <mergeCell ref="V23:V24"/>
    <mergeCell ref="W23:W24"/>
    <mergeCell ref="X23:X24"/>
    <mergeCell ref="Y23:Y24"/>
    <mergeCell ref="Z23:Z24"/>
    <mergeCell ref="AA23:AA24"/>
    <mergeCell ref="AB23:AB24"/>
    <mergeCell ref="AC23:AC24"/>
    <mergeCell ref="AE25:AE26"/>
    <mergeCell ref="AD23:AD24"/>
    <mergeCell ref="AR25:AR26"/>
    <mergeCell ref="AS25:AS26"/>
    <mergeCell ref="AT25:AT26"/>
    <mergeCell ref="AU25:AU26"/>
    <mergeCell ref="AO25:AO26"/>
    <mergeCell ref="AP25:AP26"/>
    <mergeCell ref="AS23:AS24"/>
    <mergeCell ref="AT23:AT24"/>
    <mergeCell ref="AU23:AU24"/>
    <mergeCell ref="AV23:AV24"/>
    <mergeCell ref="AW23:AW24"/>
    <mergeCell ref="AY25:AY26"/>
    <mergeCell ref="AY23:AY24"/>
    <mergeCell ref="AZ23:AZ24"/>
    <mergeCell ref="AL25:AL26"/>
    <mergeCell ref="AM25:AM26"/>
    <mergeCell ref="AN25:AN26"/>
    <mergeCell ref="BA23:BA24"/>
    <mergeCell ref="BB23:BB24"/>
    <mergeCell ref="BC23:BC24"/>
    <mergeCell ref="BA25:BA26"/>
    <mergeCell ref="BB25:BB26"/>
    <mergeCell ref="BC25:BC26"/>
    <mergeCell ref="AY27:AY28"/>
    <mergeCell ref="AZ27:AZ28"/>
    <mergeCell ref="AZ25:AZ26"/>
    <mergeCell ref="AH25:AH26"/>
    <mergeCell ref="AI25:AI26"/>
    <mergeCell ref="AJ25:AJ26"/>
    <mergeCell ref="BE25:BE26"/>
    <mergeCell ref="BF25:BF26"/>
    <mergeCell ref="BG25:BG26"/>
    <mergeCell ref="A29:A30"/>
    <mergeCell ref="B29:B30"/>
    <mergeCell ref="C29:C30"/>
    <mergeCell ref="D29:D30"/>
    <mergeCell ref="E29:E30"/>
    <mergeCell ref="F29:F30"/>
    <mergeCell ref="G29:G30"/>
    <mergeCell ref="H29:H30"/>
    <mergeCell ref="I29:I30"/>
    <mergeCell ref="J29:J30"/>
    <mergeCell ref="N29:N30"/>
    <mergeCell ref="S25:S26"/>
    <mergeCell ref="T25:T26"/>
    <mergeCell ref="U25:U26"/>
    <mergeCell ref="V25:V26"/>
    <mergeCell ref="W25:W26"/>
    <mergeCell ref="X25:X26"/>
    <mergeCell ref="Y25:Y26"/>
    <mergeCell ref="Z25:Z26"/>
    <mergeCell ref="AA25:AA26"/>
    <mergeCell ref="AB25:AB26"/>
    <mergeCell ref="AC25:AC26"/>
    <mergeCell ref="AD25:AD26"/>
    <mergeCell ref="Y29:Y30"/>
    <mergeCell ref="Z29:Z30"/>
    <mergeCell ref="AA29:AA30"/>
    <mergeCell ref="AB29:AB30"/>
    <mergeCell ref="AC29:AC30"/>
    <mergeCell ref="AD29:AD30"/>
    <mergeCell ref="AE29:AE30"/>
    <mergeCell ref="AI29:AI30"/>
    <mergeCell ref="AG29:AG30"/>
    <mergeCell ref="AH29:AH30"/>
    <mergeCell ref="AK25:AK26"/>
    <mergeCell ref="AM29:AM30"/>
    <mergeCell ref="AN29:AN30"/>
    <mergeCell ref="AQ25:AQ26"/>
    <mergeCell ref="AG25:AG26"/>
    <mergeCell ref="AJ29:AJ30"/>
    <mergeCell ref="AK29:AK30"/>
    <mergeCell ref="AL29:AL30"/>
    <mergeCell ref="AH27:AH28"/>
    <mergeCell ref="AI27:AI28"/>
    <mergeCell ref="AJ27:AJ28"/>
    <mergeCell ref="AK27:AK28"/>
    <mergeCell ref="AL27:AL28"/>
    <mergeCell ref="AM27:AM28"/>
    <mergeCell ref="AN27:AN28"/>
    <mergeCell ref="AF29:AF30"/>
    <mergeCell ref="AF25:AF26"/>
    <mergeCell ref="A31:A32"/>
    <mergeCell ref="B31:B32"/>
    <mergeCell ref="C31:C32"/>
    <mergeCell ref="D31:D32"/>
    <mergeCell ref="E31:E32"/>
    <mergeCell ref="F31:F32"/>
    <mergeCell ref="G31:G32"/>
    <mergeCell ref="H31:H32"/>
    <mergeCell ref="I31:I32"/>
    <mergeCell ref="Q29:Q30"/>
    <mergeCell ref="R29:R30"/>
    <mergeCell ref="S29:S30"/>
    <mergeCell ref="T29:T30"/>
    <mergeCell ref="U29:U30"/>
    <mergeCell ref="V29:V30"/>
    <mergeCell ref="W29:W30"/>
    <mergeCell ref="X29:X30"/>
    <mergeCell ref="BG33:BG34"/>
    <mergeCell ref="AK31:AK32"/>
    <mergeCell ref="AL31:AL32"/>
    <mergeCell ref="AO29:AO30"/>
    <mergeCell ref="AP29:AP30"/>
    <mergeCell ref="AQ29:AQ30"/>
    <mergeCell ref="AR29:AR30"/>
    <mergeCell ref="AS29:AS30"/>
    <mergeCell ref="AT29:AT30"/>
    <mergeCell ref="AU29:AU30"/>
    <mergeCell ref="AV29:AV30"/>
    <mergeCell ref="AW29:AW30"/>
    <mergeCell ref="AX29:AX30"/>
    <mergeCell ref="AY29:AY30"/>
    <mergeCell ref="AT31:AT32"/>
    <mergeCell ref="AU31:AU32"/>
    <mergeCell ref="AV31:AV32"/>
    <mergeCell ref="AW31:AW32"/>
    <mergeCell ref="AX31:AX32"/>
    <mergeCell ref="AY31:AY32"/>
    <mergeCell ref="BA29:BA30"/>
    <mergeCell ref="BB29:BB30"/>
    <mergeCell ref="BC29:BC30"/>
    <mergeCell ref="BD29:BD30"/>
    <mergeCell ref="BE29:BE30"/>
    <mergeCell ref="BF29:BF30"/>
    <mergeCell ref="BG29:BG30"/>
    <mergeCell ref="AO33:AO34"/>
    <mergeCell ref="AP33:AP34"/>
    <mergeCell ref="BE33:BE34"/>
    <mergeCell ref="AT33:AT34"/>
    <mergeCell ref="AZ29:AZ30"/>
    <mergeCell ref="S35:S36"/>
    <mergeCell ref="AZ31:AZ32"/>
    <mergeCell ref="BA31:BA32"/>
    <mergeCell ref="BB31:BB32"/>
    <mergeCell ref="BC31:BC32"/>
    <mergeCell ref="BD31:BD32"/>
    <mergeCell ref="BE31:BE32"/>
    <mergeCell ref="BF31:BF32"/>
    <mergeCell ref="BG31:BG32"/>
    <mergeCell ref="A33:A34"/>
    <mergeCell ref="B33:B34"/>
    <mergeCell ref="C33:C34"/>
    <mergeCell ref="D33:D34"/>
    <mergeCell ref="E33:E34"/>
    <mergeCell ref="F33:F34"/>
    <mergeCell ref="G33:G34"/>
    <mergeCell ref="J31:J32"/>
    <mergeCell ref="N31:N32"/>
    <mergeCell ref="Q31:Q32"/>
    <mergeCell ref="R31:R32"/>
    <mergeCell ref="S31:S32"/>
    <mergeCell ref="T31:T32"/>
    <mergeCell ref="U31:U32"/>
    <mergeCell ref="V31:V32"/>
    <mergeCell ref="W31:W32"/>
    <mergeCell ref="X31:X32"/>
    <mergeCell ref="Y31:Y32"/>
    <mergeCell ref="AG31:AG32"/>
    <mergeCell ref="AH31:AH32"/>
    <mergeCell ref="AI31:AI32"/>
    <mergeCell ref="AJ31:AJ32"/>
    <mergeCell ref="BF33:BF34"/>
    <mergeCell ref="A35:A36"/>
    <mergeCell ref="B35:B36"/>
    <mergeCell ref="C35:C36"/>
    <mergeCell ref="D35:D36"/>
    <mergeCell ref="E35:E36"/>
    <mergeCell ref="AE33:AE34"/>
    <mergeCell ref="AM31:AM32"/>
    <mergeCell ref="AN31:AN32"/>
    <mergeCell ref="AO31:AO32"/>
    <mergeCell ref="AP31:AP32"/>
    <mergeCell ref="AQ31:AQ32"/>
    <mergeCell ref="AR31:AR32"/>
    <mergeCell ref="AS31:AS32"/>
    <mergeCell ref="Z31:Z32"/>
    <mergeCell ref="AA31:AA32"/>
    <mergeCell ref="AB31:AB32"/>
    <mergeCell ref="AC31:AC32"/>
    <mergeCell ref="AD31:AD32"/>
    <mergeCell ref="AE31:AE32"/>
    <mergeCell ref="AF31:AF32"/>
    <mergeCell ref="AB33:AB34"/>
    <mergeCell ref="AC33:AC34"/>
    <mergeCell ref="AD33:AD34"/>
    <mergeCell ref="F35:F36"/>
    <mergeCell ref="G35:G36"/>
    <mergeCell ref="H35:H36"/>
    <mergeCell ref="I35:I36"/>
    <mergeCell ref="J35:J36"/>
    <mergeCell ref="N35:N36"/>
    <mergeCell ref="Q35:Q36"/>
    <mergeCell ref="AQ33:AQ34"/>
    <mergeCell ref="H33:H34"/>
    <mergeCell ref="I33:I34"/>
    <mergeCell ref="J33:J34"/>
    <mergeCell ref="N33:N34"/>
    <mergeCell ref="Q33:Q34"/>
    <mergeCell ref="R33:R34"/>
    <mergeCell ref="S33:S34"/>
    <mergeCell ref="T33:T34"/>
    <mergeCell ref="U33:U34"/>
    <mergeCell ref="V33:V34"/>
    <mergeCell ref="W33:W34"/>
    <mergeCell ref="X33:X34"/>
    <mergeCell ref="BC33:BC34"/>
    <mergeCell ref="BD33:BD34"/>
    <mergeCell ref="T35:T36"/>
    <mergeCell ref="U35:U36"/>
    <mergeCell ref="V35:V36"/>
    <mergeCell ref="AF33:AF34"/>
    <mergeCell ref="AG33:AG34"/>
    <mergeCell ref="AH33:AH34"/>
    <mergeCell ref="AI33:AI34"/>
    <mergeCell ref="AJ33:AJ34"/>
    <mergeCell ref="Y33:Y34"/>
    <mergeCell ref="Z33:Z34"/>
    <mergeCell ref="AA33:AA34"/>
    <mergeCell ref="AK33:AK34"/>
    <mergeCell ref="AL33:AL34"/>
    <mergeCell ref="AM33:AM34"/>
    <mergeCell ref="AN33:AN34"/>
    <mergeCell ref="AR33:AR34"/>
    <mergeCell ref="AS33:AS34"/>
    <mergeCell ref="R35:R36"/>
    <mergeCell ref="AU33:AU34"/>
    <mergeCell ref="AV33:AV34"/>
    <mergeCell ref="AW33:AW34"/>
    <mergeCell ref="AX33:AX34"/>
    <mergeCell ref="AY33:AY34"/>
    <mergeCell ref="AZ33:AZ34"/>
    <mergeCell ref="BA33:BA34"/>
    <mergeCell ref="BB33:BB34"/>
    <mergeCell ref="AV35:AV36"/>
    <mergeCell ref="AW35:AW36"/>
    <mergeCell ref="AX35:AX36"/>
    <mergeCell ref="AY35:AY36"/>
    <mergeCell ref="AZ35:AZ36"/>
    <mergeCell ref="BA35:BA36"/>
    <mergeCell ref="BB35:BB36"/>
    <mergeCell ref="BC35:BC36"/>
    <mergeCell ref="AO35:AO36"/>
    <mergeCell ref="AU35:AU36"/>
    <mergeCell ref="BD35:BD36"/>
    <mergeCell ref="BE35:BE36"/>
    <mergeCell ref="BF35:BF36"/>
    <mergeCell ref="BG35:BG36"/>
    <mergeCell ref="A37:A38"/>
    <mergeCell ref="B37:B38"/>
    <mergeCell ref="C37:C38"/>
    <mergeCell ref="D37:D38"/>
    <mergeCell ref="E37:E38"/>
    <mergeCell ref="F37:F38"/>
    <mergeCell ref="G37:G38"/>
    <mergeCell ref="H37:H38"/>
    <mergeCell ref="I37:I38"/>
    <mergeCell ref="J37:J38"/>
    <mergeCell ref="N37:N38"/>
    <mergeCell ref="Q37:Q38"/>
    <mergeCell ref="R37:R38"/>
    <mergeCell ref="S37:S38"/>
    <mergeCell ref="T37:T38"/>
    <mergeCell ref="W35:W36"/>
    <mergeCell ref="X35:X36"/>
    <mergeCell ref="Y35:Y36"/>
    <mergeCell ref="Z35:Z36"/>
    <mergeCell ref="AA35:AA36"/>
    <mergeCell ref="AA37:AA38"/>
    <mergeCell ref="AB37:AB38"/>
    <mergeCell ref="AC37:AC38"/>
    <mergeCell ref="AD37:AD38"/>
    <mergeCell ref="AE37:AE38"/>
    <mergeCell ref="AF37:AF38"/>
    <mergeCell ref="AQ35:AQ36"/>
    <mergeCell ref="AR35:AR36"/>
    <mergeCell ref="AB35:AB36"/>
    <mergeCell ref="AC35:AC36"/>
    <mergeCell ref="AD35:AD36"/>
    <mergeCell ref="AE35:AE36"/>
    <mergeCell ref="AF35:AF36"/>
    <mergeCell ref="AG35:AG36"/>
    <mergeCell ref="AH35:AH36"/>
    <mergeCell ref="AS35:AS36"/>
    <mergeCell ref="AT35:AT36"/>
    <mergeCell ref="AI35:AI36"/>
    <mergeCell ref="AJ35:AJ36"/>
    <mergeCell ref="AK35:AK36"/>
    <mergeCell ref="AL35:AL36"/>
    <mergeCell ref="AM35:AM36"/>
    <mergeCell ref="AN35:AN36"/>
    <mergeCell ref="AU37:AU38"/>
    <mergeCell ref="AP35:AP36"/>
    <mergeCell ref="AM37:AM38"/>
    <mergeCell ref="AN37:AN38"/>
    <mergeCell ref="AO37:AO38"/>
    <mergeCell ref="AP37:AP38"/>
    <mergeCell ref="BA37:BA38"/>
    <mergeCell ref="BB37:BB38"/>
    <mergeCell ref="BC37:BC38"/>
    <mergeCell ref="BD37:BD38"/>
    <mergeCell ref="BE37:BE38"/>
    <mergeCell ref="BF37:BF38"/>
    <mergeCell ref="BG37:BG38"/>
    <mergeCell ref="A39:A40"/>
    <mergeCell ref="B39:B40"/>
    <mergeCell ref="C39:C40"/>
    <mergeCell ref="D39:D40"/>
    <mergeCell ref="E39:E40"/>
    <mergeCell ref="F39:F40"/>
    <mergeCell ref="G39:G40"/>
    <mergeCell ref="H39:H40"/>
    <mergeCell ref="I39:I40"/>
    <mergeCell ref="J39:J40"/>
    <mergeCell ref="N39:N40"/>
    <mergeCell ref="Q39:Q40"/>
    <mergeCell ref="R39:R40"/>
    <mergeCell ref="U37:U38"/>
    <mergeCell ref="V37:V38"/>
    <mergeCell ref="W37:W38"/>
    <mergeCell ref="X37:X38"/>
    <mergeCell ref="Y37:Y38"/>
    <mergeCell ref="Z37:Z38"/>
    <mergeCell ref="AB39:AB40"/>
    <mergeCell ref="AG37:AG38"/>
    <mergeCell ref="AH37:AH38"/>
    <mergeCell ref="AI37:AI38"/>
    <mergeCell ref="AJ37:AJ38"/>
    <mergeCell ref="AK37:AK38"/>
    <mergeCell ref="AO39:AO40"/>
    <mergeCell ref="AP39:AP40"/>
    <mergeCell ref="AS37:AS38"/>
    <mergeCell ref="AT37:AT38"/>
    <mergeCell ref="AV39:AV40"/>
    <mergeCell ref="AV37:AV38"/>
    <mergeCell ref="AW37:AW38"/>
    <mergeCell ref="AX37:AX38"/>
    <mergeCell ref="AY37:AY38"/>
    <mergeCell ref="AZ37:AZ38"/>
    <mergeCell ref="AL37:AL38"/>
    <mergeCell ref="AK39:AK40"/>
    <mergeCell ref="AL39:AL40"/>
    <mergeCell ref="AM39:AM40"/>
    <mergeCell ref="AN39:AN40"/>
    <mergeCell ref="AR37:AR38"/>
    <mergeCell ref="AQ39:AQ40"/>
    <mergeCell ref="AR39:AR40"/>
    <mergeCell ref="AS39:AS40"/>
    <mergeCell ref="AT39:AT40"/>
    <mergeCell ref="AU39:AU40"/>
    <mergeCell ref="AQ37:AQ38"/>
    <mergeCell ref="BB41:BB42"/>
    <mergeCell ref="BB39:BB40"/>
    <mergeCell ref="BC39:BC40"/>
    <mergeCell ref="BC41:BC42"/>
    <mergeCell ref="BD41:BD42"/>
    <mergeCell ref="BE41:BE42"/>
    <mergeCell ref="BF41:BF42"/>
    <mergeCell ref="BG41:BG42"/>
    <mergeCell ref="BD39:BD40"/>
    <mergeCell ref="BE39:BE40"/>
    <mergeCell ref="BF39:BF40"/>
    <mergeCell ref="BG39:BG40"/>
    <mergeCell ref="A41:A42"/>
    <mergeCell ref="B41:B42"/>
    <mergeCell ref="C41:C42"/>
    <mergeCell ref="D41:D42"/>
    <mergeCell ref="E41:E42"/>
    <mergeCell ref="F41:F42"/>
    <mergeCell ref="G41:G42"/>
    <mergeCell ref="H41:H42"/>
    <mergeCell ref="I41:I42"/>
    <mergeCell ref="J41:J42"/>
    <mergeCell ref="N41:N42"/>
    <mergeCell ref="S39:S40"/>
    <mergeCell ref="T39:T40"/>
    <mergeCell ref="U39:U40"/>
    <mergeCell ref="V39:V40"/>
    <mergeCell ref="W39:W40"/>
    <mergeCell ref="X39:X40"/>
    <mergeCell ref="Y39:Y40"/>
    <mergeCell ref="Z39:Z40"/>
    <mergeCell ref="AA39:AA40"/>
    <mergeCell ref="G43:G44"/>
    <mergeCell ref="H43:H44"/>
    <mergeCell ref="I43:I44"/>
    <mergeCell ref="Q41:Q42"/>
    <mergeCell ref="R41:R42"/>
    <mergeCell ref="S41:S42"/>
    <mergeCell ref="T41:T42"/>
    <mergeCell ref="U41:U42"/>
    <mergeCell ref="V41:V42"/>
    <mergeCell ref="W41:W42"/>
    <mergeCell ref="X41:X42"/>
    <mergeCell ref="AW41:AW42"/>
    <mergeCell ref="AW39:AW40"/>
    <mergeCell ref="AX39:AX40"/>
    <mergeCell ref="AY39:AY40"/>
    <mergeCell ref="AZ39:AZ40"/>
    <mergeCell ref="BA39:BA40"/>
    <mergeCell ref="AY41:AY42"/>
    <mergeCell ref="AZ41:AZ42"/>
    <mergeCell ref="BA41:BA42"/>
    <mergeCell ref="AC41:AC42"/>
    <mergeCell ref="AC39:AC40"/>
    <mergeCell ref="AD39:AD40"/>
    <mergeCell ref="AE39:AE40"/>
    <mergeCell ref="AF39:AF40"/>
    <mergeCell ref="AG39:AG40"/>
    <mergeCell ref="AH39:AH40"/>
    <mergeCell ref="AI39:AI40"/>
    <mergeCell ref="AJ39:AJ40"/>
    <mergeCell ref="Y41:Y42"/>
    <mergeCell ref="Z41:Z42"/>
    <mergeCell ref="AA41:AA42"/>
    <mergeCell ref="AB41:AB42"/>
    <mergeCell ref="AD43:AD44"/>
    <mergeCell ref="AD41:AD42"/>
    <mergeCell ref="AE43:AE44"/>
    <mergeCell ref="AF43:AF44"/>
    <mergeCell ref="AI41:AI42"/>
    <mergeCell ref="AJ41:AJ42"/>
    <mergeCell ref="AK41:AK42"/>
    <mergeCell ref="AL41:AL42"/>
    <mergeCell ref="AK43:AK44"/>
    <mergeCell ref="AL43:AL44"/>
    <mergeCell ref="AO41:AO42"/>
    <mergeCell ref="AP41:AP42"/>
    <mergeCell ref="AQ41:AQ42"/>
    <mergeCell ref="AR41:AR42"/>
    <mergeCell ref="AS41:AS42"/>
    <mergeCell ref="AT41:AT42"/>
    <mergeCell ref="AU41:AU42"/>
    <mergeCell ref="AV41:AV42"/>
    <mergeCell ref="AX43:AX44"/>
    <mergeCell ref="AH43:AH44"/>
    <mergeCell ref="AI43:AI44"/>
    <mergeCell ref="AJ43:AJ44"/>
    <mergeCell ref="AX41:AX42"/>
    <mergeCell ref="AM41:AM42"/>
    <mergeCell ref="AN41:AN42"/>
    <mergeCell ref="AE41:AE42"/>
    <mergeCell ref="AF41:AF42"/>
    <mergeCell ref="AG41:AG42"/>
    <mergeCell ref="AH41:AH42"/>
    <mergeCell ref="AY43:AY44"/>
    <mergeCell ref="AN43:AN44"/>
    <mergeCell ref="AO43:AO44"/>
    <mergeCell ref="AP43:AP44"/>
    <mergeCell ref="AQ43:AQ44"/>
    <mergeCell ref="AR43:AR44"/>
    <mergeCell ref="AS43:AS44"/>
    <mergeCell ref="AT43:AT44"/>
    <mergeCell ref="AU43:AU44"/>
    <mergeCell ref="AV43:AV44"/>
    <mergeCell ref="AW43:AW44"/>
    <mergeCell ref="BF43:BF44"/>
    <mergeCell ref="BG43:BG44"/>
    <mergeCell ref="A45:A46"/>
    <mergeCell ref="B45:B46"/>
    <mergeCell ref="C45:C46"/>
    <mergeCell ref="D45:D46"/>
    <mergeCell ref="E45:E46"/>
    <mergeCell ref="F45:F46"/>
    <mergeCell ref="G45:G46"/>
    <mergeCell ref="J43:J44"/>
    <mergeCell ref="N43:N44"/>
    <mergeCell ref="Q43:Q44"/>
    <mergeCell ref="R43:R44"/>
    <mergeCell ref="S43:S44"/>
    <mergeCell ref="T43:T44"/>
    <mergeCell ref="U43:U44"/>
    <mergeCell ref="V43:V44"/>
    <mergeCell ref="W43:W44"/>
    <mergeCell ref="X43:X44"/>
    <mergeCell ref="Y43:Y44"/>
    <mergeCell ref="Z43:Z44"/>
    <mergeCell ref="AA43:AA44"/>
    <mergeCell ref="AB43:AB44"/>
    <mergeCell ref="AC43:AC44"/>
    <mergeCell ref="AG43:AG44"/>
    <mergeCell ref="AM43:AM44"/>
    <mergeCell ref="A43:A44"/>
    <mergeCell ref="B43:B44"/>
    <mergeCell ref="C43:C44"/>
    <mergeCell ref="D43:D44"/>
    <mergeCell ref="E43:E44"/>
    <mergeCell ref="F43:F44"/>
    <mergeCell ref="AS45:AS46"/>
    <mergeCell ref="AT45:AT46"/>
    <mergeCell ref="AU45:AU46"/>
    <mergeCell ref="AV45:AV46"/>
    <mergeCell ref="AW45:AW46"/>
    <mergeCell ref="AL45:AL46"/>
    <mergeCell ref="AM45:AM46"/>
    <mergeCell ref="AN45:AN46"/>
    <mergeCell ref="AO45:AO46"/>
    <mergeCell ref="AP45:AP46"/>
    <mergeCell ref="AQ45:AQ46"/>
    <mergeCell ref="BA45:BA46"/>
    <mergeCell ref="BB45:BB46"/>
    <mergeCell ref="BC45:BC46"/>
    <mergeCell ref="BD45:BD46"/>
    <mergeCell ref="BE45:BE46"/>
    <mergeCell ref="AZ43:AZ44"/>
    <mergeCell ref="BA43:BA44"/>
    <mergeCell ref="BB43:BB44"/>
    <mergeCell ref="BC43:BC44"/>
    <mergeCell ref="BD43:BD44"/>
    <mergeCell ref="BE43:BE44"/>
    <mergeCell ref="BF45:BF46"/>
    <mergeCell ref="BG45:BG46"/>
    <mergeCell ref="A47:A48"/>
    <mergeCell ref="B47:B48"/>
    <mergeCell ref="C47:C48"/>
    <mergeCell ref="D47:D48"/>
    <mergeCell ref="E47:E48"/>
    <mergeCell ref="H45:H46"/>
    <mergeCell ref="I45:I46"/>
    <mergeCell ref="J45:J46"/>
    <mergeCell ref="N45:N46"/>
    <mergeCell ref="Q45:Q46"/>
    <mergeCell ref="R45:R46"/>
    <mergeCell ref="S45:S46"/>
    <mergeCell ref="T45:T46"/>
    <mergeCell ref="U45:U46"/>
    <mergeCell ref="V45:V46"/>
    <mergeCell ref="W45:W46"/>
    <mergeCell ref="AE45:AE46"/>
    <mergeCell ref="AF45:AF46"/>
    <mergeCell ref="AG45:AG46"/>
    <mergeCell ref="AH45:AH46"/>
    <mergeCell ref="W47:W48"/>
    <mergeCell ref="X47:X48"/>
    <mergeCell ref="AI45:AI46"/>
    <mergeCell ref="AJ45:AJ46"/>
    <mergeCell ref="AK45:AK46"/>
    <mergeCell ref="X45:X46"/>
    <mergeCell ref="Y45:Y46"/>
    <mergeCell ref="Z45:Z46"/>
    <mergeCell ref="AA45:AA46"/>
    <mergeCell ref="AB45:AB46"/>
    <mergeCell ref="AC45:AC46"/>
    <mergeCell ref="AD45:AD46"/>
    <mergeCell ref="AX45:AX46"/>
    <mergeCell ref="AY45:AY46"/>
    <mergeCell ref="AZ45:AZ46"/>
    <mergeCell ref="AY47:AY48"/>
    <mergeCell ref="AZ47:AZ48"/>
    <mergeCell ref="AO47:AO48"/>
    <mergeCell ref="AP47:AP48"/>
    <mergeCell ref="AQ47:AQ48"/>
    <mergeCell ref="AR47:AR48"/>
    <mergeCell ref="AS47:AS48"/>
    <mergeCell ref="AT47:AT48"/>
    <mergeCell ref="AU47:AU48"/>
    <mergeCell ref="AV47:AV48"/>
    <mergeCell ref="F47:F48"/>
    <mergeCell ref="G47:G48"/>
    <mergeCell ref="H47:H48"/>
    <mergeCell ref="I47:I48"/>
    <mergeCell ref="J47:J48"/>
    <mergeCell ref="N47:N48"/>
    <mergeCell ref="Q47:Q48"/>
    <mergeCell ref="R47:R48"/>
    <mergeCell ref="S47:S48"/>
    <mergeCell ref="T47:T48"/>
    <mergeCell ref="U47:U48"/>
    <mergeCell ref="V47:V48"/>
    <mergeCell ref="Y47:Y48"/>
    <mergeCell ref="Z47:Z48"/>
    <mergeCell ref="AA47:AA48"/>
    <mergeCell ref="AB47:AB48"/>
    <mergeCell ref="AR45:AR46"/>
    <mergeCell ref="BA47:BA48"/>
    <mergeCell ref="BB47:BB48"/>
    <mergeCell ref="BC47:BC48"/>
    <mergeCell ref="BD47:BD48"/>
    <mergeCell ref="BE47:BE48"/>
    <mergeCell ref="BF47:BF48"/>
    <mergeCell ref="BG47:BG48"/>
    <mergeCell ref="A49:I49"/>
    <mergeCell ref="A50:A51"/>
    <mergeCell ref="B50:B51"/>
    <mergeCell ref="C50:C51"/>
    <mergeCell ref="D50:D51"/>
    <mergeCell ref="E50:E51"/>
    <mergeCell ref="F50:F51"/>
    <mergeCell ref="G50:G51"/>
    <mergeCell ref="H50:H51"/>
    <mergeCell ref="I50:I51"/>
    <mergeCell ref="J50:J51"/>
    <mergeCell ref="N50:N51"/>
    <mergeCell ref="Q50:Q51"/>
    <mergeCell ref="R50:R51"/>
    <mergeCell ref="S50:S51"/>
    <mergeCell ref="T50:T51"/>
    <mergeCell ref="U50:U51"/>
    <mergeCell ref="V50:V51"/>
    <mergeCell ref="W50:W51"/>
    <mergeCell ref="X50:X51"/>
    <mergeCell ref="Y50:Y51"/>
    <mergeCell ref="AC47:AC48"/>
    <mergeCell ref="AD47:AD48"/>
    <mergeCell ref="AE47:AE48"/>
    <mergeCell ref="AF47:AF48"/>
    <mergeCell ref="Z50:Z51"/>
    <mergeCell ref="AA50:AA51"/>
    <mergeCell ref="AB50:AB51"/>
    <mergeCell ref="AC50:AC51"/>
    <mergeCell ref="AD50:AD51"/>
    <mergeCell ref="AE50:AE51"/>
    <mergeCell ref="AF50:AF51"/>
    <mergeCell ref="AG50:AG51"/>
    <mergeCell ref="AH50:AH51"/>
    <mergeCell ref="AI50:AI51"/>
    <mergeCell ref="AJ50:AJ51"/>
    <mergeCell ref="AK50:AK51"/>
    <mergeCell ref="AW47:AW48"/>
    <mergeCell ref="AX47:AX48"/>
    <mergeCell ref="AM50:AM51"/>
    <mergeCell ref="AN50:AN51"/>
    <mergeCell ref="AO50:AO51"/>
    <mergeCell ref="AP50:AP51"/>
    <mergeCell ref="AQ50:AQ51"/>
    <mergeCell ref="AX50:AX51"/>
    <mergeCell ref="AW50:AW51"/>
    <mergeCell ref="AG47:AG48"/>
    <mergeCell ref="AH47:AH48"/>
    <mergeCell ref="AI47:AI48"/>
    <mergeCell ref="AJ47:AJ48"/>
    <mergeCell ref="AK47:AK48"/>
    <mergeCell ref="AL47:AL48"/>
    <mergeCell ref="AM47:AM48"/>
    <mergeCell ref="AN47:AN48"/>
    <mergeCell ref="AL50:AL51"/>
    <mergeCell ref="BD52:BD53"/>
    <mergeCell ref="BE52:BE53"/>
    <mergeCell ref="BF52:BF53"/>
    <mergeCell ref="AR52:AR53"/>
    <mergeCell ref="AS52:AS53"/>
    <mergeCell ref="AT52:AT53"/>
    <mergeCell ref="AU52:AU53"/>
    <mergeCell ref="A52:A53"/>
    <mergeCell ref="B52:B53"/>
    <mergeCell ref="C52:C53"/>
    <mergeCell ref="D52:D53"/>
    <mergeCell ref="E52:E53"/>
    <mergeCell ref="F52:F53"/>
    <mergeCell ref="U52:U53"/>
    <mergeCell ref="V52:V53"/>
    <mergeCell ref="W52:W53"/>
    <mergeCell ref="G52:G53"/>
    <mergeCell ref="H52:H53"/>
    <mergeCell ref="I52:I53"/>
    <mergeCell ref="J52:J53"/>
    <mergeCell ref="N52:N53"/>
    <mergeCell ref="Q52:Q53"/>
    <mergeCell ref="R52:R53"/>
    <mergeCell ref="AJ52:AJ53"/>
    <mergeCell ref="AK52:AK53"/>
    <mergeCell ref="AL52:AL53"/>
    <mergeCell ref="AM52:AM53"/>
    <mergeCell ref="AN52:AN53"/>
    <mergeCell ref="AO52:AO53"/>
    <mergeCell ref="S52:S53"/>
    <mergeCell ref="T52:T53"/>
    <mergeCell ref="F54:F55"/>
    <mergeCell ref="G54:G55"/>
    <mergeCell ref="H54:H55"/>
    <mergeCell ref="I54:I55"/>
    <mergeCell ref="J54:J55"/>
    <mergeCell ref="N54:N55"/>
    <mergeCell ref="Q54:Q55"/>
    <mergeCell ref="BG52:BG53"/>
    <mergeCell ref="AV52:AV53"/>
    <mergeCell ref="AW52:AW53"/>
    <mergeCell ref="AX52:AX53"/>
    <mergeCell ref="AY52:AY53"/>
    <mergeCell ref="AZ52:AZ53"/>
    <mergeCell ref="BA52:BA53"/>
    <mergeCell ref="AP52:AP53"/>
    <mergeCell ref="AQ52:AQ53"/>
    <mergeCell ref="AY50:AY51"/>
    <mergeCell ref="AZ50:AZ51"/>
    <mergeCell ref="BA50:BA51"/>
    <mergeCell ref="BB50:BB51"/>
    <mergeCell ref="BC50:BC51"/>
    <mergeCell ref="AR50:AR51"/>
    <mergeCell ref="AS50:AS51"/>
    <mergeCell ref="AT50:AT51"/>
    <mergeCell ref="AU50:AU51"/>
    <mergeCell ref="AV50:AV51"/>
    <mergeCell ref="BD50:BD51"/>
    <mergeCell ref="BE50:BE51"/>
    <mergeCell ref="BF50:BF51"/>
    <mergeCell ref="BG50:BG51"/>
    <mergeCell ref="BB52:BB53"/>
    <mergeCell ref="BC52:BC53"/>
    <mergeCell ref="AN54:AN55"/>
    <mergeCell ref="AO54:AO55"/>
    <mergeCell ref="AD54:AD55"/>
    <mergeCell ref="AE54:AE55"/>
    <mergeCell ref="AF54:AF55"/>
    <mergeCell ref="AG54:AG55"/>
    <mergeCell ref="AH54:AH55"/>
    <mergeCell ref="AI54:AI55"/>
    <mergeCell ref="AI52:AI53"/>
    <mergeCell ref="X52:X53"/>
    <mergeCell ref="Y52:Y53"/>
    <mergeCell ref="Z52:Z53"/>
    <mergeCell ref="AA52:AA53"/>
    <mergeCell ref="AB52:AB53"/>
    <mergeCell ref="AC52:AC53"/>
    <mergeCell ref="AL54:AL55"/>
    <mergeCell ref="AM54:AM55"/>
    <mergeCell ref="AD52:AD53"/>
    <mergeCell ref="AE52:AE53"/>
    <mergeCell ref="AF52:AF53"/>
    <mergeCell ref="AG52:AG53"/>
    <mergeCell ref="AH52:AH53"/>
    <mergeCell ref="BE54:BE55"/>
    <mergeCell ref="BF54:BF55"/>
    <mergeCell ref="BG54:BG55"/>
    <mergeCell ref="A56:I56"/>
    <mergeCell ref="A57:A58"/>
    <mergeCell ref="B57:B58"/>
    <mergeCell ref="C57:C58"/>
    <mergeCell ref="D57:D58"/>
    <mergeCell ref="E57:E58"/>
    <mergeCell ref="F57:F58"/>
    <mergeCell ref="G57:G58"/>
    <mergeCell ref="H57:H58"/>
    <mergeCell ref="I57:I58"/>
    <mergeCell ref="R54:R55"/>
    <mergeCell ref="S54:S55"/>
    <mergeCell ref="T54:T55"/>
    <mergeCell ref="U54:U55"/>
    <mergeCell ref="V54:V55"/>
    <mergeCell ref="W54:W55"/>
    <mergeCell ref="X54:X55"/>
    <mergeCell ref="Y54:Y55"/>
    <mergeCell ref="Z54:Z55"/>
    <mergeCell ref="AA54:AA55"/>
    <mergeCell ref="AB54:AB55"/>
    <mergeCell ref="AC54:AC55"/>
    <mergeCell ref="AJ54:AJ55"/>
    <mergeCell ref="AK54:AK55"/>
    <mergeCell ref="A54:A55"/>
    <mergeCell ref="B54:B55"/>
    <mergeCell ref="C54:C55"/>
    <mergeCell ref="D54:D55"/>
    <mergeCell ref="E54:E55"/>
    <mergeCell ref="AP54:AP55"/>
    <mergeCell ref="AQ54:AQ55"/>
    <mergeCell ref="AR54:AR55"/>
    <mergeCell ref="AS54:AS55"/>
    <mergeCell ref="AT54:AT55"/>
    <mergeCell ref="AU54:AU55"/>
    <mergeCell ref="AV54:AV55"/>
    <mergeCell ref="AW54:AW55"/>
    <mergeCell ref="AX54:AX55"/>
    <mergeCell ref="AY54:AY55"/>
    <mergeCell ref="BA57:BA58"/>
    <mergeCell ref="BB57:BB58"/>
    <mergeCell ref="BC57:BC58"/>
    <mergeCell ref="BD57:BD58"/>
    <mergeCell ref="AR57:AR58"/>
    <mergeCell ref="AZ54:AZ55"/>
    <mergeCell ref="BA54:BA55"/>
    <mergeCell ref="BB54:BB55"/>
    <mergeCell ref="BC54:BC55"/>
    <mergeCell ref="BD54:BD55"/>
    <mergeCell ref="BE57:BE58"/>
    <mergeCell ref="BF57:BF58"/>
    <mergeCell ref="BG57:BG58"/>
    <mergeCell ref="A59:A60"/>
    <mergeCell ref="B59:B60"/>
    <mergeCell ref="C59:C60"/>
    <mergeCell ref="D59:D60"/>
    <mergeCell ref="E59:E60"/>
    <mergeCell ref="F59:F60"/>
    <mergeCell ref="G59:G60"/>
    <mergeCell ref="J57:J58"/>
    <mergeCell ref="N57:N58"/>
    <mergeCell ref="Q57:Q58"/>
    <mergeCell ref="R57:R58"/>
    <mergeCell ref="S57:S58"/>
    <mergeCell ref="T57:T58"/>
    <mergeCell ref="U57:U58"/>
    <mergeCell ref="V57:V58"/>
    <mergeCell ref="W57:W58"/>
    <mergeCell ref="X57:X58"/>
    <mergeCell ref="Y57:Y58"/>
    <mergeCell ref="Z57:Z58"/>
    <mergeCell ref="AA57:AA58"/>
    <mergeCell ref="AB57:AB58"/>
    <mergeCell ref="AC57:AC58"/>
    <mergeCell ref="AD57:AD58"/>
    <mergeCell ref="AE57:AE58"/>
    <mergeCell ref="AF57:AF58"/>
    <mergeCell ref="AN57:AN58"/>
    <mergeCell ref="AO57:AO58"/>
    <mergeCell ref="AP57:AP58"/>
    <mergeCell ref="AQ57:AQ58"/>
    <mergeCell ref="AG57:AG58"/>
    <mergeCell ref="AH57:AH58"/>
    <mergeCell ref="AI57:AI58"/>
    <mergeCell ref="AJ57:AJ58"/>
    <mergeCell ref="AS57:AS58"/>
    <mergeCell ref="AT57:AT58"/>
    <mergeCell ref="AU57:AU58"/>
    <mergeCell ref="AV57:AV58"/>
    <mergeCell ref="AW57:AW58"/>
    <mergeCell ref="AX57:AX58"/>
    <mergeCell ref="AY57:AY58"/>
    <mergeCell ref="AZ57:AZ58"/>
    <mergeCell ref="AX59:AX60"/>
    <mergeCell ref="AY59:AY60"/>
    <mergeCell ref="AZ59:AZ60"/>
    <mergeCell ref="BA59:BA60"/>
    <mergeCell ref="BB59:BB60"/>
    <mergeCell ref="AQ59:AQ60"/>
    <mergeCell ref="AR59:AR60"/>
    <mergeCell ref="AS59:AS60"/>
    <mergeCell ref="AT59:AT60"/>
    <mergeCell ref="AU59:AU60"/>
    <mergeCell ref="AG59:AG60"/>
    <mergeCell ref="AH59:AH60"/>
    <mergeCell ref="AI59:AI60"/>
    <mergeCell ref="AJ59:AJ60"/>
    <mergeCell ref="AK57:AK58"/>
    <mergeCell ref="AL57:AL58"/>
    <mergeCell ref="AM57:AM58"/>
    <mergeCell ref="A61:A62"/>
    <mergeCell ref="B61:B62"/>
    <mergeCell ref="C61:C62"/>
    <mergeCell ref="D61:D62"/>
    <mergeCell ref="E61:E62"/>
    <mergeCell ref="AW59:AW60"/>
    <mergeCell ref="AV59:AV60"/>
    <mergeCell ref="AK59:AK60"/>
    <mergeCell ref="AL59:AL60"/>
    <mergeCell ref="AM59:AM60"/>
    <mergeCell ref="H59:H60"/>
    <mergeCell ref="I59:I60"/>
    <mergeCell ref="J59:J60"/>
    <mergeCell ref="N59:N60"/>
    <mergeCell ref="Q59:Q60"/>
    <mergeCell ref="BC59:BC60"/>
    <mergeCell ref="BD59:BD60"/>
    <mergeCell ref="AT61:AT62"/>
    <mergeCell ref="AI61:AI62"/>
    <mergeCell ref="AJ61:AJ62"/>
    <mergeCell ref="AK61:AK62"/>
    <mergeCell ref="AL61:AL62"/>
    <mergeCell ref="AM61:AM62"/>
    <mergeCell ref="AN61:AN62"/>
    <mergeCell ref="AC61:AC62"/>
    <mergeCell ref="T59:T60"/>
    <mergeCell ref="U59:U60"/>
    <mergeCell ref="V59:V60"/>
    <mergeCell ref="W59:W60"/>
    <mergeCell ref="X59:X60"/>
    <mergeCell ref="AE59:AE60"/>
    <mergeCell ref="AF59:AF60"/>
    <mergeCell ref="BE59:BE60"/>
    <mergeCell ref="BF59:BF60"/>
    <mergeCell ref="BG59:BG60"/>
    <mergeCell ref="AB59:AB60"/>
    <mergeCell ref="AC59:AC60"/>
    <mergeCell ref="AD59:AD60"/>
    <mergeCell ref="F61:F62"/>
    <mergeCell ref="G61:G62"/>
    <mergeCell ref="H61:H62"/>
    <mergeCell ref="I61:I62"/>
    <mergeCell ref="J61:J62"/>
    <mergeCell ref="N61:N62"/>
    <mergeCell ref="Y59:Y60"/>
    <mergeCell ref="Z59:Z60"/>
    <mergeCell ref="AA59:AA60"/>
    <mergeCell ref="Q61:Q62"/>
    <mergeCell ref="R61:R62"/>
    <mergeCell ref="S61:S62"/>
    <mergeCell ref="T61:T62"/>
    <mergeCell ref="U61:U62"/>
    <mergeCell ref="V61:V62"/>
    <mergeCell ref="S59:S60"/>
    <mergeCell ref="AN59:AN60"/>
    <mergeCell ref="AO59:AO60"/>
    <mergeCell ref="AP59:AP60"/>
    <mergeCell ref="W61:W62"/>
    <mergeCell ref="X61:X62"/>
    <mergeCell ref="Y61:Y62"/>
    <mergeCell ref="Z61:Z62"/>
    <mergeCell ref="AA61:AA62"/>
    <mergeCell ref="R59:R60"/>
    <mergeCell ref="AS61:AS62"/>
    <mergeCell ref="AW61:AW62"/>
    <mergeCell ref="AX61:AX62"/>
    <mergeCell ref="AY61:AY62"/>
    <mergeCell ref="AZ61:AZ62"/>
    <mergeCell ref="BA61:BA62"/>
    <mergeCell ref="BB61:BB62"/>
    <mergeCell ref="BC61:BC62"/>
    <mergeCell ref="BD61:BD62"/>
    <mergeCell ref="BE61:BE62"/>
    <mergeCell ref="BF61:BF62"/>
    <mergeCell ref="BG61:BG62"/>
    <mergeCell ref="A63:A64"/>
    <mergeCell ref="B63:B64"/>
    <mergeCell ref="C63:C64"/>
    <mergeCell ref="D63:D64"/>
    <mergeCell ref="E63:E64"/>
    <mergeCell ref="F63:F64"/>
    <mergeCell ref="G63:G64"/>
    <mergeCell ref="H63:H64"/>
    <mergeCell ref="I63:I64"/>
    <mergeCell ref="AB61:AB62"/>
    <mergeCell ref="J63:J64"/>
    <mergeCell ref="N63:N64"/>
    <mergeCell ref="Q63:Q64"/>
    <mergeCell ref="R63:R64"/>
    <mergeCell ref="S63:S64"/>
    <mergeCell ref="T63:T64"/>
    <mergeCell ref="AA63:AA64"/>
    <mergeCell ref="AB63:AB64"/>
    <mergeCell ref="AD61:AD62"/>
    <mergeCell ref="AE61:AE62"/>
    <mergeCell ref="AF61:AF62"/>
    <mergeCell ref="Y63:Y64"/>
    <mergeCell ref="Z63:Z64"/>
    <mergeCell ref="AG63:AG64"/>
    <mergeCell ref="AH63:AH64"/>
    <mergeCell ref="AI63:AI64"/>
    <mergeCell ref="AJ63:AJ64"/>
    <mergeCell ref="AK63:AK64"/>
    <mergeCell ref="AL63:AL64"/>
    <mergeCell ref="AO61:AO62"/>
    <mergeCell ref="AP61:AP62"/>
    <mergeCell ref="AQ61:AQ62"/>
    <mergeCell ref="AR61:AR62"/>
    <mergeCell ref="AQ63:AQ64"/>
    <mergeCell ref="AR63:AR64"/>
    <mergeCell ref="AU61:AU62"/>
    <mergeCell ref="AV61:AV62"/>
    <mergeCell ref="AG61:AG62"/>
    <mergeCell ref="AH61:AH62"/>
    <mergeCell ref="AV63:AV64"/>
    <mergeCell ref="AM63:AM64"/>
    <mergeCell ref="AN63:AN64"/>
    <mergeCell ref="AO63:AO64"/>
    <mergeCell ref="AP63:AP64"/>
    <mergeCell ref="AX63:AX64"/>
    <mergeCell ref="AY63:AY64"/>
    <mergeCell ref="AZ63:AZ64"/>
    <mergeCell ref="BA63:BA64"/>
    <mergeCell ref="BB63:BB64"/>
    <mergeCell ref="BC63:BC64"/>
    <mergeCell ref="BD63:BD64"/>
    <mergeCell ref="BE63:BE64"/>
    <mergeCell ref="BF63:BF64"/>
    <mergeCell ref="BG63:BG64"/>
    <mergeCell ref="A65:A66"/>
    <mergeCell ref="B65:B66"/>
    <mergeCell ref="C65:C66"/>
    <mergeCell ref="D65:D66"/>
    <mergeCell ref="E65:E66"/>
    <mergeCell ref="F65:F66"/>
    <mergeCell ref="G65:G66"/>
    <mergeCell ref="H65:H66"/>
    <mergeCell ref="I65:I66"/>
    <mergeCell ref="J65:J66"/>
    <mergeCell ref="N65:N66"/>
    <mergeCell ref="Q65:Q66"/>
    <mergeCell ref="R65:R66"/>
    <mergeCell ref="AC63:AC64"/>
    <mergeCell ref="AD63:AD64"/>
    <mergeCell ref="AE63:AE64"/>
    <mergeCell ref="AF63:AF64"/>
    <mergeCell ref="U63:U64"/>
    <mergeCell ref="V63:V64"/>
    <mergeCell ref="W63:W64"/>
    <mergeCell ref="AC65:AC66"/>
    <mergeCell ref="X63:X64"/>
    <mergeCell ref="AO65:AO66"/>
    <mergeCell ref="AP65:AP66"/>
    <mergeCell ref="AS63:AS64"/>
    <mergeCell ref="AT63:AT64"/>
    <mergeCell ref="AU63:AU64"/>
    <mergeCell ref="AW65:AW66"/>
    <mergeCell ref="AW63:AW64"/>
    <mergeCell ref="AK65:AK66"/>
    <mergeCell ref="AL65:AL66"/>
    <mergeCell ref="AM65:AM66"/>
    <mergeCell ref="AN65:AN66"/>
    <mergeCell ref="AQ65:AQ66"/>
    <mergeCell ref="AR65:AR66"/>
    <mergeCell ref="AS65:AS66"/>
    <mergeCell ref="AT65:AT66"/>
    <mergeCell ref="AU65:AU66"/>
    <mergeCell ref="AV65:AV66"/>
    <mergeCell ref="BE65:BE66"/>
    <mergeCell ref="BF65:BF66"/>
    <mergeCell ref="BG65:BG66"/>
    <mergeCell ref="A67:A68"/>
    <mergeCell ref="B67:B68"/>
    <mergeCell ref="C67:C68"/>
    <mergeCell ref="D67:D68"/>
    <mergeCell ref="E67:E68"/>
    <mergeCell ref="F67:F68"/>
    <mergeCell ref="G67:G68"/>
    <mergeCell ref="H67:H68"/>
    <mergeCell ref="I67:I68"/>
    <mergeCell ref="J67:J68"/>
    <mergeCell ref="N67:N68"/>
    <mergeCell ref="S65:S66"/>
    <mergeCell ref="T65:T66"/>
    <mergeCell ref="U65:U66"/>
    <mergeCell ref="V65:V66"/>
    <mergeCell ref="W65:W66"/>
    <mergeCell ref="X65:X66"/>
    <mergeCell ref="Y65:Y66"/>
    <mergeCell ref="Z65:Z66"/>
    <mergeCell ref="AA65:AA66"/>
    <mergeCell ref="AB65:AB66"/>
    <mergeCell ref="AD67:AD68"/>
    <mergeCell ref="AD65:AD66"/>
    <mergeCell ref="AE65:AE66"/>
    <mergeCell ref="AF65:AF66"/>
    <mergeCell ref="AG65:AG66"/>
    <mergeCell ref="AH65:AH66"/>
    <mergeCell ref="AI65:AI66"/>
    <mergeCell ref="AJ65:AJ66"/>
    <mergeCell ref="AX67:AX68"/>
    <mergeCell ref="AP67:AP68"/>
    <mergeCell ref="AQ67:AQ68"/>
    <mergeCell ref="AR67:AR68"/>
    <mergeCell ref="AS67:AS68"/>
    <mergeCell ref="AT67:AT68"/>
    <mergeCell ref="AU67:AU68"/>
    <mergeCell ref="AV67:AV68"/>
    <mergeCell ref="AW67:AW68"/>
    <mergeCell ref="AX65:AX66"/>
    <mergeCell ref="AY65:AY66"/>
    <mergeCell ref="AY67:AY68"/>
    <mergeCell ref="AZ67:AZ68"/>
    <mergeCell ref="BA67:BA68"/>
    <mergeCell ref="BB67:BB68"/>
    <mergeCell ref="BC67:BC68"/>
    <mergeCell ref="BD67:BD68"/>
    <mergeCell ref="AZ65:AZ66"/>
    <mergeCell ref="BA65:BA66"/>
    <mergeCell ref="BB65:BB66"/>
    <mergeCell ref="BC65:BC66"/>
    <mergeCell ref="BD65:BD66"/>
    <mergeCell ref="BE67:BE68"/>
    <mergeCell ref="BF67:BF68"/>
    <mergeCell ref="BG67:BG68"/>
    <mergeCell ref="A69:I69"/>
    <mergeCell ref="A70:I70"/>
    <mergeCell ref="A71:O71"/>
    <mergeCell ref="A72:O72"/>
    <mergeCell ref="S73:S74"/>
    <mergeCell ref="T73:T74"/>
    <mergeCell ref="U73:U74"/>
    <mergeCell ref="V73:V74"/>
    <mergeCell ref="W73:W74"/>
    <mergeCell ref="Q67:Q68"/>
    <mergeCell ref="R67:R68"/>
    <mergeCell ref="S67:S68"/>
    <mergeCell ref="T67:T68"/>
    <mergeCell ref="U67:U68"/>
    <mergeCell ref="V67:V68"/>
    <mergeCell ref="W67:W68"/>
    <mergeCell ref="X67:X68"/>
    <mergeCell ref="Y67:Y68"/>
    <mergeCell ref="Z67:Z68"/>
    <mergeCell ref="AA67:AA68"/>
    <mergeCell ref="AB67:AB68"/>
    <mergeCell ref="AC67:AC68"/>
    <mergeCell ref="BG73:BG74"/>
    <mergeCell ref="X73:X74"/>
    <mergeCell ref="Y73:Y74"/>
    <mergeCell ref="Z73:Z74"/>
    <mergeCell ref="AA73:AA74"/>
    <mergeCell ref="AB73:AB74"/>
    <mergeCell ref="AC73:AC74"/>
    <mergeCell ref="AM73:AM74"/>
    <mergeCell ref="AN73:AN74"/>
    <mergeCell ref="AO73:AO74"/>
    <mergeCell ref="AD73:AD74"/>
    <mergeCell ref="AE73:AE74"/>
    <mergeCell ref="AF73:AF74"/>
    <mergeCell ref="AG73:AG74"/>
    <mergeCell ref="AH73:AH74"/>
    <mergeCell ref="AI73:AI74"/>
    <mergeCell ref="AI67:AI68"/>
    <mergeCell ref="AJ67:AJ68"/>
    <mergeCell ref="AK67:AK68"/>
    <mergeCell ref="AL67:AL68"/>
    <mergeCell ref="AJ73:AJ74"/>
    <mergeCell ref="AK73:AK74"/>
    <mergeCell ref="AL73:AL74"/>
    <mergeCell ref="AO67:AO68"/>
    <mergeCell ref="AE67:AE68"/>
    <mergeCell ref="AF67:AF68"/>
    <mergeCell ref="AG67:AG68"/>
    <mergeCell ref="AH67:AH68"/>
    <mergeCell ref="AM67:AM68"/>
    <mergeCell ref="AN67:AN68"/>
    <mergeCell ref="AP73:AP74"/>
    <mergeCell ref="AQ73:AQ74"/>
    <mergeCell ref="AR73:AR74"/>
    <mergeCell ref="AS73:AS74"/>
    <mergeCell ref="AT73:AT74"/>
    <mergeCell ref="AU73:AU74"/>
    <mergeCell ref="AV73:AV74"/>
    <mergeCell ref="AW73:AW74"/>
    <mergeCell ref="AX73:AX74"/>
    <mergeCell ref="AY73:AY74"/>
    <mergeCell ref="AZ73:AZ74"/>
    <mergeCell ref="BA73:BA74"/>
    <mergeCell ref="BB73:BB74"/>
    <mergeCell ref="BC73:BC74"/>
    <mergeCell ref="BD73:BD74"/>
    <mergeCell ref="BE73:BE74"/>
    <mergeCell ref="BF73:BF74"/>
    <mergeCell ref="A75:A76"/>
    <mergeCell ref="B75:B76"/>
    <mergeCell ref="C75:C76"/>
    <mergeCell ref="D75:D76"/>
    <mergeCell ref="E75:E76"/>
    <mergeCell ref="F75:F76"/>
    <mergeCell ref="G75:G76"/>
    <mergeCell ref="H75:H76"/>
    <mergeCell ref="I75:I76"/>
    <mergeCell ref="J75:J76"/>
    <mergeCell ref="N75:N76"/>
    <mergeCell ref="Q75:Q76"/>
    <mergeCell ref="R75:R76"/>
    <mergeCell ref="S75:S76"/>
    <mergeCell ref="T75:T76"/>
    <mergeCell ref="U75:U76"/>
    <mergeCell ref="V75:V76"/>
    <mergeCell ref="BF75:BF76"/>
    <mergeCell ref="BG75:BG76"/>
    <mergeCell ref="X75:X76"/>
    <mergeCell ref="Y75:Y76"/>
    <mergeCell ref="Z75:Z76"/>
    <mergeCell ref="AA75:AA76"/>
    <mergeCell ref="AB75:AB76"/>
    <mergeCell ref="AC75:AC76"/>
    <mergeCell ref="AD75:AD76"/>
    <mergeCell ref="AE75:AE76"/>
    <mergeCell ref="AF75:AF76"/>
    <mergeCell ref="AG75:AG76"/>
    <mergeCell ref="AH75:AH76"/>
    <mergeCell ref="AI75:AI76"/>
    <mergeCell ref="AJ75:AJ76"/>
    <mergeCell ref="AK75:AK76"/>
    <mergeCell ref="AL75:AL76"/>
    <mergeCell ref="AM75:AM76"/>
    <mergeCell ref="AN75:AN76"/>
    <mergeCell ref="AO75:AO76"/>
    <mergeCell ref="AR75:AR76"/>
    <mergeCell ref="AS75:AS76"/>
    <mergeCell ref="AT75:AT76"/>
    <mergeCell ref="AU75:AU76"/>
    <mergeCell ref="AV75:AV76"/>
    <mergeCell ref="AW75:AW76"/>
    <mergeCell ref="AX75:AX76"/>
    <mergeCell ref="AY75:AY76"/>
    <mergeCell ref="AZ75:AZ76"/>
    <mergeCell ref="BA75:BA76"/>
    <mergeCell ref="BB75:BB76"/>
    <mergeCell ref="BC75:BC76"/>
    <mergeCell ref="BD75:BD76"/>
    <mergeCell ref="BE75:BE76"/>
    <mergeCell ref="W75:W76"/>
    <mergeCell ref="BC77:BC78"/>
    <mergeCell ref="BD77:BD78"/>
    <mergeCell ref="BE77:BE78"/>
    <mergeCell ref="D77:D78"/>
    <mergeCell ref="E77:E78"/>
    <mergeCell ref="F77:F78"/>
    <mergeCell ref="G77:G78"/>
    <mergeCell ref="H77:H78"/>
    <mergeCell ref="I77:I78"/>
    <mergeCell ref="J77:J78"/>
    <mergeCell ref="N77:N78"/>
    <mergeCell ref="Q77:Q78"/>
    <mergeCell ref="R77:R78"/>
    <mergeCell ref="S77:S78"/>
    <mergeCell ref="T77:T78"/>
    <mergeCell ref="U77:U78"/>
    <mergeCell ref="V77:V78"/>
    <mergeCell ref="W77:W78"/>
    <mergeCell ref="AP75:AP76"/>
    <mergeCell ref="AQ75:AQ76"/>
    <mergeCell ref="BG77:BG78"/>
    <mergeCell ref="X77:X78"/>
    <mergeCell ref="Y77:Y78"/>
    <mergeCell ref="Z77:Z78"/>
    <mergeCell ref="AA77:AA78"/>
    <mergeCell ref="AB77:AB78"/>
    <mergeCell ref="AC77:AC78"/>
    <mergeCell ref="AD77:AD78"/>
    <mergeCell ref="AE77:AE78"/>
    <mergeCell ref="AF77:AF78"/>
    <mergeCell ref="AG77:AG78"/>
    <mergeCell ref="AH77:AH78"/>
    <mergeCell ref="AI77:AI78"/>
    <mergeCell ref="AJ77:AJ78"/>
    <mergeCell ref="AK77:AK78"/>
    <mergeCell ref="AL77:AL78"/>
    <mergeCell ref="AM77:AM78"/>
    <mergeCell ref="AN77:AN78"/>
    <mergeCell ref="AO77:AO78"/>
    <mergeCell ref="AP77:AP78"/>
    <mergeCell ref="AQ77:AQ78"/>
    <mergeCell ref="AR77:AR78"/>
    <mergeCell ref="AS77:AS78"/>
    <mergeCell ref="AT77:AT78"/>
    <mergeCell ref="AU77:AU78"/>
    <mergeCell ref="AV77:AV78"/>
    <mergeCell ref="AW77:AW78"/>
    <mergeCell ref="AX77:AX78"/>
    <mergeCell ref="AY77:AY78"/>
    <mergeCell ref="AZ77:AZ78"/>
    <mergeCell ref="BA77:BA78"/>
    <mergeCell ref="BB77:BB78"/>
    <mergeCell ref="BF77:BF78"/>
    <mergeCell ref="BC79:BC80"/>
    <mergeCell ref="BD79:BD80"/>
    <mergeCell ref="BE79:BE80"/>
    <mergeCell ref="BF79:BF80"/>
    <mergeCell ref="BG79:BG80"/>
    <mergeCell ref="AV79:AV80"/>
    <mergeCell ref="AW79:AW80"/>
    <mergeCell ref="AX79:AX80"/>
    <mergeCell ref="AY79:AY80"/>
    <mergeCell ref="AZ79:AZ80"/>
    <mergeCell ref="A79:A80"/>
    <mergeCell ref="B79:B80"/>
    <mergeCell ref="C79:C80"/>
    <mergeCell ref="D79:D80"/>
    <mergeCell ref="E79:E80"/>
    <mergeCell ref="F79:F80"/>
    <mergeCell ref="G79:G80"/>
    <mergeCell ref="H79:H80"/>
    <mergeCell ref="I79:I80"/>
    <mergeCell ref="J79:J80"/>
    <mergeCell ref="N79:N80"/>
    <mergeCell ref="Q79:Q80"/>
    <mergeCell ref="AA79:AA80"/>
    <mergeCell ref="AB79:AB80"/>
    <mergeCell ref="AC79:AC80"/>
    <mergeCell ref="R79:R80"/>
    <mergeCell ref="S79:S80"/>
    <mergeCell ref="T79:T80"/>
    <mergeCell ref="U79:U80"/>
    <mergeCell ref="V79:V80"/>
    <mergeCell ref="W79:W80"/>
    <mergeCell ref="BB79:BB80"/>
    <mergeCell ref="AJ79:AJ80"/>
    <mergeCell ref="AK79:AK80"/>
    <mergeCell ref="AL79:AL80"/>
    <mergeCell ref="AM79:AM80"/>
    <mergeCell ref="AN79:AN80"/>
    <mergeCell ref="AO79:AO80"/>
    <mergeCell ref="A81:I81"/>
    <mergeCell ref="A82:A83"/>
    <mergeCell ref="B82:B83"/>
    <mergeCell ref="C82:C83"/>
    <mergeCell ref="D82:D83"/>
    <mergeCell ref="E82:E83"/>
    <mergeCell ref="F82:F83"/>
    <mergeCell ref="G82:G83"/>
    <mergeCell ref="H82:H83"/>
    <mergeCell ref="I82:I83"/>
    <mergeCell ref="J82:J83"/>
    <mergeCell ref="N82:N83"/>
    <mergeCell ref="Q82:Q83"/>
    <mergeCell ref="R82:R83"/>
    <mergeCell ref="S82:S83"/>
    <mergeCell ref="T82:T83"/>
    <mergeCell ref="BA79:BA80"/>
    <mergeCell ref="AP79:AP80"/>
    <mergeCell ref="AQ79:AQ80"/>
    <mergeCell ref="AR79:AR80"/>
    <mergeCell ref="AS79:AS80"/>
    <mergeCell ref="AT79:AT80"/>
    <mergeCell ref="AU79:AU80"/>
    <mergeCell ref="AA82:AA83"/>
    <mergeCell ref="Y79:Y80"/>
    <mergeCell ref="Z79:Z80"/>
    <mergeCell ref="AQ82:AQ83"/>
    <mergeCell ref="AR82:AR83"/>
    <mergeCell ref="AG82:AG83"/>
    <mergeCell ref="AH82:AH83"/>
    <mergeCell ref="AI82:AI83"/>
    <mergeCell ref="AJ82:AJ83"/>
    <mergeCell ref="AK82:AK83"/>
    <mergeCell ref="AL82:AL83"/>
    <mergeCell ref="AD79:AD80"/>
    <mergeCell ref="AE79:AE80"/>
    <mergeCell ref="AF79:AF80"/>
    <mergeCell ref="AG79:AG80"/>
    <mergeCell ref="AH79:AH80"/>
    <mergeCell ref="AI79:AI80"/>
    <mergeCell ref="X79:X80"/>
    <mergeCell ref="AX82:AX83"/>
    <mergeCell ref="AS82:AS83"/>
    <mergeCell ref="AT82:AT83"/>
    <mergeCell ref="AU82:AU83"/>
    <mergeCell ref="AV82:AV83"/>
    <mergeCell ref="AW82:AW83"/>
    <mergeCell ref="AE82:AE83"/>
    <mergeCell ref="AF82:AF83"/>
    <mergeCell ref="BC82:BC83"/>
    <mergeCell ref="BD82:BD83"/>
    <mergeCell ref="BE82:BE83"/>
    <mergeCell ref="BF82:BF83"/>
    <mergeCell ref="BG82:BG83"/>
    <mergeCell ref="A84:A85"/>
    <mergeCell ref="B84:B85"/>
    <mergeCell ref="C84:C85"/>
    <mergeCell ref="D84:D85"/>
    <mergeCell ref="E84:E85"/>
    <mergeCell ref="F84:F85"/>
    <mergeCell ref="G84:G85"/>
    <mergeCell ref="H84:H85"/>
    <mergeCell ref="I84:I85"/>
    <mergeCell ref="J84:J85"/>
    <mergeCell ref="N84:N85"/>
    <mergeCell ref="Q84:Q85"/>
    <mergeCell ref="R84:R85"/>
    <mergeCell ref="U82:U83"/>
    <mergeCell ref="V82:V83"/>
    <mergeCell ref="W82:W83"/>
    <mergeCell ref="X82:X83"/>
    <mergeCell ref="Y82:Y83"/>
    <mergeCell ref="Z82:Z83"/>
    <mergeCell ref="AB82:AB83"/>
    <mergeCell ref="AC82:AC83"/>
    <mergeCell ref="AD82:AD83"/>
    <mergeCell ref="AE84:AE85"/>
    <mergeCell ref="AM82:AM83"/>
    <mergeCell ref="AN82:AN83"/>
    <mergeCell ref="AO82:AO83"/>
    <mergeCell ref="AP82:AP83"/>
    <mergeCell ref="AY82:AY83"/>
    <mergeCell ref="AZ82:AZ83"/>
    <mergeCell ref="BA82:BA83"/>
    <mergeCell ref="BB82:BB83"/>
    <mergeCell ref="AY84:AY85"/>
    <mergeCell ref="AZ84:AZ85"/>
    <mergeCell ref="BA84:BA85"/>
    <mergeCell ref="BB84:BB85"/>
    <mergeCell ref="AL84:AL85"/>
    <mergeCell ref="AM84:AM85"/>
    <mergeCell ref="AN84:AN85"/>
    <mergeCell ref="BC84:BC85"/>
    <mergeCell ref="BD84:BD85"/>
    <mergeCell ref="BE84:BE85"/>
    <mergeCell ref="BF84:BF85"/>
    <mergeCell ref="BG84:BG85"/>
    <mergeCell ref="A86:A87"/>
    <mergeCell ref="B86:B87"/>
    <mergeCell ref="C86:C87"/>
    <mergeCell ref="D86:D87"/>
    <mergeCell ref="E86:E87"/>
    <mergeCell ref="F86:F87"/>
    <mergeCell ref="G86:G87"/>
    <mergeCell ref="H86:H87"/>
    <mergeCell ref="I86:I87"/>
    <mergeCell ref="J86:J87"/>
    <mergeCell ref="N86:N87"/>
    <mergeCell ref="S84:S85"/>
    <mergeCell ref="T84:T85"/>
    <mergeCell ref="U84:U85"/>
    <mergeCell ref="V84:V85"/>
    <mergeCell ref="W84:W85"/>
    <mergeCell ref="AZ86:AZ87"/>
    <mergeCell ref="BA86:BA87"/>
    <mergeCell ref="AO86:AO87"/>
    <mergeCell ref="AP86:AP87"/>
    <mergeCell ref="AQ86:AQ87"/>
    <mergeCell ref="AR86:AR87"/>
    <mergeCell ref="AS86:AS87"/>
    <mergeCell ref="AT86:AT87"/>
    <mergeCell ref="AU86:AU87"/>
    <mergeCell ref="AV86:AV87"/>
    <mergeCell ref="AW86:AW87"/>
    <mergeCell ref="AX86:AX87"/>
    <mergeCell ref="AY86:AY87"/>
    <mergeCell ref="X84:X85"/>
    <mergeCell ref="Y84:Y85"/>
    <mergeCell ref="Z84:Z85"/>
    <mergeCell ref="AA84:AA85"/>
    <mergeCell ref="AB84:AB85"/>
    <mergeCell ref="AC84:AC85"/>
    <mergeCell ref="AD84:AD85"/>
    <mergeCell ref="AF86:AF87"/>
    <mergeCell ref="AG86:AG87"/>
    <mergeCell ref="AH86:AH87"/>
    <mergeCell ref="AK84:AK85"/>
    <mergeCell ref="AM86:AM87"/>
    <mergeCell ref="AN86:AN87"/>
    <mergeCell ref="AQ84:AQ85"/>
    <mergeCell ref="AR84:AR85"/>
    <mergeCell ref="AS84:AS85"/>
    <mergeCell ref="AT84:AT85"/>
    <mergeCell ref="AB86:AB87"/>
    <mergeCell ref="AC86:AC87"/>
    <mergeCell ref="AD86:AD87"/>
    <mergeCell ref="AE86:AE87"/>
    <mergeCell ref="AK88:AK89"/>
    <mergeCell ref="AL88:AL89"/>
    <mergeCell ref="AU84:AU85"/>
    <mergeCell ref="AV84:AV85"/>
    <mergeCell ref="AW84:AW85"/>
    <mergeCell ref="AX84:AX85"/>
    <mergeCell ref="AI86:AI87"/>
    <mergeCell ref="AJ86:AJ87"/>
    <mergeCell ref="AK86:AK87"/>
    <mergeCell ref="AL86:AL87"/>
    <mergeCell ref="AF84:AF85"/>
    <mergeCell ref="AG84:AG85"/>
    <mergeCell ref="AH84:AH85"/>
    <mergeCell ref="AI84:AI85"/>
    <mergeCell ref="AJ84:AJ85"/>
    <mergeCell ref="AO84:AO85"/>
    <mergeCell ref="AP84:AP85"/>
    <mergeCell ref="AG88:AG89"/>
    <mergeCell ref="AH88:AH89"/>
    <mergeCell ref="AI88:AI89"/>
    <mergeCell ref="AJ88:AJ89"/>
    <mergeCell ref="AX88:AX89"/>
    <mergeCell ref="BE90:BE91"/>
    <mergeCell ref="BF90:BF91"/>
    <mergeCell ref="BB86:BB87"/>
    <mergeCell ref="BC86:BC87"/>
    <mergeCell ref="BD86:BD87"/>
    <mergeCell ref="BE86:BE87"/>
    <mergeCell ref="BF86:BF87"/>
    <mergeCell ref="BG86:BG87"/>
    <mergeCell ref="A88:A89"/>
    <mergeCell ref="B88:B89"/>
    <mergeCell ref="C88:C89"/>
    <mergeCell ref="D88:D89"/>
    <mergeCell ref="E88:E89"/>
    <mergeCell ref="F88:F89"/>
    <mergeCell ref="G88:G89"/>
    <mergeCell ref="H88:H89"/>
    <mergeCell ref="I88:I89"/>
    <mergeCell ref="Q86:Q87"/>
    <mergeCell ref="R86:R87"/>
    <mergeCell ref="S86:S87"/>
    <mergeCell ref="T86:T87"/>
    <mergeCell ref="U86:U87"/>
    <mergeCell ref="V86:V87"/>
    <mergeCell ref="W86:W87"/>
    <mergeCell ref="X86:X87"/>
    <mergeCell ref="Y86:Y87"/>
    <mergeCell ref="Z86:Z87"/>
    <mergeCell ref="AA86:AA87"/>
    <mergeCell ref="AT88:AT89"/>
    <mergeCell ref="AU88:AU89"/>
    <mergeCell ref="AV88:AV89"/>
    <mergeCell ref="AW88:AW89"/>
    <mergeCell ref="AY88:AY89"/>
    <mergeCell ref="BG88:BG89"/>
    <mergeCell ref="A90:A91"/>
    <mergeCell ref="B90:B91"/>
    <mergeCell ref="C90:C91"/>
    <mergeCell ref="D90:D91"/>
    <mergeCell ref="E90:E91"/>
    <mergeCell ref="F90:F91"/>
    <mergeCell ref="G90:G91"/>
    <mergeCell ref="J88:J89"/>
    <mergeCell ref="N88:N89"/>
    <mergeCell ref="Q88:Q89"/>
    <mergeCell ref="R88:R89"/>
    <mergeCell ref="S88:S89"/>
    <mergeCell ref="T88:T89"/>
    <mergeCell ref="U88:U89"/>
    <mergeCell ref="V88:V89"/>
    <mergeCell ref="W88:W89"/>
    <mergeCell ref="X88:X89"/>
    <mergeCell ref="Y88:Y89"/>
    <mergeCell ref="Z88:Z89"/>
    <mergeCell ref="AA88:AA89"/>
    <mergeCell ref="AB88:AB89"/>
    <mergeCell ref="AC88:AC89"/>
    <mergeCell ref="AD88:AD89"/>
    <mergeCell ref="AE88:AE89"/>
    <mergeCell ref="AF88:AF89"/>
    <mergeCell ref="AZ88:AZ89"/>
    <mergeCell ref="BA88:BA89"/>
    <mergeCell ref="BB88:BB89"/>
    <mergeCell ref="BC88:BC89"/>
    <mergeCell ref="BD88:BD89"/>
    <mergeCell ref="BE88:BE89"/>
    <mergeCell ref="BF88:BF89"/>
    <mergeCell ref="AL90:AL91"/>
    <mergeCell ref="AM90:AM91"/>
    <mergeCell ref="AN90:AN91"/>
    <mergeCell ref="AO90:AO91"/>
    <mergeCell ref="AL93:AL94"/>
    <mergeCell ref="AM93:AM94"/>
    <mergeCell ref="AN93:AN94"/>
    <mergeCell ref="AO93:AO94"/>
    <mergeCell ref="AP90:AP91"/>
    <mergeCell ref="BG90:BG91"/>
    <mergeCell ref="BD93:BD94"/>
    <mergeCell ref="BE93:BE94"/>
    <mergeCell ref="BF93:BF94"/>
    <mergeCell ref="BG93:BG94"/>
    <mergeCell ref="AS90:AS91"/>
    <mergeCell ref="AT90:AT91"/>
    <mergeCell ref="AU90:AU91"/>
    <mergeCell ref="AV90:AV91"/>
    <mergeCell ref="AM88:AM89"/>
    <mergeCell ref="AN88:AN89"/>
    <mergeCell ref="AO88:AO89"/>
    <mergeCell ref="AP88:AP89"/>
    <mergeCell ref="AQ88:AQ89"/>
    <mergeCell ref="AR88:AR89"/>
    <mergeCell ref="AS88:AS89"/>
    <mergeCell ref="AY90:AY91"/>
    <mergeCell ref="AZ90:AZ91"/>
    <mergeCell ref="BA90:BA91"/>
    <mergeCell ref="BB90:BB91"/>
    <mergeCell ref="AQ90:AQ91"/>
    <mergeCell ref="AA90:AA91"/>
    <mergeCell ref="AB90:AB91"/>
    <mergeCell ref="U93:U94"/>
    <mergeCell ref="V93:V94"/>
    <mergeCell ref="W93:W94"/>
    <mergeCell ref="X93:X94"/>
    <mergeCell ref="Y93:Y94"/>
    <mergeCell ref="Z93:Z94"/>
    <mergeCell ref="AE90:AE91"/>
    <mergeCell ref="AF90:AF91"/>
    <mergeCell ref="AG90:AG91"/>
    <mergeCell ref="AH90:AH91"/>
    <mergeCell ref="AI90:AI91"/>
    <mergeCell ref="AJ90:AJ91"/>
    <mergeCell ref="AK90:AK91"/>
    <mergeCell ref="AF93:AF94"/>
    <mergeCell ref="AG93:AG94"/>
    <mergeCell ref="AH93:AH94"/>
    <mergeCell ref="AY93:AY94"/>
    <mergeCell ref="AZ93:AZ94"/>
    <mergeCell ref="BA93:BA94"/>
    <mergeCell ref="AT93:AT94"/>
    <mergeCell ref="AU93:AU94"/>
    <mergeCell ref="AJ93:AJ94"/>
    <mergeCell ref="H90:H91"/>
    <mergeCell ref="I90:I91"/>
    <mergeCell ref="J90:J91"/>
    <mergeCell ref="N90:N91"/>
    <mergeCell ref="Q90:Q91"/>
    <mergeCell ref="R90:R91"/>
    <mergeCell ref="BC90:BC91"/>
    <mergeCell ref="BD90:BD91"/>
    <mergeCell ref="AC90:AC91"/>
    <mergeCell ref="AD90:AD91"/>
    <mergeCell ref="S90:S91"/>
    <mergeCell ref="T90:T91"/>
    <mergeCell ref="U90:U91"/>
    <mergeCell ref="V90:V91"/>
    <mergeCell ref="W90:W91"/>
    <mergeCell ref="X90:X91"/>
    <mergeCell ref="H93:H94"/>
    <mergeCell ref="I93:I94"/>
    <mergeCell ref="J93:J94"/>
    <mergeCell ref="BB93:BB94"/>
    <mergeCell ref="BC93:BC94"/>
    <mergeCell ref="AD93:AD94"/>
    <mergeCell ref="AE93:AE94"/>
    <mergeCell ref="AR90:AR91"/>
    <mergeCell ref="Y90:Y91"/>
    <mergeCell ref="Z90:Z91"/>
    <mergeCell ref="A92:I92"/>
    <mergeCell ref="AW90:AW91"/>
    <mergeCell ref="AX90:AX91"/>
    <mergeCell ref="AI93:AI94"/>
    <mergeCell ref="AK93:AK94"/>
    <mergeCell ref="AP93:AP94"/>
    <mergeCell ref="AQ93:AQ94"/>
    <mergeCell ref="AR93:AR94"/>
    <mergeCell ref="AS93:AS94"/>
    <mergeCell ref="A95:A96"/>
    <mergeCell ref="B95:B96"/>
    <mergeCell ref="C95:C96"/>
    <mergeCell ref="D95:D96"/>
    <mergeCell ref="E95:E96"/>
    <mergeCell ref="F95:F96"/>
    <mergeCell ref="U95:U96"/>
    <mergeCell ref="V95:V96"/>
    <mergeCell ref="W95:W96"/>
    <mergeCell ref="G95:G96"/>
    <mergeCell ref="H95:H96"/>
    <mergeCell ref="I95:I96"/>
    <mergeCell ref="J95:J96"/>
    <mergeCell ref="N95:N96"/>
    <mergeCell ref="Q95:Q96"/>
    <mergeCell ref="R95:R96"/>
    <mergeCell ref="AC95:AC96"/>
    <mergeCell ref="AA93:AA94"/>
    <mergeCell ref="AB93:AB94"/>
    <mergeCell ref="AC93:AC94"/>
    <mergeCell ref="AV93:AV94"/>
    <mergeCell ref="AW93:AW94"/>
    <mergeCell ref="AX93:AX94"/>
    <mergeCell ref="AY95:AY96"/>
    <mergeCell ref="S95:S96"/>
    <mergeCell ref="T95:T96"/>
    <mergeCell ref="AG95:AG96"/>
    <mergeCell ref="AH95:AH96"/>
    <mergeCell ref="AI95:AI96"/>
    <mergeCell ref="BG95:BG96"/>
    <mergeCell ref="Z97:Z98"/>
    <mergeCell ref="AA97:AA98"/>
    <mergeCell ref="AB97:AB98"/>
    <mergeCell ref="AC97:AC98"/>
    <mergeCell ref="BB97:BB98"/>
    <mergeCell ref="BC97:BC98"/>
    <mergeCell ref="BD97:BD98"/>
    <mergeCell ref="BE97:BE98"/>
    <mergeCell ref="BF97:BF98"/>
    <mergeCell ref="AJ95:AJ96"/>
    <mergeCell ref="AK95:AK96"/>
    <mergeCell ref="AL95:AL96"/>
    <mergeCell ref="AM95:AM96"/>
    <mergeCell ref="AN95:AN96"/>
    <mergeCell ref="AO95:AO96"/>
    <mergeCell ref="AP95:AP96"/>
    <mergeCell ref="AQ95:AQ96"/>
    <mergeCell ref="AK97:AK98"/>
    <mergeCell ref="AL97:AL98"/>
    <mergeCell ref="BC95:BC96"/>
    <mergeCell ref="AD95:AD96"/>
    <mergeCell ref="AE95:AE96"/>
    <mergeCell ref="AF95:AF96"/>
    <mergeCell ref="AZ95:AZ96"/>
    <mergeCell ref="BA95:BA96"/>
    <mergeCell ref="BB95:BB96"/>
    <mergeCell ref="AR95:AR96"/>
    <mergeCell ref="AS95:AS96"/>
    <mergeCell ref="AT95:AT96"/>
    <mergeCell ref="AU95:AU96"/>
    <mergeCell ref="BD95:BD96"/>
    <mergeCell ref="BE95:BE96"/>
    <mergeCell ref="BF95:BF96"/>
    <mergeCell ref="AV95:AV96"/>
    <mergeCell ref="AW95:AW96"/>
    <mergeCell ref="AX95:AX96"/>
    <mergeCell ref="A97:A98"/>
    <mergeCell ref="B97:B98"/>
    <mergeCell ref="C97:C98"/>
    <mergeCell ref="D97:D98"/>
    <mergeCell ref="E97:E98"/>
    <mergeCell ref="F97:F98"/>
    <mergeCell ref="G97:G98"/>
    <mergeCell ref="H97:H98"/>
    <mergeCell ref="I97:I98"/>
    <mergeCell ref="J97:J98"/>
    <mergeCell ref="U97:U98"/>
    <mergeCell ref="V97:V98"/>
    <mergeCell ref="W97:W98"/>
    <mergeCell ref="S97:S98"/>
    <mergeCell ref="T97:T98"/>
    <mergeCell ref="AD97:AD98"/>
    <mergeCell ref="X95:X96"/>
    <mergeCell ref="Y95:Y96"/>
    <mergeCell ref="Z95:Z96"/>
    <mergeCell ref="AA95:AA96"/>
    <mergeCell ref="AB95:AB96"/>
    <mergeCell ref="BG97:BG98"/>
    <mergeCell ref="AV97:AV98"/>
    <mergeCell ref="AW97:AW98"/>
    <mergeCell ref="AX97:AX98"/>
    <mergeCell ref="AY97:AY98"/>
    <mergeCell ref="AZ97:AZ98"/>
    <mergeCell ref="BA97:BA98"/>
    <mergeCell ref="AP97:AP98"/>
    <mergeCell ref="N97:N98"/>
    <mergeCell ref="Q97:Q98"/>
    <mergeCell ref="R97:R98"/>
    <mergeCell ref="AH97:AH98"/>
    <mergeCell ref="AR97:AR98"/>
    <mergeCell ref="AS97:AS98"/>
    <mergeCell ref="AT97:AT98"/>
    <mergeCell ref="AU97:AU98"/>
    <mergeCell ref="AW99:AW100"/>
    <mergeCell ref="AX99:AX100"/>
    <mergeCell ref="AY99:AY100"/>
    <mergeCell ref="AZ99:AZ100"/>
    <mergeCell ref="BA99:BA100"/>
    <mergeCell ref="BB99:BB100"/>
    <mergeCell ref="BC99:BC100"/>
    <mergeCell ref="BD99:BD100"/>
    <mergeCell ref="BE99:BE100"/>
    <mergeCell ref="AR99:AR100"/>
    <mergeCell ref="AS99:AS100"/>
    <mergeCell ref="AT99:AT100"/>
    <mergeCell ref="BF99:BF100"/>
    <mergeCell ref="BG99:BG100"/>
    <mergeCell ref="AM97:AM98"/>
    <mergeCell ref="AN97:AN98"/>
    <mergeCell ref="AO97:AO98"/>
    <mergeCell ref="G99:G100"/>
    <mergeCell ref="H99:H100"/>
    <mergeCell ref="I99:I100"/>
    <mergeCell ref="J99:J100"/>
    <mergeCell ref="N99:N100"/>
    <mergeCell ref="Q99:Q100"/>
    <mergeCell ref="AI97:AI98"/>
    <mergeCell ref="X97:X98"/>
    <mergeCell ref="Y97:Y98"/>
    <mergeCell ref="AQ97:AQ98"/>
    <mergeCell ref="AJ97:AJ98"/>
    <mergeCell ref="AP99:AP100"/>
    <mergeCell ref="AQ99:AQ100"/>
    <mergeCell ref="Y99:Y100"/>
    <mergeCell ref="Z99:Z100"/>
    <mergeCell ref="AA99:AA100"/>
    <mergeCell ref="AB99:AB100"/>
    <mergeCell ref="AL99:AL100"/>
    <mergeCell ref="AM99:AM100"/>
    <mergeCell ref="A101:I101"/>
    <mergeCell ref="A102:A103"/>
    <mergeCell ref="B102:B103"/>
    <mergeCell ref="C102:C103"/>
    <mergeCell ref="D102:D103"/>
    <mergeCell ref="E102:E103"/>
    <mergeCell ref="F102:F103"/>
    <mergeCell ref="G102:G103"/>
    <mergeCell ref="H102:H103"/>
    <mergeCell ref="I102:I103"/>
    <mergeCell ref="R99:R100"/>
    <mergeCell ref="S99:S100"/>
    <mergeCell ref="T99:T100"/>
    <mergeCell ref="U99:U100"/>
    <mergeCell ref="V99:V100"/>
    <mergeCell ref="W99:W100"/>
    <mergeCell ref="X99:X100"/>
    <mergeCell ref="A99:A100"/>
    <mergeCell ref="B99:B100"/>
    <mergeCell ref="C99:C100"/>
    <mergeCell ref="D99:D100"/>
    <mergeCell ref="E99:E100"/>
    <mergeCell ref="F99:F100"/>
    <mergeCell ref="AA102:AA103"/>
    <mergeCell ref="AB102:AB103"/>
    <mergeCell ref="AC102:AC103"/>
    <mergeCell ref="AD102:AD103"/>
    <mergeCell ref="AE102:AE103"/>
    <mergeCell ref="AU99:AU100"/>
    <mergeCell ref="AV99:AV100"/>
    <mergeCell ref="AC99:AC100"/>
    <mergeCell ref="AN99:AN100"/>
    <mergeCell ref="AO99:AO100"/>
    <mergeCell ref="AD99:AD100"/>
    <mergeCell ref="AE99:AE100"/>
    <mergeCell ref="AF99:AF100"/>
    <mergeCell ref="AG99:AG100"/>
    <mergeCell ref="AH99:AH100"/>
    <mergeCell ref="AI99:AI100"/>
    <mergeCell ref="AJ99:AJ100"/>
    <mergeCell ref="AK99:AK100"/>
    <mergeCell ref="BF102:BF103"/>
    <mergeCell ref="BG102:BG103"/>
    <mergeCell ref="A104:A105"/>
    <mergeCell ref="B104:B105"/>
    <mergeCell ref="C104:C105"/>
    <mergeCell ref="D104:D105"/>
    <mergeCell ref="E104:E105"/>
    <mergeCell ref="F104:F105"/>
    <mergeCell ref="G104:G105"/>
    <mergeCell ref="J102:J103"/>
    <mergeCell ref="N102:N103"/>
    <mergeCell ref="Q102:Q103"/>
    <mergeCell ref="R102:R103"/>
    <mergeCell ref="S102:S103"/>
    <mergeCell ref="T102:T103"/>
    <mergeCell ref="U102:U103"/>
    <mergeCell ref="V102:V103"/>
    <mergeCell ref="W102:W103"/>
    <mergeCell ref="X102:X103"/>
    <mergeCell ref="Y102:Y103"/>
    <mergeCell ref="Z102:Z103"/>
    <mergeCell ref="AG102:AG103"/>
    <mergeCell ref="AH102:AH103"/>
    <mergeCell ref="AI102:AI103"/>
    <mergeCell ref="AF102:AF103"/>
    <mergeCell ref="AJ102:AJ103"/>
    <mergeCell ref="AU102:AU103"/>
    <mergeCell ref="AV102:AV103"/>
    <mergeCell ref="AW102:AW103"/>
    <mergeCell ref="BB104:BB105"/>
    <mergeCell ref="BC104:BC105"/>
    <mergeCell ref="BD104:BD105"/>
    <mergeCell ref="BE104:BE105"/>
    <mergeCell ref="AR104:AR105"/>
    <mergeCell ref="AS104:AS105"/>
    <mergeCell ref="AT104:AT105"/>
    <mergeCell ref="AU104:AU105"/>
    <mergeCell ref="AV104:AV105"/>
    <mergeCell ref="AW104:AW105"/>
    <mergeCell ref="AX104:AX105"/>
    <mergeCell ref="AY104:AY105"/>
    <mergeCell ref="AZ104:AZ105"/>
    <mergeCell ref="BA104:BA105"/>
    <mergeCell ref="AX102:AX103"/>
    <mergeCell ref="AY102:AY103"/>
    <mergeCell ref="AZ102:AZ103"/>
    <mergeCell ref="BA102:BA103"/>
    <mergeCell ref="BB102:BB103"/>
    <mergeCell ref="BC102:BC103"/>
    <mergeCell ref="BD102:BD103"/>
    <mergeCell ref="BE102:BE103"/>
    <mergeCell ref="AK104:AK105"/>
    <mergeCell ref="AL104:AL105"/>
    <mergeCell ref="AM104:AM105"/>
    <mergeCell ref="AN104:AN105"/>
    <mergeCell ref="AO104:AO105"/>
    <mergeCell ref="AP104:AP105"/>
    <mergeCell ref="AQ104:AQ105"/>
    <mergeCell ref="AI104:AI105"/>
    <mergeCell ref="AJ104:AJ105"/>
    <mergeCell ref="AM102:AM103"/>
    <mergeCell ref="AN102:AN103"/>
    <mergeCell ref="AO102:AO103"/>
    <mergeCell ref="AP102:AP103"/>
    <mergeCell ref="AQ102:AQ103"/>
    <mergeCell ref="AR102:AR103"/>
    <mergeCell ref="AS102:AS103"/>
    <mergeCell ref="AT102:AT103"/>
    <mergeCell ref="AK102:AK103"/>
    <mergeCell ref="AL102:AL103"/>
    <mergeCell ref="AH104:AH105"/>
    <mergeCell ref="W106:W107"/>
    <mergeCell ref="X106:X107"/>
    <mergeCell ref="Y106:Y107"/>
    <mergeCell ref="Z106:Z107"/>
    <mergeCell ref="AA106:AA107"/>
    <mergeCell ref="AB106:AB107"/>
    <mergeCell ref="BF104:BF105"/>
    <mergeCell ref="BG104:BG105"/>
    <mergeCell ref="A106:A107"/>
    <mergeCell ref="B106:B107"/>
    <mergeCell ref="C106:C107"/>
    <mergeCell ref="D106:D107"/>
    <mergeCell ref="E106:E107"/>
    <mergeCell ref="H104:H105"/>
    <mergeCell ref="I104:I105"/>
    <mergeCell ref="J104:J105"/>
    <mergeCell ref="N104:N105"/>
    <mergeCell ref="Q104:Q105"/>
    <mergeCell ref="R104:R105"/>
    <mergeCell ref="S104:S105"/>
    <mergeCell ref="T104:T105"/>
    <mergeCell ref="U104:U105"/>
    <mergeCell ref="V104:V105"/>
    <mergeCell ref="W104:W105"/>
    <mergeCell ref="X104:X105"/>
    <mergeCell ref="Y104:Y105"/>
    <mergeCell ref="Z104:Z105"/>
    <mergeCell ref="AA104:AA105"/>
    <mergeCell ref="AB104:AB105"/>
    <mergeCell ref="AC104:AC105"/>
    <mergeCell ref="AD104:AD105"/>
    <mergeCell ref="AM108:AM109"/>
    <mergeCell ref="AN108:AN109"/>
    <mergeCell ref="AO108:AO109"/>
    <mergeCell ref="AP108:AP109"/>
    <mergeCell ref="F106:F107"/>
    <mergeCell ref="G106:G107"/>
    <mergeCell ref="H106:H107"/>
    <mergeCell ref="I106:I107"/>
    <mergeCell ref="J106:J107"/>
    <mergeCell ref="N106:N107"/>
    <mergeCell ref="Q106:Q107"/>
    <mergeCell ref="R106:R107"/>
    <mergeCell ref="S106:S107"/>
    <mergeCell ref="T106:T107"/>
    <mergeCell ref="U106:U107"/>
    <mergeCell ref="V106:V107"/>
    <mergeCell ref="AH106:AH107"/>
    <mergeCell ref="AI106:AI107"/>
    <mergeCell ref="AJ106:AJ107"/>
    <mergeCell ref="AK106:AK107"/>
    <mergeCell ref="AL106:AL107"/>
    <mergeCell ref="AM106:AM107"/>
    <mergeCell ref="AN106:AN107"/>
    <mergeCell ref="Y108:Y109"/>
    <mergeCell ref="AY106:AY107"/>
    <mergeCell ref="AZ106:AZ107"/>
    <mergeCell ref="AO106:AO107"/>
    <mergeCell ref="AP106:AP107"/>
    <mergeCell ref="AQ106:AQ107"/>
    <mergeCell ref="AR106:AR107"/>
    <mergeCell ref="AS106:AS107"/>
    <mergeCell ref="AT106:AT107"/>
    <mergeCell ref="AU106:AU107"/>
    <mergeCell ref="AV106:AV107"/>
    <mergeCell ref="AW106:AW107"/>
    <mergeCell ref="AX106:AX107"/>
    <mergeCell ref="BG106:BG107"/>
    <mergeCell ref="AY108:AY109"/>
    <mergeCell ref="AZ108:AZ109"/>
    <mergeCell ref="BA108:BA109"/>
    <mergeCell ref="BB108:BB109"/>
    <mergeCell ref="BC108:BC109"/>
    <mergeCell ref="BD108:BD109"/>
    <mergeCell ref="BE108:BE109"/>
    <mergeCell ref="BF108:BF109"/>
    <mergeCell ref="BG108:BG109"/>
    <mergeCell ref="AS108:AS109"/>
    <mergeCell ref="AT108:AT109"/>
    <mergeCell ref="AU108:AU109"/>
    <mergeCell ref="AV108:AV109"/>
    <mergeCell ref="AW108:AW109"/>
    <mergeCell ref="AX108:AX109"/>
    <mergeCell ref="A108:A109"/>
    <mergeCell ref="B108:B109"/>
    <mergeCell ref="C108:C109"/>
    <mergeCell ref="D108:D109"/>
    <mergeCell ref="E108:E109"/>
    <mergeCell ref="F108:F109"/>
    <mergeCell ref="G108:G109"/>
    <mergeCell ref="H108:H109"/>
    <mergeCell ref="I108:I109"/>
    <mergeCell ref="J108:J109"/>
    <mergeCell ref="N108:N109"/>
    <mergeCell ref="Q108:Q109"/>
    <mergeCell ref="R108:R109"/>
    <mergeCell ref="S108:S109"/>
    <mergeCell ref="T108:T109"/>
    <mergeCell ref="U108:U109"/>
    <mergeCell ref="V108:V109"/>
    <mergeCell ref="A110:I110"/>
    <mergeCell ref="A111:I111"/>
    <mergeCell ref="A27:A28"/>
    <mergeCell ref="B27:B28"/>
    <mergeCell ref="C27:C28"/>
    <mergeCell ref="D27:D28"/>
    <mergeCell ref="E27:E28"/>
    <mergeCell ref="F27:F28"/>
    <mergeCell ref="G27:G28"/>
    <mergeCell ref="H27:H28"/>
    <mergeCell ref="I27:I28"/>
    <mergeCell ref="J27:J28"/>
    <mergeCell ref="N27:N28"/>
    <mergeCell ref="Q27:Q28"/>
    <mergeCell ref="R27:R28"/>
    <mergeCell ref="S27:S28"/>
    <mergeCell ref="T27:T28"/>
    <mergeCell ref="R93:R94"/>
    <mergeCell ref="S93:S94"/>
    <mergeCell ref="T93:T94"/>
    <mergeCell ref="A93:A94"/>
    <mergeCell ref="B93:B94"/>
    <mergeCell ref="C93:C94"/>
    <mergeCell ref="D93:D94"/>
    <mergeCell ref="E93:E94"/>
    <mergeCell ref="F93:F94"/>
    <mergeCell ref="G93:G94"/>
    <mergeCell ref="N93:N94"/>
    <mergeCell ref="Q93:Q94"/>
    <mergeCell ref="A77:A78"/>
    <mergeCell ref="B77:B78"/>
    <mergeCell ref="C77:C78"/>
    <mergeCell ref="U27:U28"/>
    <mergeCell ref="V27:V28"/>
    <mergeCell ref="AA108:AA109"/>
    <mergeCell ref="AB108:AB109"/>
    <mergeCell ref="AC108:AC109"/>
    <mergeCell ref="AD108:AD109"/>
    <mergeCell ref="W27:W28"/>
    <mergeCell ref="X27:X28"/>
    <mergeCell ref="Y27:Y28"/>
    <mergeCell ref="Z27:Z28"/>
    <mergeCell ref="AA27:AA28"/>
    <mergeCell ref="AB27:AB28"/>
    <mergeCell ref="AC27:AC28"/>
    <mergeCell ref="AD27:AD28"/>
    <mergeCell ref="AE27:AE28"/>
    <mergeCell ref="AF27:AF28"/>
    <mergeCell ref="AG27:AG28"/>
    <mergeCell ref="AE108:AE109"/>
    <mergeCell ref="AF108:AF109"/>
    <mergeCell ref="AG108:AG109"/>
    <mergeCell ref="Z108:Z109"/>
    <mergeCell ref="AC106:AC107"/>
    <mergeCell ref="AD106:AD107"/>
    <mergeCell ref="AE106:AE107"/>
    <mergeCell ref="AF106:AF107"/>
    <mergeCell ref="AG106:AG107"/>
    <mergeCell ref="AE104:AE105"/>
    <mergeCell ref="AF104:AF105"/>
    <mergeCell ref="AG104:AG105"/>
    <mergeCell ref="AE97:AE98"/>
    <mergeCell ref="AF97:AF98"/>
    <mergeCell ref="AG97:AG98"/>
    <mergeCell ref="BG27:BG28"/>
    <mergeCell ref="BA27:BA28"/>
    <mergeCell ref="BB27:BB28"/>
    <mergeCell ref="BC27:BC28"/>
    <mergeCell ref="BD27:BD28"/>
    <mergeCell ref="BE27:BE28"/>
    <mergeCell ref="BF27:BF28"/>
    <mergeCell ref="AH108:AH109"/>
    <mergeCell ref="AI108:AI109"/>
    <mergeCell ref="AJ108:AJ109"/>
    <mergeCell ref="AK108:AK109"/>
    <mergeCell ref="AL108:AL109"/>
    <mergeCell ref="W108:W109"/>
    <mergeCell ref="X108:X109"/>
    <mergeCell ref="AO27:AO28"/>
    <mergeCell ref="AP27:AP28"/>
    <mergeCell ref="AQ27:AQ28"/>
    <mergeCell ref="AR27:AR28"/>
    <mergeCell ref="AS27:AS28"/>
    <mergeCell ref="AT27:AT28"/>
    <mergeCell ref="AU27:AU28"/>
    <mergeCell ref="AV27:AV28"/>
    <mergeCell ref="AW27:AW28"/>
    <mergeCell ref="AX27:AX28"/>
    <mergeCell ref="AQ108:AQ109"/>
    <mergeCell ref="AR108:AR109"/>
    <mergeCell ref="BA106:BA107"/>
    <mergeCell ref="BB106:BB107"/>
    <mergeCell ref="BC106:BC107"/>
    <mergeCell ref="BD106:BD107"/>
    <mergeCell ref="BE106:BE107"/>
    <mergeCell ref="BF106:BF107"/>
  </mergeCells>
  <phoneticPr fontId="61" type="noConversion"/>
  <pageMargins left="0" right="0" top="0" bottom="0" header="0" footer="0"/>
  <pageSetup paperSize="9" scale="65"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7"/>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S68" sqref="S68:BG68"/>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45280</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6" si="0">L5-M5</f>
        <v>0</v>
      </c>
      <c r="P5" s="27">
        <v>0</v>
      </c>
      <c r="Q5" s="99">
        <f>+L6-P6</f>
        <v>1</v>
      </c>
      <c r="R5" s="85" t="s">
        <v>87</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2194+35</f>
        <v>2229</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6.5" customHeight="1">
      <c r="A7" s="108">
        <v>45280</v>
      </c>
      <c r="B7" s="87" t="s">
        <v>37</v>
      </c>
      <c r="C7" s="89">
        <v>1</v>
      </c>
      <c r="D7" s="91" t="s">
        <v>38</v>
      </c>
      <c r="E7" s="89">
        <v>84217</v>
      </c>
      <c r="F7" s="89" t="s">
        <v>49</v>
      </c>
      <c r="G7" s="93" t="s">
        <v>63</v>
      </c>
      <c r="H7" s="90" t="s">
        <v>41</v>
      </c>
      <c r="I7" s="90">
        <v>1219</v>
      </c>
      <c r="J7" s="90">
        <v>1219</v>
      </c>
      <c r="K7" s="20">
        <v>0</v>
      </c>
      <c r="L7" s="20">
        <v>0</v>
      </c>
      <c r="M7" s="20">
        <v>0</v>
      </c>
      <c r="N7" s="97">
        <f>O8/L8</f>
        <v>0.62264150943396224</v>
      </c>
      <c r="O7" s="21">
        <f t="shared" si="0"/>
        <v>0</v>
      </c>
      <c r="P7" s="27">
        <v>5</v>
      </c>
      <c r="Q7" s="99">
        <f>+L8-P8</f>
        <v>0</v>
      </c>
      <c r="R7" s="85"/>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103+85+198+61+57+39+86+192+134+36+37+120+71</f>
        <v>1219</v>
      </c>
      <c r="L8" s="18">
        <f>9+46+10+10+10+10+164+10+70+330+96+30+266+82+76</f>
        <v>1219</v>
      </c>
      <c r="M8" s="18">
        <f>9+17+10+106+21+120+38+9+83+21+26</f>
        <v>460</v>
      </c>
      <c r="N8" s="98"/>
      <c r="O8" s="19">
        <f t="shared" si="0"/>
        <v>759</v>
      </c>
      <c r="P8" s="22">
        <f>9+17+10+10+10+96+10+37+164+132+89+249+160+86+35+55+45+5</f>
        <v>1219</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45280</v>
      </c>
      <c r="B9" s="87" t="s">
        <v>37</v>
      </c>
      <c r="C9" s="89">
        <v>1</v>
      </c>
      <c r="D9" s="91" t="s">
        <v>38</v>
      </c>
      <c r="E9" s="89">
        <v>84217</v>
      </c>
      <c r="F9" s="89" t="s">
        <v>49</v>
      </c>
      <c r="G9" s="93" t="s">
        <v>71</v>
      </c>
      <c r="H9" s="90" t="s">
        <v>47</v>
      </c>
      <c r="I9" s="90">
        <v>2804</v>
      </c>
      <c r="J9" s="90">
        <v>2804</v>
      </c>
      <c r="K9" s="20">
        <v>280</v>
      </c>
      <c r="L9" s="20">
        <v>320</v>
      </c>
      <c r="M9" s="20">
        <v>141</v>
      </c>
      <c r="N9" s="97">
        <f>O10/L10</f>
        <v>0.52125775022143495</v>
      </c>
      <c r="O9" s="21">
        <f t="shared" si="0"/>
        <v>179</v>
      </c>
      <c r="P9" s="27">
        <v>274</v>
      </c>
      <c r="Q9" s="99">
        <f>+L10-P10</f>
        <v>384</v>
      </c>
      <c r="R9" s="85"/>
      <c r="S9" s="96">
        <v>92</v>
      </c>
      <c r="T9" s="96">
        <v>2</v>
      </c>
      <c r="U9" s="96"/>
      <c r="V9" s="96"/>
      <c r="W9" s="96"/>
      <c r="X9" s="96">
        <v>2</v>
      </c>
      <c r="Y9" s="96">
        <v>2</v>
      </c>
      <c r="Z9" s="96"/>
      <c r="AA9" s="96"/>
      <c r="AB9" s="96"/>
      <c r="AC9" s="96">
        <v>18</v>
      </c>
      <c r="AD9" s="96"/>
      <c r="AE9" s="96">
        <v>7</v>
      </c>
      <c r="AF9" s="96">
        <v>12</v>
      </c>
      <c r="AG9" s="96">
        <v>8</v>
      </c>
      <c r="AH9" s="96">
        <v>12</v>
      </c>
      <c r="AI9" s="96"/>
      <c r="AJ9" s="96"/>
      <c r="AK9" s="96"/>
      <c r="AL9" s="96">
        <v>24</v>
      </c>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380+305+280+275+155+323+260+280</f>
        <v>2258</v>
      </c>
      <c r="L10" s="18">
        <f>270+420+350+255+363+280+320</f>
        <v>2258</v>
      </c>
      <c r="M10" s="18">
        <f>75+240+191+116+194+124+141</f>
        <v>1081</v>
      </c>
      <c r="N10" s="98"/>
      <c r="O10" s="19">
        <f t="shared" si="0"/>
        <v>1177</v>
      </c>
      <c r="P10" s="22">
        <f>75+240+269+187+501+328+274</f>
        <v>1874</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45280</v>
      </c>
      <c r="B11" s="87" t="s">
        <v>37</v>
      </c>
      <c r="C11" s="89">
        <v>1</v>
      </c>
      <c r="D11" s="91" t="s">
        <v>38</v>
      </c>
      <c r="E11" s="89">
        <v>84217</v>
      </c>
      <c r="F11" s="89" t="s">
        <v>76</v>
      </c>
      <c r="G11" s="93" t="s">
        <v>71</v>
      </c>
      <c r="H11" s="90" t="s">
        <v>80</v>
      </c>
      <c r="I11" s="90">
        <v>1452</v>
      </c>
      <c r="J11" s="90">
        <v>1452</v>
      </c>
      <c r="K11" s="20">
        <v>98</v>
      </c>
      <c r="L11" s="20">
        <v>80</v>
      </c>
      <c r="M11" s="20">
        <v>20</v>
      </c>
      <c r="N11" s="97">
        <f>O12/L12</f>
        <v>0.72679045092838201</v>
      </c>
      <c r="O11" s="21">
        <f t="shared" si="0"/>
        <v>60</v>
      </c>
      <c r="P11" s="27">
        <v>30</v>
      </c>
      <c r="Q11" s="99">
        <f>+L12-P12</f>
        <v>206</v>
      </c>
      <c r="R11" s="85"/>
      <c r="S11" s="96"/>
      <c r="T11" s="96">
        <v>13</v>
      </c>
      <c r="U11" s="96">
        <v>6</v>
      </c>
      <c r="V11" s="96"/>
      <c r="W11" s="96"/>
      <c r="X11" s="96"/>
      <c r="Y11" s="96"/>
      <c r="Z11" s="96"/>
      <c r="AA11" s="96"/>
      <c r="AB11" s="96"/>
      <c r="AC11" s="96">
        <v>19</v>
      </c>
      <c r="AD11" s="96">
        <v>5</v>
      </c>
      <c r="AE11" s="96"/>
      <c r="AF11" s="96">
        <v>2</v>
      </c>
      <c r="AG11" s="96"/>
      <c r="AH11" s="96">
        <v>5</v>
      </c>
      <c r="AI11" s="96"/>
      <c r="AJ11" s="96"/>
      <c r="AK11" s="96"/>
      <c r="AL11" s="96">
        <v>10</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53+88+29+47+80+98</f>
        <v>395</v>
      </c>
      <c r="L12" s="18">
        <f>10+44+80+80+83+80</f>
        <v>377</v>
      </c>
      <c r="M12" s="18">
        <f>10+30+20+23+20</f>
        <v>103</v>
      </c>
      <c r="N12" s="98"/>
      <c r="O12" s="19">
        <f t="shared" si="0"/>
        <v>274</v>
      </c>
      <c r="P12" s="22">
        <f>10+74+20+37+30</f>
        <v>171</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6.5" customHeight="1">
      <c r="A13" s="108">
        <v>45280</v>
      </c>
      <c r="B13" s="87" t="s">
        <v>37</v>
      </c>
      <c r="C13" s="89">
        <v>1</v>
      </c>
      <c r="D13" s="91" t="s">
        <v>38</v>
      </c>
      <c r="E13" s="89">
        <v>84217</v>
      </c>
      <c r="F13" s="89" t="s">
        <v>76</v>
      </c>
      <c r="G13" s="93" t="s">
        <v>71</v>
      </c>
      <c r="H13" s="90" t="s">
        <v>75</v>
      </c>
      <c r="I13" s="90">
        <v>2615</v>
      </c>
      <c r="J13" s="90">
        <v>2615</v>
      </c>
      <c r="K13" s="20">
        <v>63</v>
      </c>
      <c r="L13" s="20">
        <v>63</v>
      </c>
      <c r="M13" s="20">
        <v>11</v>
      </c>
      <c r="N13" s="97">
        <f>O14/L14</f>
        <v>0.68595041322314054</v>
      </c>
      <c r="O13" s="21">
        <f t="shared" si="0"/>
        <v>52</v>
      </c>
      <c r="P13" s="27">
        <v>182</v>
      </c>
      <c r="Q13" s="99">
        <f>+L14-P14</f>
        <v>54</v>
      </c>
      <c r="R13" s="85"/>
      <c r="S13" s="96"/>
      <c r="T13" s="96">
        <v>5</v>
      </c>
      <c r="U13" s="96">
        <v>7</v>
      </c>
      <c r="V13" s="96"/>
      <c r="W13" s="96"/>
      <c r="X13" s="96">
        <v>1</v>
      </c>
      <c r="Y13" s="96"/>
      <c r="Z13" s="96"/>
      <c r="AA13" s="96"/>
      <c r="AB13" s="96"/>
      <c r="AC13" s="96">
        <v>9</v>
      </c>
      <c r="AD13" s="96"/>
      <c r="AE13" s="96"/>
      <c r="AF13" s="96">
        <v>10</v>
      </c>
      <c r="AG13" s="96"/>
      <c r="AH13" s="96">
        <v>10</v>
      </c>
      <c r="AI13" s="96"/>
      <c r="AJ13" s="96"/>
      <c r="AK13" s="96"/>
      <c r="AL13" s="96">
        <v>10</v>
      </c>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111+127+62+63</f>
        <v>363</v>
      </c>
      <c r="L14" s="18">
        <f>10+198+92+63</f>
        <v>363</v>
      </c>
      <c r="M14" s="18">
        <f>70+33+11</f>
        <v>114</v>
      </c>
      <c r="N14" s="98"/>
      <c r="O14" s="19">
        <f t="shared" si="0"/>
        <v>249</v>
      </c>
      <c r="P14" s="22">
        <f>80+47+182</f>
        <v>309</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5.75" customHeight="1">
      <c r="A15" s="108">
        <v>45280</v>
      </c>
      <c r="B15" s="87" t="s">
        <v>37</v>
      </c>
      <c r="C15" s="89">
        <v>1</v>
      </c>
      <c r="D15" s="91" t="s">
        <v>38</v>
      </c>
      <c r="E15" s="89">
        <v>84212</v>
      </c>
      <c r="F15" s="89" t="s">
        <v>49</v>
      </c>
      <c r="G15" s="93" t="s">
        <v>55</v>
      </c>
      <c r="H15" s="90" t="s">
        <v>59</v>
      </c>
      <c r="I15" s="90">
        <v>708</v>
      </c>
      <c r="J15" s="90">
        <v>708</v>
      </c>
      <c r="K15" s="20">
        <v>0</v>
      </c>
      <c r="L15" s="20">
        <v>0</v>
      </c>
      <c r="M15" s="20">
        <v>0</v>
      </c>
      <c r="N15" s="97">
        <f>O16/L16</f>
        <v>0.72403982930298716</v>
      </c>
      <c r="O15" s="21">
        <f t="shared" si="0"/>
        <v>0</v>
      </c>
      <c r="P15" s="27">
        <v>0</v>
      </c>
      <c r="Q15" s="99">
        <f>+L16-P16</f>
        <v>0</v>
      </c>
      <c r="R15" s="85"/>
      <c r="S15" s="96"/>
      <c r="T15" s="96"/>
      <c r="U15" s="96"/>
      <c r="V15" s="96"/>
      <c r="W15" s="96"/>
      <c r="X15" s="96"/>
      <c r="Y15" s="96"/>
      <c r="Z15" s="96"/>
      <c r="AA15" s="96"/>
      <c r="AB15" s="96"/>
      <c r="AC15" s="96"/>
      <c r="AD15" s="96"/>
      <c r="AE15" s="96"/>
      <c r="AF15" s="96"/>
      <c r="AG15" s="96"/>
      <c r="AH15" s="96"/>
      <c r="AI15" s="96"/>
      <c r="AJ15" s="96"/>
      <c r="AK15" s="96"/>
      <c r="AL15" s="96"/>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105+109+70+77+65+110+122+34+3+3+4+1</f>
        <v>703</v>
      </c>
      <c r="L16" s="18">
        <f>25+50+65+80+80+30+80+50+160+78+4+1</f>
        <v>703</v>
      </c>
      <c r="M16" s="18">
        <f>15+20+20+15+5+11+20+50+33+4+1</f>
        <v>194</v>
      </c>
      <c r="N16" s="98"/>
      <c r="O16" s="19">
        <f t="shared" si="0"/>
        <v>509</v>
      </c>
      <c r="P16" s="22">
        <f>15+20+35+15+5+11+53+50+335+120+10+13+20+1</f>
        <v>703</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45280</v>
      </c>
      <c r="B17" s="87" t="s">
        <v>37</v>
      </c>
      <c r="C17" s="89">
        <v>1</v>
      </c>
      <c r="D17" s="91" t="s">
        <v>38</v>
      </c>
      <c r="E17" s="89">
        <v>84212</v>
      </c>
      <c r="F17" s="89" t="s">
        <v>49</v>
      </c>
      <c r="G17" s="93" t="s">
        <v>55</v>
      </c>
      <c r="H17" s="90" t="s">
        <v>67</v>
      </c>
      <c r="I17" s="90">
        <v>1813</v>
      </c>
      <c r="J17" s="90">
        <v>1813</v>
      </c>
      <c r="K17" s="20">
        <v>0</v>
      </c>
      <c r="L17" s="20">
        <v>0</v>
      </c>
      <c r="M17" s="20">
        <v>0</v>
      </c>
      <c r="N17" s="97">
        <f>O18/L18</f>
        <v>0.76349471341124098</v>
      </c>
      <c r="O17" s="21">
        <f t="shared" si="0"/>
        <v>0</v>
      </c>
      <c r="P17" s="27">
        <v>146</v>
      </c>
      <c r="Q17" s="99">
        <f>+L18-P18</f>
        <v>59</v>
      </c>
      <c r="R17" s="85"/>
      <c r="S17" s="96"/>
      <c r="T17" s="96"/>
      <c r="U17" s="96"/>
      <c r="V17" s="96"/>
      <c r="W17" s="96"/>
      <c r="X17" s="96"/>
      <c r="Y17" s="96"/>
      <c r="Z17" s="96"/>
      <c r="AA17" s="96"/>
      <c r="AB17" s="96"/>
      <c r="AC17" s="96"/>
      <c r="AD17" s="96"/>
      <c r="AE17" s="96"/>
      <c r="AF17" s="96"/>
      <c r="AG17" s="96"/>
      <c r="AH17" s="96"/>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272+145+148+175+345+259+198+95+65+82+13</f>
        <v>1797</v>
      </c>
      <c r="L18" s="18">
        <f>30+110+235+150+484+100+160+348+142+38</f>
        <v>1797</v>
      </c>
      <c r="M18" s="18">
        <f>5+10+50+40+110+10+55+118+27</f>
        <v>425</v>
      </c>
      <c r="N18" s="98"/>
      <c r="O18" s="19">
        <f t="shared" si="0"/>
        <v>1372</v>
      </c>
      <c r="P18" s="22">
        <f>5+10+65+80+262+130+217+170+330+32+171+120+146</f>
        <v>1738</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45280</v>
      </c>
      <c r="B19" s="87" t="s">
        <v>37</v>
      </c>
      <c r="C19" s="89">
        <v>1</v>
      </c>
      <c r="D19" s="91" t="s">
        <v>38</v>
      </c>
      <c r="E19" s="89">
        <v>84212</v>
      </c>
      <c r="F19" s="89" t="s">
        <v>49</v>
      </c>
      <c r="G19" s="93" t="s">
        <v>55</v>
      </c>
      <c r="H19" s="90" t="s">
        <v>62</v>
      </c>
      <c r="I19" s="90">
        <v>2218</v>
      </c>
      <c r="J19" s="90">
        <v>1640</v>
      </c>
      <c r="K19" s="20">
        <v>200</v>
      </c>
      <c r="L19" s="20">
        <v>210</v>
      </c>
      <c r="M19" s="20">
        <v>40</v>
      </c>
      <c r="N19" s="97">
        <f>O20/L20</f>
        <v>0.67277486910994766</v>
      </c>
      <c r="O19" s="21">
        <f t="shared" si="0"/>
        <v>170</v>
      </c>
      <c r="P19" s="27">
        <v>337</v>
      </c>
      <c r="Q19" s="99">
        <f>+L20-P20</f>
        <v>346</v>
      </c>
      <c r="R19" s="85"/>
      <c r="S19" s="96"/>
      <c r="T19" s="96">
        <v>37</v>
      </c>
      <c r="U19" s="96"/>
      <c r="V19" s="96"/>
      <c r="W19" s="96"/>
      <c r="X19" s="96">
        <v>4</v>
      </c>
      <c r="Y19" s="96"/>
      <c r="Z19" s="96"/>
      <c r="AA19" s="96"/>
      <c r="AB19" s="96"/>
      <c r="AC19" s="96">
        <v>33</v>
      </c>
      <c r="AD19" s="96"/>
      <c r="AE19" s="96">
        <v>9</v>
      </c>
      <c r="AF19" s="96">
        <v>10</v>
      </c>
      <c r="AG19" s="96">
        <v>25</v>
      </c>
      <c r="AH19" s="96">
        <v>31</v>
      </c>
      <c r="AI19" s="96"/>
      <c r="AJ19" s="96"/>
      <c r="AK19" s="96"/>
      <c r="AL19" s="96">
        <v>21</v>
      </c>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166+95+22+85+70+260+370+120+220+200</f>
        <v>1608</v>
      </c>
      <c r="L20" s="18">
        <f>40+40+160+43+115+140+230+340+210+210</f>
        <v>1528</v>
      </c>
      <c r="M20" s="18">
        <f>6+14+50+20+50+60+110+90+60+40</f>
        <v>500</v>
      </c>
      <c r="N20" s="98"/>
      <c r="O20" s="19">
        <f t="shared" si="0"/>
        <v>1028</v>
      </c>
      <c r="P20" s="22">
        <f>6+14+50+28+64+69+71+77+120+253+93+337</f>
        <v>1182</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45280</v>
      </c>
      <c r="B21" s="87" t="s">
        <v>37</v>
      </c>
      <c r="C21" s="89">
        <v>1</v>
      </c>
      <c r="D21" s="91" t="s">
        <v>38</v>
      </c>
      <c r="E21" s="89">
        <v>84212</v>
      </c>
      <c r="F21" s="89" t="s">
        <v>49</v>
      </c>
      <c r="G21" s="93" t="s">
        <v>55</v>
      </c>
      <c r="H21" s="90" t="s">
        <v>50</v>
      </c>
      <c r="I21" s="90">
        <v>588</v>
      </c>
      <c r="J21" s="90">
        <v>588</v>
      </c>
      <c r="K21" s="20">
        <v>80</v>
      </c>
      <c r="L21" s="20">
        <v>120</v>
      </c>
      <c r="M21" s="20">
        <v>50</v>
      </c>
      <c r="N21" s="97">
        <f>O22/L22</f>
        <v>0.54450261780104714</v>
      </c>
      <c r="O21" s="21">
        <f t="shared" si="0"/>
        <v>70</v>
      </c>
      <c r="P21" s="27">
        <v>173</v>
      </c>
      <c r="Q21" s="99">
        <f>+L22-P22</f>
        <v>70</v>
      </c>
      <c r="R21" s="85"/>
      <c r="S21" s="96"/>
      <c r="T21" s="96">
        <v>17</v>
      </c>
      <c r="U21" s="96">
        <v>4</v>
      </c>
      <c r="V21" s="96"/>
      <c r="W21" s="96"/>
      <c r="X21" s="96"/>
      <c r="Y21" s="96"/>
      <c r="Z21" s="96"/>
      <c r="AA21" s="96"/>
      <c r="AB21" s="96"/>
      <c r="AC21" s="96">
        <v>6</v>
      </c>
      <c r="AD21" s="96"/>
      <c r="AE21" s="96"/>
      <c r="AF21" s="96">
        <v>1</v>
      </c>
      <c r="AG21" s="96">
        <v>31</v>
      </c>
      <c r="AH21" s="96">
        <v>9</v>
      </c>
      <c r="AI21" s="96"/>
      <c r="AJ21" s="96"/>
      <c r="AK21" s="96"/>
      <c r="AL21" s="96">
        <v>2</v>
      </c>
      <c r="AM21" s="103"/>
      <c r="AN21" s="103"/>
      <c r="AO21" s="103"/>
      <c r="AP21" s="103"/>
      <c r="AQ21" s="103"/>
      <c r="AR21" s="103"/>
      <c r="AS21" s="103"/>
      <c r="AT21" s="103"/>
      <c r="AU21" s="103"/>
      <c r="AV21" s="103"/>
      <c r="AW21" s="103"/>
      <c r="AX21" s="103"/>
      <c r="AY21" s="106"/>
      <c r="AZ21" s="106"/>
      <c r="BA21" s="106"/>
      <c r="BB21" s="106"/>
      <c r="BC21" s="106"/>
      <c r="BD21" s="106"/>
      <c r="BE21" s="103"/>
      <c r="BF21" s="104"/>
      <c r="BG21" s="104"/>
    </row>
    <row r="22" spans="1:59" s="17" customFormat="1" ht="15.75" customHeight="1">
      <c r="A22" s="85"/>
      <c r="B22" s="88"/>
      <c r="C22" s="90"/>
      <c r="D22" s="92"/>
      <c r="E22" s="90"/>
      <c r="F22" s="90"/>
      <c r="G22" s="94"/>
      <c r="H22" s="95"/>
      <c r="I22" s="95"/>
      <c r="J22" s="95"/>
      <c r="K22" s="22">
        <f>114+135+90+80</f>
        <v>419</v>
      </c>
      <c r="L22" s="18">
        <f>77+105+80+120</f>
        <v>382</v>
      </c>
      <c r="M22" s="18">
        <f>37+57+30+50</f>
        <v>174</v>
      </c>
      <c r="N22" s="98"/>
      <c r="O22" s="19">
        <f t="shared" si="0"/>
        <v>208</v>
      </c>
      <c r="P22" s="22">
        <f>37+57+45+173</f>
        <v>312</v>
      </c>
      <c r="Q22" s="100"/>
      <c r="R22" s="86"/>
      <c r="S22" s="96"/>
      <c r="T22" s="96"/>
      <c r="U22" s="96"/>
      <c r="V22" s="96"/>
      <c r="W22" s="96"/>
      <c r="X22" s="96"/>
      <c r="Y22" s="96"/>
      <c r="Z22" s="96"/>
      <c r="AA22" s="96"/>
      <c r="AB22" s="96"/>
      <c r="AC22" s="96"/>
      <c r="AD22" s="96"/>
      <c r="AE22" s="96"/>
      <c r="AF22" s="96"/>
      <c r="AG22" s="96"/>
      <c r="AH22" s="96"/>
      <c r="AI22" s="96"/>
      <c r="AJ22" s="96"/>
      <c r="AK22" s="96"/>
      <c r="AL22" s="96"/>
      <c r="AM22" s="103"/>
      <c r="AN22" s="103"/>
      <c r="AO22" s="103"/>
      <c r="AP22" s="103"/>
      <c r="AQ22" s="103"/>
      <c r="AR22" s="103"/>
      <c r="AS22" s="103"/>
      <c r="AT22" s="103"/>
      <c r="AU22" s="103"/>
      <c r="AV22" s="103"/>
      <c r="AW22" s="103"/>
      <c r="AX22" s="103"/>
      <c r="AY22" s="107"/>
      <c r="AZ22" s="107"/>
      <c r="BA22" s="107"/>
      <c r="BB22" s="107"/>
      <c r="BC22" s="107"/>
      <c r="BD22" s="107"/>
      <c r="BE22" s="103"/>
      <c r="BF22" s="105"/>
      <c r="BG22" s="105"/>
    </row>
    <row r="23" spans="1:59" s="17" customFormat="1" ht="15.75" customHeight="1">
      <c r="A23" s="108">
        <v>45280</v>
      </c>
      <c r="B23" s="87" t="s">
        <v>37</v>
      </c>
      <c r="C23" s="89">
        <v>1</v>
      </c>
      <c r="D23" s="91" t="s">
        <v>38</v>
      </c>
      <c r="E23" s="89">
        <v>84212</v>
      </c>
      <c r="F23" s="89" t="s">
        <v>49</v>
      </c>
      <c r="G23" s="93" t="s">
        <v>61</v>
      </c>
      <c r="H23" s="89" t="s">
        <v>59</v>
      </c>
      <c r="I23" s="89">
        <v>515</v>
      </c>
      <c r="J23" s="89">
        <v>515</v>
      </c>
      <c r="K23" s="20">
        <v>0</v>
      </c>
      <c r="L23" s="20">
        <v>0</v>
      </c>
      <c r="M23" s="20">
        <v>0</v>
      </c>
      <c r="N23" s="146">
        <f>O24/L24</f>
        <v>0.62548262548262545</v>
      </c>
      <c r="O23" s="21">
        <f t="shared" si="0"/>
        <v>0</v>
      </c>
      <c r="P23" s="27">
        <v>40</v>
      </c>
      <c r="Q23" s="99">
        <f>+L24-P24</f>
        <v>100</v>
      </c>
      <c r="R23" s="108"/>
      <c r="S23" s="149"/>
      <c r="T23" s="149"/>
      <c r="U23" s="149"/>
      <c r="V23" s="149"/>
      <c r="W23" s="149"/>
      <c r="X23" s="149"/>
      <c r="Y23" s="149"/>
      <c r="Z23" s="149"/>
      <c r="AA23" s="149"/>
      <c r="AB23" s="149"/>
      <c r="AC23" s="149"/>
      <c r="AD23" s="149"/>
      <c r="AE23" s="149"/>
      <c r="AF23" s="149"/>
      <c r="AG23" s="149"/>
      <c r="AH23" s="149"/>
      <c r="AI23" s="149"/>
      <c r="AJ23" s="149"/>
      <c r="AK23" s="149"/>
      <c r="AL23" s="149"/>
      <c r="AM23" s="163"/>
      <c r="AN23" s="163"/>
      <c r="AO23" s="163"/>
      <c r="AP23" s="163"/>
      <c r="AQ23" s="163"/>
      <c r="AR23" s="163"/>
      <c r="AS23" s="163"/>
      <c r="AT23" s="163"/>
      <c r="AU23" s="163"/>
      <c r="AV23" s="163"/>
      <c r="AW23" s="163"/>
      <c r="AX23" s="163"/>
      <c r="AY23" s="167"/>
      <c r="AZ23" s="167"/>
      <c r="BA23" s="167"/>
      <c r="BB23" s="167"/>
      <c r="BC23" s="167"/>
      <c r="BD23" s="167"/>
      <c r="BE23" s="163"/>
      <c r="BF23" s="165"/>
      <c r="BG23" s="165"/>
    </row>
    <row r="24" spans="1:59" s="17" customFormat="1" ht="15.75" customHeight="1">
      <c r="A24" s="85"/>
      <c r="B24" s="88"/>
      <c r="C24" s="90"/>
      <c r="D24" s="92"/>
      <c r="E24" s="90"/>
      <c r="F24" s="90"/>
      <c r="G24" s="94"/>
      <c r="H24" s="90"/>
      <c r="I24" s="90"/>
      <c r="J24" s="90"/>
      <c r="K24" s="22">
        <f>149+124+88+81+76</f>
        <v>518</v>
      </c>
      <c r="L24" s="18">
        <f>149+138+40+115+76</f>
        <v>518</v>
      </c>
      <c r="M24" s="18">
        <f>60+50+10+39+35</f>
        <v>194</v>
      </c>
      <c r="N24" s="147"/>
      <c r="O24" s="19">
        <f t="shared" si="0"/>
        <v>324</v>
      </c>
      <c r="P24" s="22">
        <f>60+60+77+145+36+40</f>
        <v>418</v>
      </c>
      <c r="Q24" s="100"/>
      <c r="R24" s="85"/>
      <c r="S24" s="150"/>
      <c r="T24" s="150"/>
      <c r="U24" s="150"/>
      <c r="V24" s="150"/>
      <c r="W24" s="150"/>
      <c r="X24" s="150"/>
      <c r="Y24" s="150"/>
      <c r="Z24" s="150"/>
      <c r="AA24" s="150"/>
      <c r="AB24" s="150"/>
      <c r="AC24" s="150"/>
      <c r="AD24" s="150"/>
      <c r="AE24" s="150"/>
      <c r="AF24" s="150"/>
      <c r="AG24" s="150"/>
      <c r="AH24" s="150"/>
      <c r="AI24" s="150"/>
      <c r="AJ24" s="150"/>
      <c r="AK24" s="150"/>
      <c r="AL24" s="150"/>
      <c r="AM24" s="164"/>
      <c r="AN24" s="164"/>
      <c r="AO24" s="164"/>
      <c r="AP24" s="164"/>
      <c r="AQ24" s="164"/>
      <c r="AR24" s="164"/>
      <c r="AS24" s="164"/>
      <c r="AT24" s="164"/>
      <c r="AU24" s="164"/>
      <c r="AV24" s="164"/>
      <c r="AW24" s="164"/>
      <c r="AX24" s="164"/>
      <c r="AY24" s="168"/>
      <c r="AZ24" s="168"/>
      <c r="BA24" s="168"/>
      <c r="BB24" s="168"/>
      <c r="BC24" s="168"/>
      <c r="BD24" s="168"/>
      <c r="BE24" s="164"/>
      <c r="BF24" s="166"/>
      <c r="BG24" s="166"/>
    </row>
    <row r="25" spans="1:59" s="17" customFormat="1" ht="15.75" customHeight="1">
      <c r="A25" s="108">
        <v>45280</v>
      </c>
      <c r="B25" s="87" t="s">
        <v>37</v>
      </c>
      <c r="C25" s="89">
        <v>1</v>
      </c>
      <c r="D25" s="91" t="s">
        <v>38</v>
      </c>
      <c r="E25" s="89">
        <v>84212</v>
      </c>
      <c r="F25" s="89" t="s">
        <v>49</v>
      </c>
      <c r="G25" s="93" t="s">
        <v>61</v>
      </c>
      <c r="H25" s="89" t="s">
        <v>50</v>
      </c>
      <c r="I25" s="89">
        <v>925</v>
      </c>
      <c r="J25" s="89">
        <v>925</v>
      </c>
      <c r="K25" s="20">
        <v>10</v>
      </c>
      <c r="L25" s="20">
        <v>63</v>
      </c>
      <c r="M25" s="20">
        <v>24</v>
      </c>
      <c r="N25" s="146">
        <f>O26/L26</f>
        <v>0.61904761904761907</v>
      </c>
      <c r="O25" s="21">
        <f t="shared" si="0"/>
        <v>39</v>
      </c>
      <c r="P25" s="27">
        <v>24</v>
      </c>
      <c r="Q25" s="99">
        <f>+L26-P26</f>
        <v>39</v>
      </c>
      <c r="R25" s="108"/>
      <c r="S25" s="149"/>
      <c r="T25" s="149">
        <v>11</v>
      </c>
      <c r="U25" s="149">
        <v>4</v>
      </c>
      <c r="V25" s="149"/>
      <c r="W25" s="149"/>
      <c r="X25" s="149">
        <v>1</v>
      </c>
      <c r="Y25" s="149"/>
      <c r="Z25" s="149"/>
      <c r="AA25" s="149"/>
      <c r="AB25" s="149"/>
      <c r="AC25" s="149">
        <v>5</v>
      </c>
      <c r="AD25" s="149"/>
      <c r="AE25" s="149">
        <v>3</v>
      </c>
      <c r="AF25" s="149">
        <v>4</v>
      </c>
      <c r="AG25" s="149"/>
      <c r="AH25" s="149">
        <v>5</v>
      </c>
      <c r="AI25" s="149"/>
      <c r="AJ25" s="149"/>
      <c r="AK25" s="149"/>
      <c r="AL25" s="149">
        <v>6</v>
      </c>
      <c r="AM25" s="163"/>
      <c r="AN25" s="163"/>
      <c r="AO25" s="163"/>
      <c r="AP25" s="163"/>
      <c r="AQ25" s="163"/>
      <c r="AR25" s="163"/>
      <c r="AS25" s="163"/>
      <c r="AT25" s="163"/>
      <c r="AU25" s="163"/>
      <c r="AV25" s="163"/>
      <c r="AW25" s="163"/>
      <c r="AX25" s="163"/>
      <c r="AY25" s="167"/>
      <c r="AZ25" s="167"/>
      <c r="BA25" s="167"/>
      <c r="BB25" s="167"/>
      <c r="BC25" s="167"/>
      <c r="BD25" s="167"/>
      <c r="BE25" s="163"/>
      <c r="BF25" s="165"/>
      <c r="BG25" s="165"/>
    </row>
    <row r="26" spans="1:59" s="17" customFormat="1" ht="15.75" customHeight="1">
      <c r="A26" s="85"/>
      <c r="B26" s="88"/>
      <c r="C26" s="90"/>
      <c r="D26" s="92"/>
      <c r="E26" s="90"/>
      <c r="F26" s="90"/>
      <c r="G26" s="94"/>
      <c r="H26" s="90"/>
      <c r="I26" s="90"/>
      <c r="J26" s="90"/>
      <c r="K26" s="22">
        <f>53+10</f>
        <v>63</v>
      </c>
      <c r="L26" s="18">
        <f>63</f>
        <v>63</v>
      </c>
      <c r="M26" s="18">
        <f>24</f>
        <v>24</v>
      </c>
      <c r="N26" s="147"/>
      <c r="O26" s="19">
        <f t="shared" si="0"/>
        <v>39</v>
      </c>
      <c r="P26" s="22">
        <f>24</f>
        <v>24</v>
      </c>
      <c r="Q26" s="100"/>
      <c r="R26" s="85"/>
      <c r="S26" s="150"/>
      <c r="T26" s="150"/>
      <c r="U26" s="150"/>
      <c r="V26" s="150"/>
      <c r="W26" s="150"/>
      <c r="X26" s="150"/>
      <c r="Y26" s="150"/>
      <c r="Z26" s="150"/>
      <c r="AA26" s="150"/>
      <c r="AB26" s="150"/>
      <c r="AC26" s="150"/>
      <c r="AD26" s="150"/>
      <c r="AE26" s="150"/>
      <c r="AF26" s="150"/>
      <c r="AG26" s="150"/>
      <c r="AH26" s="150"/>
      <c r="AI26" s="150"/>
      <c r="AJ26" s="150"/>
      <c r="AK26" s="150"/>
      <c r="AL26" s="150"/>
      <c r="AM26" s="164"/>
      <c r="AN26" s="164"/>
      <c r="AO26" s="164"/>
      <c r="AP26" s="164"/>
      <c r="AQ26" s="164"/>
      <c r="AR26" s="164"/>
      <c r="AS26" s="164"/>
      <c r="AT26" s="164"/>
      <c r="AU26" s="164"/>
      <c r="AV26" s="164"/>
      <c r="AW26" s="164"/>
      <c r="AX26" s="164"/>
      <c r="AY26" s="168"/>
      <c r="AZ26" s="168"/>
      <c r="BA26" s="168"/>
      <c r="BB26" s="168"/>
      <c r="BC26" s="168"/>
      <c r="BD26" s="168"/>
      <c r="BE26" s="164"/>
      <c r="BF26" s="166"/>
      <c r="BG26" s="166"/>
    </row>
    <row r="27" spans="1:59" s="17" customFormat="1" ht="15.75" customHeight="1">
      <c r="A27" s="108">
        <v>45280</v>
      </c>
      <c r="B27" s="87" t="s">
        <v>37</v>
      </c>
      <c r="C27" s="89">
        <v>1</v>
      </c>
      <c r="D27" s="91" t="s">
        <v>38</v>
      </c>
      <c r="E27" s="89">
        <v>84212</v>
      </c>
      <c r="F27" s="89" t="s">
        <v>49</v>
      </c>
      <c r="G27" s="93" t="s">
        <v>61</v>
      </c>
      <c r="H27" s="89" t="s">
        <v>62</v>
      </c>
      <c r="I27" s="89"/>
      <c r="J27" s="89">
        <v>1327</v>
      </c>
      <c r="K27" s="20">
        <v>49</v>
      </c>
      <c r="L27" s="20">
        <v>49</v>
      </c>
      <c r="M27" s="20">
        <v>5</v>
      </c>
      <c r="N27" s="146">
        <f>O28/L28</f>
        <v>0.89795918367346939</v>
      </c>
      <c r="O27" s="21">
        <f t="shared" si="0"/>
        <v>44</v>
      </c>
      <c r="P27" s="27">
        <v>5</v>
      </c>
      <c r="Q27" s="99">
        <f>+L28-P28</f>
        <v>44</v>
      </c>
      <c r="R27" s="108"/>
      <c r="S27" s="149"/>
      <c r="T27" s="149">
        <v>18</v>
      </c>
      <c r="U27" s="149"/>
      <c r="V27" s="149"/>
      <c r="W27" s="149"/>
      <c r="X27" s="149"/>
      <c r="Y27" s="149"/>
      <c r="Z27" s="149">
        <v>16</v>
      </c>
      <c r="AA27" s="149"/>
      <c r="AB27" s="149"/>
      <c r="AC27" s="149"/>
      <c r="AD27" s="149"/>
      <c r="AE27" s="149">
        <v>1</v>
      </c>
      <c r="AF27" s="149"/>
      <c r="AG27" s="149"/>
      <c r="AH27" s="149">
        <v>5</v>
      </c>
      <c r="AI27" s="149"/>
      <c r="AJ27" s="149"/>
      <c r="AK27" s="149"/>
      <c r="AL27" s="149">
        <v>4</v>
      </c>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49</f>
        <v>49</v>
      </c>
      <c r="L28" s="18">
        <f>49</f>
        <v>49</v>
      </c>
      <c r="M28" s="18">
        <f>5</f>
        <v>5</v>
      </c>
      <c r="N28" s="147"/>
      <c r="O28" s="19">
        <f t="shared" si="0"/>
        <v>44</v>
      </c>
      <c r="P28" s="22">
        <f>5</f>
        <v>5</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45280</v>
      </c>
      <c r="B29" s="87" t="s">
        <v>37</v>
      </c>
      <c r="C29" s="89">
        <v>1</v>
      </c>
      <c r="D29" s="91" t="s">
        <v>38</v>
      </c>
      <c r="E29" s="89">
        <v>84212</v>
      </c>
      <c r="F29" s="89" t="s">
        <v>49</v>
      </c>
      <c r="G29" s="93" t="s">
        <v>63</v>
      </c>
      <c r="H29" s="89" t="s">
        <v>62</v>
      </c>
      <c r="I29" s="89">
        <v>2344</v>
      </c>
      <c r="J29" s="89">
        <v>2344</v>
      </c>
      <c r="K29" s="20">
        <v>80</v>
      </c>
      <c r="L29" s="20">
        <v>80</v>
      </c>
      <c r="M29" s="20">
        <v>10</v>
      </c>
      <c r="N29" s="146">
        <f>O30/L30</f>
        <v>0.85380116959064323</v>
      </c>
      <c r="O29" s="21">
        <f t="shared" si="0"/>
        <v>70</v>
      </c>
      <c r="P29" s="27">
        <v>126</v>
      </c>
      <c r="Q29" s="99">
        <f>+L30-P30</f>
        <v>116</v>
      </c>
      <c r="R29" s="108"/>
      <c r="S29" s="149"/>
      <c r="T29" s="149">
        <v>15</v>
      </c>
      <c r="U29" s="149"/>
      <c r="V29" s="149"/>
      <c r="W29" s="149"/>
      <c r="X29" s="149"/>
      <c r="Y29" s="149"/>
      <c r="Z29" s="149"/>
      <c r="AA29" s="149"/>
      <c r="AB29" s="149"/>
      <c r="AC29" s="149">
        <v>15</v>
      </c>
      <c r="AD29" s="149"/>
      <c r="AE29" s="149">
        <v>7</v>
      </c>
      <c r="AF29" s="149">
        <v>20</v>
      </c>
      <c r="AG29" s="149"/>
      <c r="AH29" s="149">
        <v>10</v>
      </c>
      <c r="AI29" s="149"/>
      <c r="AJ29" s="149"/>
      <c r="AK29" s="149"/>
      <c r="AL29" s="149">
        <v>3</v>
      </c>
      <c r="AM29" s="163"/>
      <c r="AN29" s="163"/>
      <c r="AO29" s="163"/>
      <c r="AP29" s="163"/>
      <c r="AQ29" s="163"/>
      <c r="AR29" s="163"/>
      <c r="AS29" s="163"/>
      <c r="AT29" s="163"/>
      <c r="AU29" s="163"/>
      <c r="AV29" s="163"/>
      <c r="AW29" s="163"/>
      <c r="AX29" s="163"/>
      <c r="AY29" s="167"/>
      <c r="AZ29" s="167"/>
      <c r="BA29" s="167"/>
      <c r="BB29" s="167"/>
      <c r="BC29" s="167"/>
      <c r="BD29" s="167"/>
      <c r="BE29" s="163"/>
      <c r="BF29" s="165"/>
      <c r="BG29" s="165"/>
    </row>
    <row r="30" spans="1:59" s="17" customFormat="1" ht="15.75" customHeight="1">
      <c r="A30" s="85"/>
      <c r="B30" s="88"/>
      <c r="C30" s="90"/>
      <c r="D30" s="92"/>
      <c r="E30" s="90"/>
      <c r="F30" s="90"/>
      <c r="G30" s="94"/>
      <c r="H30" s="90"/>
      <c r="I30" s="90"/>
      <c r="J30" s="90"/>
      <c r="K30" s="22">
        <f>102+90+70+80</f>
        <v>342</v>
      </c>
      <c r="L30" s="18">
        <f>32+110+120+80</f>
        <v>342</v>
      </c>
      <c r="M30" s="18">
        <f>20+20+10</f>
        <v>50</v>
      </c>
      <c r="N30" s="147"/>
      <c r="O30" s="19">
        <f t="shared" si="0"/>
        <v>292</v>
      </c>
      <c r="P30" s="22">
        <f>20+80+126</f>
        <v>226</v>
      </c>
      <c r="Q30" s="100"/>
      <c r="R30" s="85"/>
      <c r="S30" s="150"/>
      <c r="T30" s="150"/>
      <c r="U30" s="150"/>
      <c r="V30" s="150"/>
      <c r="W30" s="150"/>
      <c r="X30" s="150"/>
      <c r="Y30" s="150"/>
      <c r="Z30" s="150"/>
      <c r="AA30" s="150"/>
      <c r="AB30" s="150"/>
      <c r="AC30" s="150"/>
      <c r="AD30" s="150"/>
      <c r="AE30" s="150"/>
      <c r="AF30" s="150"/>
      <c r="AG30" s="150"/>
      <c r="AH30" s="150"/>
      <c r="AI30" s="150"/>
      <c r="AJ30" s="150"/>
      <c r="AK30" s="150"/>
      <c r="AL30" s="150"/>
      <c r="AM30" s="164"/>
      <c r="AN30" s="164"/>
      <c r="AO30" s="164"/>
      <c r="AP30" s="164"/>
      <c r="AQ30" s="164"/>
      <c r="AR30" s="164"/>
      <c r="AS30" s="164"/>
      <c r="AT30" s="164"/>
      <c r="AU30" s="164"/>
      <c r="AV30" s="164"/>
      <c r="AW30" s="164"/>
      <c r="AX30" s="164"/>
      <c r="AY30" s="168"/>
      <c r="AZ30" s="168"/>
      <c r="BA30" s="168"/>
      <c r="BB30" s="168"/>
      <c r="BC30" s="168"/>
      <c r="BD30" s="168"/>
      <c r="BE30" s="164"/>
      <c r="BF30" s="166"/>
      <c r="BG30" s="166"/>
    </row>
    <row r="31" spans="1:59" s="17" customFormat="1" ht="15.75" customHeight="1">
      <c r="A31" s="108">
        <v>45280</v>
      </c>
      <c r="B31" s="87" t="s">
        <v>37</v>
      </c>
      <c r="C31" s="89">
        <v>1</v>
      </c>
      <c r="D31" s="91" t="s">
        <v>38</v>
      </c>
      <c r="E31" s="89">
        <v>84426</v>
      </c>
      <c r="F31" s="89" t="s">
        <v>49</v>
      </c>
      <c r="G31" s="93" t="s">
        <v>55</v>
      </c>
      <c r="H31" s="90" t="s">
        <v>58</v>
      </c>
      <c r="I31" s="90">
        <v>549</v>
      </c>
      <c r="J31" s="90">
        <v>549</v>
      </c>
      <c r="K31" s="20">
        <v>0</v>
      </c>
      <c r="L31" s="20">
        <v>0</v>
      </c>
      <c r="M31" s="20">
        <v>0</v>
      </c>
      <c r="N31" s="97">
        <f>O32/L32</f>
        <v>0.81238615664845171</v>
      </c>
      <c r="O31" s="21">
        <f t="shared" si="0"/>
        <v>0</v>
      </c>
      <c r="P31" s="27">
        <v>0</v>
      </c>
      <c r="Q31" s="99">
        <f>+L32-P32</f>
        <v>3</v>
      </c>
      <c r="R31" s="108"/>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49">
        <f>483+66</f>
        <v>549</v>
      </c>
      <c r="L32" s="18">
        <f>483+66</f>
        <v>549</v>
      </c>
      <c r="M32" s="18">
        <f>86+17</f>
        <v>103</v>
      </c>
      <c r="N32" s="98"/>
      <c r="O32" s="19">
        <f t="shared" si="0"/>
        <v>446</v>
      </c>
      <c r="P32" s="22">
        <f>453+80+11+2</f>
        <v>546</v>
      </c>
      <c r="Q32" s="100"/>
      <c r="R32" s="85"/>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45280</v>
      </c>
      <c r="B33" s="87" t="s">
        <v>37</v>
      </c>
      <c r="C33" s="89">
        <v>1</v>
      </c>
      <c r="D33" s="91" t="s">
        <v>38</v>
      </c>
      <c r="E33" s="89">
        <v>84352</v>
      </c>
      <c r="F33" s="89" t="s">
        <v>49</v>
      </c>
      <c r="G33" s="93" t="s">
        <v>55</v>
      </c>
      <c r="H33" s="109" t="s">
        <v>39</v>
      </c>
      <c r="I33" s="90">
        <v>1050</v>
      </c>
      <c r="J33" s="170">
        <v>1053</v>
      </c>
      <c r="K33" s="43">
        <v>0</v>
      </c>
      <c r="L33" s="48">
        <v>0</v>
      </c>
      <c r="M33" s="20">
        <v>0</v>
      </c>
      <c r="N33" s="97">
        <f>O34/L34</f>
        <v>0.64230769230769236</v>
      </c>
      <c r="O33" s="21">
        <f t="shared" si="0"/>
        <v>0</v>
      </c>
      <c r="P33" s="27">
        <v>11</v>
      </c>
      <c r="Q33" s="99">
        <f>+L34-P34</f>
        <v>0</v>
      </c>
      <c r="R33" s="85"/>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171"/>
      <c r="K34" s="47">
        <f>320+108+237+109+43+100+35+68+20</f>
        <v>1040</v>
      </c>
      <c r="L34" s="46">
        <f>10+10+10+235+60+10+150+85+185+102+40+95+28+20</f>
        <v>1040</v>
      </c>
      <c r="M34" s="18">
        <f>75+30+45+42+80+30+8+40+13+9</f>
        <v>372</v>
      </c>
      <c r="N34" s="98"/>
      <c r="O34" s="19">
        <f t="shared" si="0"/>
        <v>668</v>
      </c>
      <c r="P34" s="22">
        <f>105+70+80+92+96+70+74+165+91+21+40+50+46+20+9+11</f>
        <v>1040</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45280</v>
      </c>
      <c r="B35" s="87" t="s">
        <v>37</v>
      </c>
      <c r="C35" s="89">
        <v>1</v>
      </c>
      <c r="D35" s="91" t="s">
        <v>38</v>
      </c>
      <c r="E35" s="89">
        <v>84352</v>
      </c>
      <c r="F35" s="89" t="s">
        <v>49</v>
      </c>
      <c r="G35" s="93" t="s">
        <v>55</v>
      </c>
      <c r="H35" s="109" t="s">
        <v>57</v>
      </c>
      <c r="I35" s="90">
        <v>525</v>
      </c>
      <c r="J35" s="90">
        <v>525</v>
      </c>
      <c r="K35" s="20">
        <v>0</v>
      </c>
      <c r="L35" s="20">
        <v>0</v>
      </c>
      <c r="M35" s="20">
        <v>0</v>
      </c>
      <c r="N35" s="97">
        <f>O36/L36</f>
        <v>0.65714285714285714</v>
      </c>
      <c r="O35" s="21">
        <f t="shared" si="0"/>
        <v>0</v>
      </c>
      <c r="P35" s="27">
        <v>50</v>
      </c>
      <c r="Q35" s="99">
        <f>+L36-P36</f>
        <v>0</v>
      </c>
      <c r="R35" s="85"/>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41">
        <f>70+50+122+102+35+75+71</f>
        <v>525</v>
      </c>
      <c r="L36" s="18">
        <f>20+60+162+37+125+50+71</f>
        <v>525</v>
      </c>
      <c r="M36" s="18">
        <f>9+30+22+7+65+16+31</f>
        <v>180</v>
      </c>
      <c r="N36" s="98"/>
      <c r="O36" s="19">
        <f t="shared" si="0"/>
        <v>345</v>
      </c>
      <c r="P36" s="22">
        <f>9+30+32+8+90+90+15+164+37+50</f>
        <v>525</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45280</v>
      </c>
      <c r="B37" s="87" t="s">
        <v>37</v>
      </c>
      <c r="C37" s="89">
        <v>1</v>
      </c>
      <c r="D37" s="91" t="s">
        <v>38</v>
      </c>
      <c r="E37" s="89">
        <v>84031</v>
      </c>
      <c r="F37" s="89" t="s">
        <v>49</v>
      </c>
      <c r="G37" s="93" t="s">
        <v>53</v>
      </c>
      <c r="H37" s="90" t="s">
        <v>57</v>
      </c>
      <c r="I37" s="90">
        <v>563</v>
      </c>
      <c r="J37" s="90">
        <v>563</v>
      </c>
      <c r="K37" s="43">
        <v>0</v>
      </c>
      <c r="L37" s="20">
        <v>0</v>
      </c>
      <c r="M37" s="20">
        <v>0</v>
      </c>
      <c r="N37" s="97">
        <f>O38/L38</f>
        <v>0.85343228200371057</v>
      </c>
      <c r="O37" s="21">
        <f t="shared" si="0"/>
        <v>0</v>
      </c>
      <c r="P37" s="27">
        <v>0</v>
      </c>
      <c r="Q37" s="99">
        <f>+L38-P38</f>
        <v>0</v>
      </c>
      <c r="R37" s="85" t="s">
        <v>86</v>
      </c>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516+20+3</f>
        <v>539</v>
      </c>
      <c r="L38" s="18">
        <f>516+20+3</f>
        <v>539</v>
      </c>
      <c r="M38" s="18">
        <f>74+2+3</f>
        <v>79</v>
      </c>
      <c r="N38" s="98"/>
      <c r="O38" s="19">
        <f t="shared" si="0"/>
        <v>460</v>
      </c>
      <c r="P38" s="22">
        <f>516+20+3</f>
        <v>539</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45280</v>
      </c>
      <c r="B39" s="87" t="s">
        <v>37</v>
      </c>
      <c r="C39" s="89">
        <v>1</v>
      </c>
      <c r="D39" s="91" t="s">
        <v>38</v>
      </c>
      <c r="E39" s="89">
        <v>84031</v>
      </c>
      <c r="F39" s="89" t="s">
        <v>49</v>
      </c>
      <c r="G39" s="93" t="s">
        <v>53</v>
      </c>
      <c r="H39" s="90" t="s">
        <v>39</v>
      </c>
      <c r="I39" s="90">
        <v>623</v>
      </c>
      <c r="J39" s="90">
        <v>623</v>
      </c>
      <c r="K39" s="20">
        <v>0</v>
      </c>
      <c r="L39" s="20">
        <v>0</v>
      </c>
      <c r="M39" s="20">
        <v>0</v>
      </c>
      <c r="N39" s="97">
        <f>O40/L40</f>
        <v>0.79710144927536231</v>
      </c>
      <c r="O39" s="21">
        <f t="shared" si="0"/>
        <v>0</v>
      </c>
      <c r="P39" s="27">
        <v>0</v>
      </c>
      <c r="Q39" s="99">
        <f>+L40-P40</f>
        <v>0</v>
      </c>
      <c r="R39" s="85" t="s">
        <v>86</v>
      </c>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574+9+30+5+3</f>
        <v>621</v>
      </c>
      <c r="L40" s="18">
        <f>574+9+30+5+3</f>
        <v>621</v>
      </c>
      <c r="M40" s="18">
        <f>109+9+5+3</f>
        <v>126</v>
      </c>
      <c r="N40" s="98"/>
      <c r="O40" s="19">
        <f t="shared" si="0"/>
        <v>495</v>
      </c>
      <c r="P40" s="22">
        <f>574+9+30+5+3</f>
        <v>621</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45280</v>
      </c>
      <c r="B41" s="87" t="s">
        <v>37</v>
      </c>
      <c r="C41" s="89">
        <v>1</v>
      </c>
      <c r="D41" s="91" t="s">
        <v>77</v>
      </c>
      <c r="E41" s="89">
        <v>20785</v>
      </c>
      <c r="F41" s="89" t="s">
        <v>76</v>
      </c>
      <c r="G41" s="93" t="s">
        <v>71</v>
      </c>
      <c r="H41" s="90" t="s">
        <v>70</v>
      </c>
      <c r="I41" s="90">
        <v>1475</v>
      </c>
      <c r="J41" s="90">
        <v>1475</v>
      </c>
      <c r="K41" s="20">
        <v>64</v>
      </c>
      <c r="L41" s="20">
        <v>64</v>
      </c>
      <c r="M41" s="20">
        <v>14</v>
      </c>
      <c r="N41" s="97">
        <f>O42/L42</f>
        <v>0.87830687830687826</v>
      </c>
      <c r="O41" s="21">
        <f t="shared" si="0"/>
        <v>50</v>
      </c>
      <c r="P41" s="27">
        <v>44</v>
      </c>
      <c r="Q41" s="99">
        <f>+L42-P42</f>
        <v>40</v>
      </c>
      <c r="R41" s="85"/>
      <c r="S41" s="96"/>
      <c r="T41" s="96"/>
      <c r="U41" s="96">
        <v>7</v>
      </c>
      <c r="V41" s="96"/>
      <c r="W41" s="96"/>
      <c r="X41" s="96">
        <v>1</v>
      </c>
      <c r="Y41" s="96"/>
      <c r="Z41" s="96"/>
      <c r="AA41" s="96"/>
      <c r="AB41" s="96"/>
      <c r="AC41" s="96">
        <v>2</v>
      </c>
      <c r="AD41" s="96">
        <v>8</v>
      </c>
      <c r="AE41" s="96">
        <v>10</v>
      </c>
      <c r="AF41" s="96">
        <v>6</v>
      </c>
      <c r="AG41" s="96">
        <v>8</v>
      </c>
      <c r="AH41" s="96">
        <v>1</v>
      </c>
      <c r="AI41" s="96"/>
      <c r="AJ41" s="96"/>
      <c r="AK41" s="96"/>
      <c r="AL41" s="96">
        <v>7</v>
      </c>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26+20+20+15+15+29+64</f>
        <v>189</v>
      </c>
      <c r="L42" s="18">
        <f>26+10+30+15+15+29+64</f>
        <v>189</v>
      </c>
      <c r="M42" s="18">
        <f>9+14</f>
        <v>23</v>
      </c>
      <c r="N42" s="98"/>
      <c r="O42" s="19">
        <f t="shared" si="0"/>
        <v>166</v>
      </c>
      <c r="P42" s="22">
        <f>10+10+6+5+20+15+14+16+9+44</f>
        <v>149</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s="17" customFormat="1" ht="15.75" customHeight="1">
      <c r="A43" s="108">
        <v>45280</v>
      </c>
      <c r="B43" s="87" t="s">
        <v>37</v>
      </c>
      <c r="C43" s="89">
        <v>1</v>
      </c>
      <c r="D43" s="91" t="s">
        <v>77</v>
      </c>
      <c r="E43" s="89">
        <v>20785</v>
      </c>
      <c r="F43" s="89" t="s">
        <v>76</v>
      </c>
      <c r="G43" s="93" t="s">
        <v>71</v>
      </c>
      <c r="H43" s="90" t="s">
        <v>75</v>
      </c>
      <c r="I43" s="90">
        <v>501</v>
      </c>
      <c r="J43" s="90">
        <v>501</v>
      </c>
      <c r="K43" s="20">
        <v>0</v>
      </c>
      <c r="L43" s="20">
        <v>0</v>
      </c>
      <c r="M43" s="20">
        <v>0</v>
      </c>
      <c r="N43" s="97">
        <f>O44/L44</f>
        <v>0.9358974358974359</v>
      </c>
      <c r="O43" s="21">
        <f t="shared" si="0"/>
        <v>0</v>
      </c>
      <c r="P43" s="27">
        <v>0</v>
      </c>
      <c r="Q43" s="99">
        <f>+L44-P44</f>
        <v>0</v>
      </c>
      <c r="R43" s="85"/>
      <c r="S43" s="96"/>
      <c r="T43" s="96"/>
      <c r="U43" s="96"/>
      <c r="V43" s="96"/>
      <c r="W43" s="96"/>
      <c r="X43" s="96"/>
      <c r="Y43" s="96"/>
      <c r="Z43" s="96"/>
      <c r="AA43" s="96"/>
      <c r="AB43" s="96"/>
      <c r="AC43" s="96"/>
      <c r="AD43" s="96"/>
      <c r="AE43" s="96"/>
      <c r="AF43" s="96"/>
      <c r="AG43" s="96"/>
      <c r="AH43" s="96"/>
      <c r="AI43" s="96"/>
      <c r="AJ43" s="96"/>
      <c r="AK43" s="96"/>
      <c r="AL43" s="96"/>
      <c r="AM43" s="103"/>
      <c r="AN43" s="103"/>
      <c r="AO43" s="103"/>
      <c r="AP43" s="103"/>
      <c r="AQ43" s="103"/>
      <c r="AR43" s="103"/>
      <c r="AS43" s="103"/>
      <c r="AT43" s="103"/>
      <c r="AU43" s="103"/>
      <c r="AV43" s="103"/>
      <c r="AW43" s="103"/>
      <c r="AX43" s="103"/>
      <c r="AY43" s="106"/>
      <c r="AZ43" s="106"/>
      <c r="BA43" s="106"/>
      <c r="BB43" s="106"/>
      <c r="BC43" s="106"/>
      <c r="BD43" s="106"/>
      <c r="BE43" s="103"/>
      <c r="BF43" s="104"/>
      <c r="BG43" s="104"/>
    </row>
    <row r="44" spans="1:59" s="17" customFormat="1" ht="15.75" customHeight="1">
      <c r="A44" s="85"/>
      <c r="B44" s="88"/>
      <c r="C44" s="90"/>
      <c r="D44" s="92"/>
      <c r="E44" s="90"/>
      <c r="F44" s="90"/>
      <c r="G44" s="94"/>
      <c r="H44" s="95"/>
      <c r="I44" s="95"/>
      <c r="J44" s="95"/>
      <c r="K44" s="22">
        <f>24+31+23</f>
        <v>78</v>
      </c>
      <c r="L44" s="18">
        <f>10+45+5+18</f>
        <v>78</v>
      </c>
      <c r="M44" s="18">
        <f>5</f>
        <v>5</v>
      </c>
      <c r="N44" s="98"/>
      <c r="O44" s="19">
        <f t="shared" si="0"/>
        <v>73</v>
      </c>
      <c r="P44" s="22">
        <f>5+15+58</f>
        <v>78</v>
      </c>
      <c r="Q44" s="100"/>
      <c r="R44" s="86"/>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7"/>
      <c r="AZ44" s="107"/>
      <c r="BA44" s="107"/>
      <c r="BB44" s="107"/>
      <c r="BC44" s="107"/>
      <c r="BD44" s="107"/>
      <c r="BE44" s="103"/>
      <c r="BF44" s="105"/>
      <c r="BG44" s="105"/>
    </row>
    <row r="45" spans="1:59" s="17" customFormat="1" ht="15.75" customHeight="1">
      <c r="A45" s="108">
        <v>45280</v>
      </c>
      <c r="B45" s="87" t="s">
        <v>37</v>
      </c>
      <c r="C45" s="89">
        <v>1</v>
      </c>
      <c r="D45" s="91" t="s">
        <v>77</v>
      </c>
      <c r="E45" s="89">
        <v>20785</v>
      </c>
      <c r="F45" s="89" t="s">
        <v>76</v>
      </c>
      <c r="G45" s="93" t="s">
        <v>71</v>
      </c>
      <c r="H45" s="90" t="s">
        <v>79</v>
      </c>
      <c r="I45" s="90">
        <v>826</v>
      </c>
      <c r="J45" s="90">
        <v>826</v>
      </c>
      <c r="K45" s="20">
        <v>77</v>
      </c>
      <c r="L45" s="20">
        <v>70</v>
      </c>
      <c r="M45" s="20">
        <v>10</v>
      </c>
      <c r="N45" s="97">
        <f>O46/L46</f>
        <v>0.86855670103092786</v>
      </c>
      <c r="O45" s="21">
        <f t="shared" si="0"/>
        <v>60</v>
      </c>
      <c r="P45" s="27">
        <v>30</v>
      </c>
      <c r="Q45" s="99">
        <f>+L46-P46</f>
        <v>107</v>
      </c>
      <c r="R45" s="85"/>
      <c r="S45" s="96"/>
      <c r="T45" s="96">
        <v>4</v>
      </c>
      <c r="U45" s="96"/>
      <c r="V45" s="96"/>
      <c r="W45" s="96"/>
      <c r="X45" s="96"/>
      <c r="Y45" s="96"/>
      <c r="Z45" s="96"/>
      <c r="AA45" s="96"/>
      <c r="AB45" s="96"/>
      <c r="AC45" s="96">
        <v>7</v>
      </c>
      <c r="AD45" s="96"/>
      <c r="AE45" s="96">
        <v>5</v>
      </c>
      <c r="AF45" s="96">
        <v>13</v>
      </c>
      <c r="AG45" s="96">
        <v>8</v>
      </c>
      <c r="AH45" s="96">
        <v>15</v>
      </c>
      <c r="AI45" s="96"/>
      <c r="AJ45" s="96">
        <v>5</v>
      </c>
      <c r="AK45" s="96"/>
      <c r="AL45" s="96">
        <v>3</v>
      </c>
      <c r="AM45" s="103"/>
      <c r="AN45" s="103"/>
      <c r="AO45" s="103"/>
      <c r="AP45" s="103"/>
      <c r="AQ45" s="103"/>
      <c r="AR45" s="103"/>
      <c r="AS45" s="103"/>
      <c r="AT45" s="103"/>
      <c r="AU45" s="103"/>
      <c r="AV45" s="103"/>
      <c r="AW45" s="103"/>
      <c r="AX45" s="103"/>
      <c r="AY45" s="106"/>
      <c r="AZ45" s="106"/>
      <c r="BA45" s="106"/>
      <c r="BB45" s="106"/>
      <c r="BC45" s="106"/>
      <c r="BD45" s="106"/>
      <c r="BE45" s="103"/>
      <c r="BF45" s="104"/>
      <c r="BG45" s="104"/>
    </row>
    <row r="46" spans="1:59" s="17" customFormat="1" ht="15.75" customHeight="1">
      <c r="A46" s="85"/>
      <c r="B46" s="88"/>
      <c r="C46" s="90"/>
      <c r="D46" s="92"/>
      <c r="E46" s="90"/>
      <c r="F46" s="90"/>
      <c r="G46" s="94"/>
      <c r="H46" s="95"/>
      <c r="I46" s="95"/>
      <c r="J46" s="95"/>
      <c r="K46" s="22">
        <f>8+32+48+44+34+38+20+74+44+77</f>
        <v>419</v>
      </c>
      <c r="L46" s="18">
        <f>7+30+45+50+45+47+50+44+70</f>
        <v>388</v>
      </c>
      <c r="M46" s="18">
        <f>3+10+5+10+8+5+10</f>
        <v>51</v>
      </c>
      <c r="N46" s="98"/>
      <c r="O46" s="19">
        <f t="shared" si="0"/>
        <v>337</v>
      </c>
      <c r="P46" s="22">
        <f>3+10+12+30+25+114+20+37+30</f>
        <v>281</v>
      </c>
      <c r="Q46" s="100"/>
      <c r="R46" s="86"/>
      <c r="S46" s="96"/>
      <c r="T46" s="96"/>
      <c r="U46" s="96"/>
      <c r="V46" s="96"/>
      <c r="W46" s="96"/>
      <c r="X46" s="96"/>
      <c r="Y46" s="96"/>
      <c r="Z46" s="96"/>
      <c r="AA46" s="96"/>
      <c r="AB46" s="96"/>
      <c r="AC46" s="96"/>
      <c r="AD46" s="96"/>
      <c r="AE46" s="96"/>
      <c r="AF46" s="96"/>
      <c r="AG46" s="96"/>
      <c r="AH46" s="96"/>
      <c r="AI46" s="96"/>
      <c r="AJ46" s="96"/>
      <c r="AK46" s="96"/>
      <c r="AL46" s="96"/>
      <c r="AM46" s="103"/>
      <c r="AN46" s="103"/>
      <c r="AO46" s="103"/>
      <c r="AP46" s="103"/>
      <c r="AQ46" s="103"/>
      <c r="AR46" s="103"/>
      <c r="AS46" s="103"/>
      <c r="AT46" s="103"/>
      <c r="AU46" s="103"/>
      <c r="AV46" s="103"/>
      <c r="AW46" s="103"/>
      <c r="AX46" s="103"/>
      <c r="AY46" s="107"/>
      <c r="AZ46" s="107"/>
      <c r="BA46" s="107"/>
      <c r="BB46" s="107"/>
      <c r="BC46" s="107"/>
      <c r="BD46" s="107"/>
      <c r="BE46" s="103"/>
      <c r="BF46" s="105"/>
      <c r="BG46" s="105"/>
    </row>
    <row r="47" spans="1:59" ht="24.75" customHeight="1">
      <c r="A47" s="111" t="s">
        <v>15</v>
      </c>
      <c r="B47" s="112"/>
      <c r="C47" s="112"/>
      <c r="D47" s="112"/>
      <c r="E47" s="112"/>
      <c r="F47" s="112"/>
      <c r="G47" s="112"/>
      <c r="H47" s="112"/>
      <c r="I47" s="113"/>
      <c r="J47" s="5">
        <f>SUM(J5:J46)</f>
        <v>26323</v>
      </c>
      <c r="K47" s="5">
        <f>+SUMPRODUCT(((MOD(ROW(K5:K46),2)=1)*(K5:K46)))</f>
        <v>1001</v>
      </c>
      <c r="L47" s="5">
        <f>+SUMPRODUCT(((MOD(ROW(L5:L46),2)=1)*(L5:L46)))</f>
        <v>1119</v>
      </c>
      <c r="M47" s="5">
        <f>+SUMPRODUCT(((MOD(ROW(M5:M46),2)=1)*(M5:M46)))</f>
        <v>325</v>
      </c>
      <c r="N47" s="23">
        <f>O47/L47</f>
        <v>0.70956210902591599</v>
      </c>
      <c r="O47" s="5">
        <f>+SUMPRODUCT(((MOD(ROW(O5:O46),2)=1)*(O5:O46)))</f>
        <v>794</v>
      </c>
      <c r="P47" s="5">
        <f>+SUMPRODUCT(((MOD(ROW(P5:P46),2)=1)*(P5:P46)))</f>
        <v>1477</v>
      </c>
      <c r="Q47" s="5">
        <f>+SUMPRODUCT(((MOD(ROW(Q5:Q46),2)=1)*(Q5:Q46)))</f>
        <v>1569</v>
      </c>
      <c r="R47" s="69"/>
      <c r="S47" s="68">
        <f t="shared" ref="S47:BG47" si="1">SUM(S5:S46)</f>
        <v>92</v>
      </c>
      <c r="T47" s="68">
        <f t="shared" si="1"/>
        <v>122</v>
      </c>
      <c r="U47" s="68">
        <f t="shared" si="1"/>
        <v>28</v>
      </c>
      <c r="V47" s="68">
        <f t="shared" si="1"/>
        <v>0</v>
      </c>
      <c r="W47" s="68">
        <f t="shared" si="1"/>
        <v>0</v>
      </c>
      <c r="X47" s="68">
        <f t="shared" si="1"/>
        <v>9</v>
      </c>
      <c r="Y47" s="5">
        <f t="shared" si="1"/>
        <v>2</v>
      </c>
      <c r="Z47" s="5">
        <f t="shared" si="1"/>
        <v>16</v>
      </c>
      <c r="AA47" s="5">
        <f t="shared" si="1"/>
        <v>0</v>
      </c>
      <c r="AB47" s="5">
        <f t="shared" si="1"/>
        <v>0</v>
      </c>
      <c r="AC47" s="5">
        <f t="shared" si="1"/>
        <v>114</v>
      </c>
      <c r="AD47" s="5">
        <f t="shared" si="1"/>
        <v>13</v>
      </c>
      <c r="AE47" s="5">
        <f t="shared" si="1"/>
        <v>42</v>
      </c>
      <c r="AF47" s="5">
        <f t="shared" si="1"/>
        <v>78</v>
      </c>
      <c r="AG47" s="5">
        <f t="shared" si="1"/>
        <v>80</v>
      </c>
      <c r="AH47" s="5">
        <f t="shared" si="1"/>
        <v>103</v>
      </c>
      <c r="AI47" s="5">
        <f t="shared" si="1"/>
        <v>0</v>
      </c>
      <c r="AJ47" s="5">
        <f t="shared" si="1"/>
        <v>5</v>
      </c>
      <c r="AK47" s="5">
        <f t="shared" si="1"/>
        <v>0</v>
      </c>
      <c r="AL47" s="5">
        <f t="shared" si="1"/>
        <v>90</v>
      </c>
      <c r="AM47" s="5">
        <f t="shared" si="1"/>
        <v>0</v>
      </c>
      <c r="AN47" s="5">
        <f t="shared" si="1"/>
        <v>0</v>
      </c>
      <c r="AO47" s="5">
        <f t="shared" si="1"/>
        <v>0</v>
      </c>
      <c r="AP47" s="5">
        <f t="shared" si="1"/>
        <v>0</v>
      </c>
      <c r="AQ47" s="5">
        <f t="shared" si="1"/>
        <v>0</v>
      </c>
      <c r="AR47" s="5">
        <f t="shared" si="1"/>
        <v>0</v>
      </c>
      <c r="AS47" s="5">
        <f t="shared" si="1"/>
        <v>0</v>
      </c>
      <c r="AT47" s="5">
        <f t="shared" si="1"/>
        <v>0</v>
      </c>
      <c r="AU47" s="5">
        <f t="shared" si="1"/>
        <v>0</v>
      </c>
      <c r="AV47" s="5">
        <f t="shared" si="1"/>
        <v>0</v>
      </c>
      <c r="AW47" s="5">
        <f t="shared" si="1"/>
        <v>0</v>
      </c>
      <c r="AX47" s="5">
        <f t="shared" si="1"/>
        <v>0</v>
      </c>
      <c r="AY47" s="5">
        <f t="shared" si="1"/>
        <v>0</v>
      </c>
      <c r="AZ47" s="5">
        <f t="shared" si="1"/>
        <v>0</v>
      </c>
      <c r="BA47" s="5">
        <f t="shared" si="1"/>
        <v>0</v>
      </c>
      <c r="BB47" s="5">
        <f t="shared" si="1"/>
        <v>0</v>
      </c>
      <c r="BC47" s="5">
        <f t="shared" si="1"/>
        <v>0</v>
      </c>
      <c r="BD47" s="5">
        <f t="shared" si="1"/>
        <v>0</v>
      </c>
      <c r="BE47" s="5">
        <f t="shared" si="1"/>
        <v>0</v>
      </c>
      <c r="BF47" s="5">
        <f t="shared" si="1"/>
        <v>0</v>
      </c>
      <c r="BG47" s="5">
        <f t="shared" si="1"/>
        <v>0</v>
      </c>
    </row>
    <row r="48" spans="1:59" s="17" customFormat="1" ht="15.75" hidden="1" customHeight="1">
      <c r="A48" s="108"/>
      <c r="B48" s="87"/>
      <c r="C48" s="89"/>
      <c r="D48" s="91"/>
      <c r="E48" s="91"/>
      <c r="F48" s="89"/>
      <c r="G48" s="93"/>
      <c r="H48" s="89"/>
      <c r="I48" s="89"/>
      <c r="J48" s="89"/>
      <c r="K48" s="20"/>
      <c r="L48" s="20"/>
      <c r="M48" s="20"/>
      <c r="N48" s="146"/>
      <c r="O48" s="21"/>
      <c r="P48" s="27"/>
      <c r="Q48" s="99"/>
      <c r="R48" s="175"/>
      <c r="S48" s="96"/>
      <c r="T48" s="96"/>
      <c r="U48" s="96"/>
      <c r="V48" s="96"/>
      <c r="W48" s="96"/>
      <c r="X48" s="96"/>
      <c r="Y48" s="149"/>
      <c r="Z48" s="149"/>
      <c r="AA48" s="149"/>
      <c r="AB48" s="149"/>
      <c r="AC48" s="149"/>
      <c r="AD48" s="149"/>
      <c r="AE48" s="149"/>
      <c r="AF48" s="149"/>
      <c r="AG48" s="149"/>
      <c r="AH48" s="149"/>
      <c r="AI48" s="149"/>
      <c r="AJ48" s="149"/>
      <c r="AK48" s="149"/>
      <c r="AL48" s="149"/>
      <c r="AM48" s="163"/>
      <c r="AN48" s="163"/>
      <c r="AO48" s="163"/>
      <c r="AP48" s="163"/>
      <c r="AQ48" s="163"/>
      <c r="AR48" s="163"/>
      <c r="AS48" s="163"/>
      <c r="AT48" s="163"/>
      <c r="AU48" s="163"/>
      <c r="AV48" s="163"/>
      <c r="AW48" s="163"/>
      <c r="AX48" s="163"/>
      <c r="AY48" s="167"/>
      <c r="AZ48" s="167"/>
      <c r="BA48" s="167"/>
      <c r="BB48" s="167"/>
      <c r="BC48" s="167"/>
      <c r="BD48" s="167"/>
      <c r="BE48" s="163"/>
      <c r="BF48" s="165"/>
      <c r="BG48" s="165"/>
    </row>
    <row r="49" spans="1:59" s="17" customFormat="1" ht="15.75" hidden="1" customHeight="1">
      <c r="A49" s="85"/>
      <c r="B49" s="88"/>
      <c r="C49" s="90"/>
      <c r="D49" s="92"/>
      <c r="E49" s="92"/>
      <c r="F49" s="90"/>
      <c r="G49" s="94"/>
      <c r="H49" s="90"/>
      <c r="I49" s="90"/>
      <c r="J49" s="90"/>
      <c r="K49" s="22"/>
      <c r="L49" s="18"/>
      <c r="M49" s="18"/>
      <c r="N49" s="147"/>
      <c r="O49" s="19"/>
      <c r="P49" s="22"/>
      <c r="Q49" s="100"/>
      <c r="R49" s="175"/>
      <c r="S49" s="96"/>
      <c r="T49" s="96"/>
      <c r="U49" s="96"/>
      <c r="V49" s="96"/>
      <c r="W49" s="96"/>
      <c r="X49" s="96"/>
      <c r="Y49" s="150"/>
      <c r="Z49" s="150"/>
      <c r="AA49" s="150"/>
      <c r="AB49" s="150"/>
      <c r="AC49" s="150"/>
      <c r="AD49" s="150"/>
      <c r="AE49" s="150"/>
      <c r="AF49" s="150"/>
      <c r="AG49" s="150"/>
      <c r="AH49" s="150"/>
      <c r="AI49" s="150"/>
      <c r="AJ49" s="150"/>
      <c r="AK49" s="150"/>
      <c r="AL49" s="150"/>
      <c r="AM49" s="164"/>
      <c r="AN49" s="164"/>
      <c r="AO49" s="164"/>
      <c r="AP49" s="164"/>
      <c r="AQ49" s="164"/>
      <c r="AR49" s="164"/>
      <c r="AS49" s="164"/>
      <c r="AT49" s="164"/>
      <c r="AU49" s="164"/>
      <c r="AV49" s="164"/>
      <c r="AW49" s="164"/>
      <c r="AX49" s="164"/>
      <c r="AY49" s="168"/>
      <c r="AZ49" s="168"/>
      <c r="BA49" s="168"/>
      <c r="BB49" s="168"/>
      <c r="BC49" s="168"/>
      <c r="BD49" s="168"/>
      <c r="BE49" s="164"/>
      <c r="BF49" s="166"/>
      <c r="BG49" s="166"/>
    </row>
    <row r="50" spans="1:59" s="17" customFormat="1" ht="15.75" hidden="1" customHeight="1">
      <c r="A50" s="154"/>
      <c r="B50" s="114"/>
      <c r="C50" s="116"/>
      <c r="D50" s="118"/>
      <c r="E50" s="116"/>
      <c r="F50" s="116"/>
      <c r="G50" s="120"/>
      <c r="H50" s="89"/>
      <c r="I50" s="89"/>
      <c r="J50" s="89"/>
      <c r="K50" s="20"/>
      <c r="L50" s="20"/>
      <c r="M50" s="20"/>
      <c r="N50" s="146"/>
      <c r="O50" s="21"/>
      <c r="P50" s="27"/>
      <c r="Q50" s="99"/>
      <c r="R50" s="174"/>
      <c r="S50" s="96"/>
      <c r="T50" s="96"/>
      <c r="U50" s="96"/>
      <c r="V50" s="96"/>
      <c r="W50" s="96"/>
      <c r="X50" s="96"/>
      <c r="Y50" s="149"/>
      <c r="Z50" s="149"/>
      <c r="AA50" s="149"/>
      <c r="AB50" s="149"/>
      <c r="AC50" s="149"/>
      <c r="AD50" s="149"/>
      <c r="AE50" s="149"/>
      <c r="AF50" s="149"/>
      <c r="AG50" s="149"/>
      <c r="AH50" s="149"/>
      <c r="AI50" s="149"/>
      <c r="AJ50" s="149"/>
      <c r="AK50" s="149"/>
      <c r="AL50" s="149"/>
      <c r="AM50" s="163"/>
      <c r="AN50" s="163"/>
      <c r="AO50" s="163"/>
      <c r="AP50" s="163"/>
      <c r="AQ50" s="163"/>
      <c r="AR50" s="163"/>
      <c r="AS50" s="163"/>
      <c r="AT50" s="163"/>
      <c r="AU50" s="163"/>
      <c r="AV50" s="163"/>
      <c r="AW50" s="163"/>
      <c r="AX50" s="163"/>
      <c r="AY50" s="167"/>
      <c r="AZ50" s="167"/>
      <c r="BA50" s="167"/>
      <c r="BB50" s="167"/>
      <c r="BC50" s="167"/>
      <c r="BD50" s="167"/>
      <c r="BE50" s="163"/>
      <c r="BF50" s="165"/>
      <c r="BG50" s="165"/>
    </row>
    <row r="51" spans="1:59" s="17" customFormat="1" ht="15.75" hidden="1" customHeight="1">
      <c r="A51" s="101"/>
      <c r="B51" s="115"/>
      <c r="C51" s="117"/>
      <c r="D51" s="119"/>
      <c r="E51" s="117"/>
      <c r="F51" s="117"/>
      <c r="G51" s="121"/>
      <c r="H51" s="90"/>
      <c r="I51" s="90"/>
      <c r="J51" s="90"/>
      <c r="K51" s="22"/>
      <c r="L51" s="18"/>
      <c r="M51" s="18"/>
      <c r="N51" s="147"/>
      <c r="O51" s="19"/>
      <c r="P51" s="22"/>
      <c r="Q51" s="100"/>
      <c r="R51" s="174"/>
      <c r="S51" s="96"/>
      <c r="T51" s="96"/>
      <c r="U51" s="96"/>
      <c r="V51" s="96"/>
      <c r="W51" s="96"/>
      <c r="X51" s="96"/>
      <c r="Y51" s="150"/>
      <c r="Z51" s="150"/>
      <c r="AA51" s="150"/>
      <c r="AB51" s="150"/>
      <c r="AC51" s="150"/>
      <c r="AD51" s="150"/>
      <c r="AE51" s="150"/>
      <c r="AF51" s="150"/>
      <c r="AG51" s="150"/>
      <c r="AH51" s="150"/>
      <c r="AI51" s="150"/>
      <c r="AJ51" s="150"/>
      <c r="AK51" s="150"/>
      <c r="AL51" s="150"/>
      <c r="AM51" s="164"/>
      <c r="AN51" s="164"/>
      <c r="AO51" s="164"/>
      <c r="AP51" s="164"/>
      <c r="AQ51" s="164"/>
      <c r="AR51" s="164"/>
      <c r="AS51" s="164"/>
      <c r="AT51" s="164"/>
      <c r="AU51" s="164"/>
      <c r="AV51" s="164"/>
      <c r="AW51" s="164"/>
      <c r="AX51" s="164"/>
      <c r="AY51" s="168"/>
      <c r="AZ51" s="168"/>
      <c r="BA51" s="168"/>
      <c r="BB51" s="168"/>
      <c r="BC51" s="168"/>
      <c r="BD51" s="168"/>
      <c r="BE51" s="164"/>
      <c r="BF51" s="166"/>
      <c r="BG51" s="166"/>
    </row>
    <row r="52" spans="1:59" s="17" customFormat="1" ht="15.75" hidden="1" customHeight="1">
      <c r="A52" s="154"/>
      <c r="B52" s="114"/>
      <c r="C52" s="116"/>
      <c r="D52" s="118"/>
      <c r="E52" s="116"/>
      <c r="F52" s="116"/>
      <c r="G52" s="120"/>
      <c r="H52" s="89"/>
      <c r="I52" s="89"/>
      <c r="J52" s="89"/>
      <c r="K52" s="20"/>
      <c r="L52" s="20"/>
      <c r="M52" s="20"/>
      <c r="N52" s="146"/>
      <c r="O52" s="21"/>
      <c r="P52" s="27"/>
      <c r="Q52" s="99"/>
      <c r="R52" s="174"/>
      <c r="S52" s="96"/>
      <c r="T52" s="96"/>
      <c r="U52" s="96"/>
      <c r="V52" s="96"/>
      <c r="W52" s="96"/>
      <c r="X52" s="96"/>
      <c r="Y52" s="149"/>
      <c r="Z52" s="149"/>
      <c r="AA52" s="149"/>
      <c r="AB52" s="149"/>
      <c r="AC52" s="149"/>
      <c r="AD52" s="149"/>
      <c r="AE52" s="149"/>
      <c r="AF52" s="149"/>
      <c r="AG52" s="149"/>
      <c r="AH52" s="149"/>
      <c r="AI52" s="149"/>
      <c r="AJ52" s="149"/>
      <c r="AK52" s="149"/>
      <c r="AL52" s="149"/>
      <c r="AM52" s="163"/>
      <c r="AN52" s="163"/>
      <c r="AO52" s="163"/>
      <c r="AP52" s="163"/>
      <c r="AQ52" s="163"/>
      <c r="AR52" s="163"/>
      <c r="AS52" s="163"/>
      <c r="AT52" s="163"/>
      <c r="AU52" s="163"/>
      <c r="AV52" s="163"/>
      <c r="AW52" s="163"/>
      <c r="AX52" s="163"/>
      <c r="AY52" s="167"/>
      <c r="AZ52" s="167"/>
      <c r="BA52" s="167"/>
      <c r="BB52" s="167"/>
      <c r="BC52" s="167"/>
      <c r="BD52" s="167"/>
      <c r="BE52" s="163"/>
      <c r="BF52" s="165"/>
      <c r="BG52" s="165"/>
    </row>
    <row r="53" spans="1:59" s="17" customFormat="1" ht="15.75" hidden="1" customHeight="1">
      <c r="A53" s="101"/>
      <c r="B53" s="115"/>
      <c r="C53" s="117"/>
      <c r="D53" s="119"/>
      <c r="E53" s="117"/>
      <c r="F53" s="117"/>
      <c r="G53" s="121"/>
      <c r="H53" s="90"/>
      <c r="I53" s="90"/>
      <c r="J53" s="90"/>
      <c r="K53" s="22"/>
      <c r="L53" s="18"/>
      <c r="M53" s="18"/>
      <c r="N53" s="147"/>
      <c r="O53" s="19"/>
      <c r="P53" s="22"/>
      <c r="Q53" s="100"/>
      <c r="R53" s="174"/>
      <c r="S53" s="96"/>
      <c r="T53" s="96"/>
      <c r="U53" s="96"/>
      <c r="V53" s="96"/>
      <c r="W53" s="96"/>
      <c r="X53" s="96"/>
      <c r="Y53" s="150"/>
      <c r="Z53" s="150"/>
      <c r="AA53" s="150"/>
      <c r="AB53" s="150"/>
      <c r="AC53" s="150"/>
      <c r="AD53" s="150"/>
      <c r="AE53" s="150"/>
      <c r="AF53" s="150"/>
      <c r="AG53" s="150"/>
      <c r="AH53" s="150"/>
      <c r="AI53" s="150"/>
      <c r="AJ53" s="150"/>
      <c r="AK53" s="150"/>
      <c r="AL53" s="150"/>
      <c r="AM53" s="164"/>
      <c r="AN53" s="164"/>
      <c r="AO53" s="164"/>
      <c r="AP53" s="164"/>
      <c r="AQ53" s="164"/>
      <c r="AR53" s="164"/>
      <c r="AS53" s="164"/>
      <c r="AT53" s="164"/>
      <c r="AU53" s="164"/>
      <c r="AV53" s="164"/>
      <c r="AW53" s="164"/>
      <c r="AX53" s="164"/>
      <c r="AY53" s="168"/>
      <c r="AZ53" s="168"/>
      <c r="BA53" s="168"/>
      <c r="BB53" s="168"/>
      <c r="BC53" s="168"/>
      <c r="BD53" s="168"/>
      <c r="BE53" s="164"/>
      <c r="BF53" s="166"/>
      <c r="BG53" s="166"/>
    </row>
    <row r="54" spans="1:59" ht="24.75" hidden="1" customHeight="1">
      <c r="A54" s="111" t="s">
        <v>46</v>
      </c>
      <c r="B54" s="112"/>
      <c r="C54" s="112"/>
      <c r="D54" s="112"/>
      <c r="E54" s="112"/>
      <c r="F54" s="112"/>
      <c r="G54" s="112"/>
      <c r="H54" s="112"/>
      <c r="I54" s="113"/>
      <c r="J54" s="5">
        <f>SUM(J48:J53)</f>
        <v>0</v>
      </c>
      <c r="K54" s="5">
        <f>+SUMPRODUCT(((MOD(ROW(K48:K53),2)=0)*(K48:K53)))</f>
        <v>0</v>
      </c>
      <c r="L54" s="5">
        <f>+SUMPRODUCT(((MOD(ROW(L48:L53),2)=0)*(L48:L53)))</f>
        <v>0</v>
      </c>
      <c r="M54" s="5">
        <f>+SUMPRODUCT(((MOD(ROW(M48:M53),2)=0)*(M48:M53)))</f>
        <v>0</v>
      </c>
      <c r="N54" s="23" t="e">
        <f>O54/L54</f>
        <v>#DIV/0!</v>
      </c>
      <c r="O54" s="5">
        <f>+SUMPRODUCT(((MOD(ROW(O48:O53),2)=0)*(O48:O53)))</f>
        <v>0</v>
      </c>
      <c r="P54" s="5">
        <f>+SUMPRODUCT(((MOD(ROW(P48:P53),2)=0)*(P48:P53)))</f>
        <v>0</v>
      </c>
      <c r="Q54" s="29">
        <f>SUM(Q48:Q53)</f>
        <v>0</v>
      </c>
      <c r="R54" s="69"/>
      <c r="S54" s="68">
        <f t="shared" ref="S54:BG54" si="2">SUM(S48:S53)</f>
        <v>0</v>
      </c>
      <c r="T54" s="68">
        <f t="shared" si="2"/>
        <v>0</v>
      </c>
      <c r="U54" s="68">
        <f t="shared" si="2"/>
        <v>0</v>
      </c>
      <c r="V54" s="68">
        <f t="shared" si="2"/>
        <v>0</v>
      </c>
      <c r="W54" s="68">
        <f t="shared" si="2"/>
        <v>0</v>
      </c>
      <c r="X54" s="68">
        <f t="shared" si="2"/>
        <v>0</v>
      </c>
      <c r="Y54" s="5">
        <f t="shared" si="2"/>
        <v>0</v>
      </c>
      <c r="Z54" s="5">
        <f t="shared" si="2"/>
        <v>0</v>
      </c>
      <c r="AA54" s="5">
        <f t="shared" si="2"/>
        <v>0</v>
      </c>
      <c r="AB54" s="5">
        <f t="shared" si="2"/>
        <v>0</v>
      </c>
      <c r="AC54" s="5">
        <f t="shared" si="2"/>
        <v>0</v>
      </c>
      <c r="AD54" s="5">
        <f t="shared" si="2"/>
        <v>0</v>
      </c>
      <c r="AE54" s="5">
        <f t="shared" si="2"/>
        <v>0</v>
      </c>
      <c r="AF54" s="5">
        <f t="shared" si="2"/>
        <v>0</v>
      </c>
      <c r="AG54" s="5">
        <f t="shared" si="2"/>
        <v>0</v>
      </c>
      <c r="AH54" s="5">
        <f t="shared" si="2"/>
        <v>0</v>
      </c>
      <c r="AI54" s="5">
        <f t="shared" si="2"/>
        <v>0</v>
      </c>
      <c r="AJ54" s="5">
        <f t="shared" si="2"/>
        <v>0</v>
      </c>
      <c r="AK54" s="5">
        <f t="shared" si="2"/>
        <v>0</v>
      </c>
      <c r="AL54" s="5">
        <f t="shared" si="2"/>
        <v>0</v>
      </c>
      <c r="AM54" s="5">
        <f t="shared" si="2"/>
        <v>0</v>
      </c>
      <c r="AN54" s="5">
        <f t="shared" si="2"/>
        <v>0</v>
      </c>
      <c r="AO54" s="5">
        <f t="shared" si="2"/>
        <v>0</v>
      </c>
      <c r="AP54" s="5">
        <f t="shared" si="2"/>
        <v>0</v>
      </c>
      <c r="AQ54" s="5">
        <f t="shared" si="2"/>
        <v>0</v>
      </c>
      <c r="AR54" s="5">
        <f t="shared" si="2"/>
        <v>0</v>
      </c>
      <c r="AS54" s="5">
        <f t="shared" si="2"/>
        <v>0</v>
      </c>
      <c r="AT54" s="5">
        <f t="shared" si="2"/>
        <v>0</v>
      </c>
      <c r="AU54" s="5">
        <f t="shared" si="2"/>
        <v>0</v>
      </c>
      <c r="AV54" s="5">
        <f t="shared" si="2"/>
        <v>0</v>
      </c>
      <c r="AW54" s="5">
        <f t="shared" si="2"/>
        <v>0</v>
      </c>
      <c r="AX54" s="5">
        <f t="shared" si="2"/>
        <v>0</v>
      </c>
      <c r="AY54" s="5">
        <f t="shared" si="2"/>
        <v>0</v>
      </c>
      <c r="AZ54" s="5">
        <f t="shared" si="2"/>
        <v>0</v>
      </c>
      <c r="BA54" s="5">
        <f t="shared" si="2"/>
        <v>0</v>
      </c>
      <c r="BB54" s="5">
        <f t="shared" si="2"/>
        <v>0</v>
      </c>
      <c r="BC54" s="5">
        <f t="shared" si="2"/>
        <v>0</v>
      </c>
      <c r="BD54" s="5">
        <f t="shared" si="2"/>
        <v>0</v>
      </c>
      <c r="BE54" s="5">
        <f t="shared" si="2"/>
        <v>0</v>
      </c>
      <c r="BF54" s="5">
        <f t="shared" si="2"/>
        <v>0</v>
      </c>
      <c r="BG54" s="5">
        <f t="shared" si="2"/>
        <v>0</v>
      </c>
    </row>
    <row r="55" spans="1:59" s="17" customFormat="1" ht="15.75" hidden="1" customHeight="1">
      <c r="A55" s="85"/>
      <c r="B55" s="87"/>
      <c r="C55" s="89"/>
      <c r="D55" s="91"/>
      <c r="E55" s="89"/>
      <c r="F55" s="89"/>
      <c r="G55" s="93"/>
      <c r="H55" s="90"/>
      <c r="I55" s="90"/>
      <c r="J55" s="90"/>
      <c r="K55" s="20"/>
      <c r="L55" s="20"/>
      <c r="M55" s="20"/>
      <c r="N55" s="97"/>
      <c r="O55" s="21"/>
      <c r="P55" s="27"/>
      <c r="Q55" s="99"/>
      <c r="R55" s="174"/>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86"/>
      <c r="B56" s="88"/>
      <c r="C56" s="90"/>
      <c r="D56" s="92"/>
      <c r="E56" s="90"/>
      <c r="F56" s="90"/>
      <c r="G56" s="94"/>
      <c r="H56" s="95"/>
      <c r="I56" s="95"/>
      <c r="J56" s="95"/>
      <c r="K56" s="22"/>
      <c r="L56" s="18"/>
      <c r="M56" s="18"/>
      <c r="N56" s="98"/>
      <c r="O56" s="19"/>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ref="O57:O64" si="3">L57-M57</f>
        <v>0</v>
      </c>
      <c r="P57" s="27"/>
      <c r="Q57" s="99">
        <f>+L58-P58</f>
        <v>0</v>
      </c>
      <c r="R57" s="174"/>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90"/>
      <c r="I59" s="90"/>
      <c r="J59" s="90"/>
      <c r="K59" s="20"/>
      <c r="L59" s="20"/>
      <c r="M59" s="20"/>
      <c r="N59" s="97" t="e">
        <f>O60/L60</f>
        <v>#DIV/0!</v>
      </c>
      <c r="O59" s="21">
        <f t="shared" si="3"/>
        <v>0</v>
      </c>
      <c r="P59" s="27"/>
      <c r="Q59" s="99">
        <f>+L60-P60</f>
        <v>0</v>
      </c>
      <c r="R59" s="174"/>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8"/>
      <c r="F61" s="116"/>
      <c r="G61" s="120"/>
      <c r="H61" s="90"/>
      <c r="I61" s="90"/>
      <c r="J61" s="90"/>
      <c r="K61" s="20"/>
      <c r="L61" s="20"/>
      <c r="M61" s="20"/>
      <c r="N61" s="97" t="e">
        <f>O62/L62</f>
        <v>#DIV/0!</v>
      </c>
      <c r="O61" s="21">
        <f t="shared" si="3"/>
        <v>0</v>
      </c>
      <c r="P61" s="27"/>
      <c r="Q61" s="99">
        <f>+L62-P62</f>
        <v>0</v>
      </c>
      <c r="R61" s="174"/>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9"/>
      <c r="F62" s="117"/>
      <c r="G62" s="121"/>
      <c r="H62" s="95"/>
      <c r="I62" s="95"/>
      <c r="J62" s="95"/>
      <c r="K62" s="22"/>
      <c r="L62" s="18"/>
      <c r="M62" s="18"/>
      <c r="N62" s="98"/>
      <c r="O62" s="19">
        <f t="shared" si="3"/>
        <v>0</v>
      </c>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s="17" customFormat="1" ht="15.75" hidden="1" customHeight="1">
      <c r="A63" s="101"/>
      <c r="B63" s="114"/>
      <c r="C63" s="116"/>
      <c r="D63" s="118"/>
      <c r="E63" s="118"/>
      <c r="F63" s="116"/>
      <c r="G63" s="120"/>
      <c r="H63" s="109"/>
      <c r="I63" s="90"/>
      <c r="J63" s="90"/>
      <c r="K63" s="20"/>
      <c r="L63" s="20"/>
      <c r="M63" s="20"/>
      <c r="N63" s="97" t="e">
        <f>O64/L64</f>
        <v>#DIV/0!</v>
      </c>
      <c r="O63" s="21">
        <f t="shared" si="3"/>
        <v>0</v>
      </c>
      <c r="P63" s="27"/>
      <c r="Q63" s="99">
        <f>+L64-P64</f>
        <v>0</v>
      </c>
      <c r="R63" s="174"/>
      <c r="S63" s="96"/>
      <c r="T63" s="96"/>
      <c r="U63" s="96"/>
      <c r="V63" s="96"/>
      <c r="W63" s="96"/>
      <c r="X63" s="96"/>
      <c r="Y63" s="96"/>
      <c r="Z63" s="96"/>
      <c r="AA63" s="96"/>
      <c r="AB63" s="96"/>
      <c r="AC63" s="96"/>
      <c r="AD63" s="96"/>
      <c r="AE63" s="96"/>
      <c r="AF63" s="96"/>
      <c r="AG63" s="96"/>
      <c r="AH63" s="96"/>
      <c r="AI63" s="96"/>
      <c r="AJ63" s="96"/>
      <c r="AK63" s="96"/>
      <c r="AL63" s="96"/>
      <c r="AM63" s="103"/>
      <c r="AN63" s="103"/>
      <c r="AO63" s="103"/>
      <c r="AP63" s="103"/>
      <c r="AQ63" s="103"/>
      <c r="AR63" s="103"/>
      <c r="AS63" s="103"/>
      <c r="AT63" s="103"/>
      <c r="AU63" s="103"/>
      <c r="AV63" s="103"/>
      <c r="AW63" s="103"/>
      <c r="AX63" s="103"/>
      <c r="AY63" s="106"/>
      <c r="AZ63" s="106"/>
      <c r="BA63" s="106"/>
      <c r="BB63" s="106"/>
      <c r="BC63" s="106"/>
      <c r="BD63" s="106"/>
      <c r="BE63" s="103"/>
      <c r="BF63" s="104"/>
      <c r="BG63" s="104"/>
    </row>
    <row r="64" spans="1:59" s="17" customFormat="1" ht="15.75" hidden="1" customHeight="1">
      <c r="A64" s="102"/>
      <c r="B64" s="115"/>
      <c r="C64" s="117"/>
      <c r="D64" s="119"/>
      <c r="E64" s="119"/>
      <c r="F64" s="117"/>
      <c r="G64" s="121"/>
      <c r="H64" s="95"/>
      <c r="I64" s="95"/>
      <c r="J64" s="95"/>
      <c r="K64" s="22"/>
      <c r="L64" s="18"/>
      <c r="M64" s="18"/>
      <c r="N64" s="98"/>
      <c r="O64" s="19">
        <f t="shared" si="3"/>
        <v>0</v>
      </c>
      <c r="P64" s="22"/>
      <c r="Q64" s="100"/>
      <c r="R64" s="102"/>
      <c r="S64" s="96"/>
      <c r="T64" s="96"/>
      <c r="U64" s="96"/>
      <c r="V64" s="96"/>
      <c r="W64" s="96"/>
      <c r="X64" s="96"/>
      <c r="Y64" s="96"/>
      <c r="Z64" s="96"/>
      <c r="AA64" s="96"/>
      <c r="AB64" s="96"/>
      <c r="AC64" s="96"/>
      <c r="AD64" s="96"/>
      <c r="AE64" s="96"/>
      <c r="AF64" s="96"/>
      <c r="AG64" s="96"/>
      <c r="AH64" s="96"/>
      <c r="AI64" s="96"/>
      <c r="AJ64" s="96"/>
      <c r="AK64" s="96"/>
      <c r="AL64" s="96"/>
      <c r="AM64" s="103"/>
      <c r="AN64" s="103"/>
      <c r="AO64" s="103"/>
      <c r="AP64" s="103"/>
      <c r="AQ64" s="103"/>
      <c r="AR64" s="103"/>
      <c r="AS64" s="103"/>
      <c r="AT64" s="103"/>
      <c r="AU64" s="103"/>
      <c r="AV64" s="103"/>
      <c r="AW64" s="103"/>
      <c r="AX64" s="103"/>
      <c r="AY64" s="107"/>
      <c r="AZ64" s="107"/>
      <c r="BA64" s="107"/>
      <c r="BB64" s="107"/>
      <c r="BC64" s="107"/>
      <c r="BD64" s="107"/>
      <c r="BE64" s="103"/>
      <c r="BF64" s="105"/>
      <c r="BG64" s="105"/>
    </row>
    <row r="65" spans="1:59" s="17" customFormat="1" ht="15.75" hidden="1" customHeight="1">
      <c r="A65" s="101"/>
      <c r="B65" s="114"/>
      <c r="C65" s="116"/>
      <c r="D65" s="118"/>
      <c r="E65" s="116"/>
      <c r="F65" s="116"/>
      <c r="G65" s="120"/>
      <c r="H65" s="90"/>
      <c r="I65" s="90"/>
      <c r="J65" s="90"/>
      <c r="K65" s="20"/>
      <c r="L65" s="20"/>
      <c r="M65" s="20"/>
      <c r="N65" s="97" t="e">
        <f>O66/L66</f>
        <v>#DIV/0!</v>
      </c>
      <c r="O65" s="21"/>
      <c r="P65" s="27"/>
      <c r="Q65" s="99"/>
      <c r="R65" s="174"/>
      <c r="S65" s="96"/>
      <c r="T65" s="96"/>
      <c r="U65" s="96"/>
      <c r="V65" s="96"/>
      <c r="W65" s="96"/>
      <c r="X65" s="96"/>
      <c r="Y65" s="96"/>
      <c r="Z65" s="96"/>
      <c r="AA65" s="96"/>
      <c r="AB65" s="96"/>
      <c r="AC65" s="96"/>
      <c r="AD65" s="96"/>
      <c r="AE65" s="96"/>
      <c r="AF65" s="96"/>
      <c r="AG65" s="96"/>
      <c r="AH65" s="96"/>
      <c r="AI65" s="96"/>
      <c r="AJ65" s="96"/>
      <c r="AK65" s="96"/>
      <c r="AL65" s="96"/>
      <c r="AM65" s="103"/>
      <c r="AN65" s="103"/>
      <c r="AO65" s="103"/>
      <c r="AP65" s="103"/>
      <c r="AQ65" s="103"/>
      <c r="AR65" s="103"/>
      <c r="AS65" s="103"/>
      <c r="AT65" s="103"/>
      <c r="AU65" s="103"/>
      <c r="AV65" s="103"/>
      <c r="AW65" s="103"/>
      <c r="AX65" s="103"/>
      <c r="AY65" s="106"/>
      <c r="AZ65" s="106"/>
      <c r="BA65" s="106"/>
      <c r="BB65" s="106"/>
      <c r="BC65" s="106"/>
      <c r="BD65" s="106"/>
      <c r="BE65" s="103"/>
      <c r="BF65" s="104"/>
      <c r="BG65" s="104"/>
    </row>
    <row r="66" spans="1:59" s="17" customFormat="1" ht="15.75" hidden="1" customHeight="1">
      <c r="A66" s="102"/>
      <c r="B66" s="115"/>
      <c r="C66" s="117"/>
      <c r="D66" s="119"/>
      <c r="E66" s="117"/>
      <c r="F66" s="117"/>
      <c r="G66" s="121"/>
      <c r="H66" s="95"/>
      <c r="I66" s="95"/>
      <c r="J66" s="95"/>
      <c r="K66" s="22"/>
      <c r="L66" s="18"/>
      <c r="M66" s="18"/>
      <c r="N66" s="98"/>
      <c r="O66" s="19"/>
      <c r="P66" s="22"/>
      <c r="Q66" s="100"/>
      <c r="R66" s="102"/>
      <c r="S66" s="96"/>
      <c r="T66" s="96"/>
      <c r="U66" s="96"/>
      <c r="V66" s="96"/>
      <c r="W66" s="96"/>
      <c r="X66" s="96"/>
      <c r="Y66" s="96"/>
      <c r="Z66" s="96"/>
      <c r="AA66" s="96"/>
      <c r="AB66" s="96"/>
      <c r="AC66" s="96"/>
      <c r="AD66" s="96"/>
      <c r="AE66" s="96"/>
      <c r="AF66" s="96"/>
      <c r="AG66" s="96"/>
      <c r="AH66" s="96"/>
      <c r="AI66" s="96"/>
      <c r="AJ66" s="96"/>
      <c r="AK66" s="96"/>
      <c r="AL66" s="96"/>
      <c r="AM66" s="103"/>
      <c r="AN66" s="103"/>
      <c r="AO66" s="103"/>
      <c r="AP66" s="103"/>
      <c r="AQ66" s="103"/>
      <c r="AR66" s="103"/>
      <c r="AS66" s="103"/>
      <c r="AT66" s="103"/>
      <c r="AU66" s="103"/>
      <c r="AV66" s="103"/>
      <c r="AW66" s="103"/>
      <c r="AX66" s="103"/>
      <c r="AY66" s="107"/>
      <c r="AZ66" s="107"/>
      <c r="BA66" s="107"/>
      <c r="BB66" s="107"/>
      <c r="BC66" s="107"/>
      <c r="BD66" s="107"/>
      <c r="BE66" s="103"/>
      <c r="BF66" s="105"/>
      <c r="BG66" s="105"/>
    </row>
    <row r="67" spans="1:59" ht="24.75" hidden="1" customHeight="1">
      <c r="A67" s="111" t="s">
        <v>74</v>
      </c>
      <c r="B67" s="112"/>
      <c r="C67" s="112"/>
      <c r="D67" s="112"/>
      <c r="E67" s="112"/>
      <c r="F67" s="112"/>
      <c r="G67" s="112"/>
      <c r="H67" s="112"/>
      <c r="I67" s="113"/>
      <c r="J67" s="5">
        <f>+SUMPRODUCT(((MOD(ROW(J55:J66),2)=1)*(J55:J66)))</f>
        <v>0</v>
      </c>
      <c r="K67" s="5">
        <f>+SUMPRODUCT(((MOD(ROW(K55:K66),2)=1)*(K55:K66)))</f>
        <v>0</v>
      </c>
      <c r="L67" s="5">
        <f>+SUMPRODUCT(((MOD(ROW(L55:L66),2)=1)*(L55:L66)))</f>
        <v>0</v>
      </c>
      <c r="M67" s="5">
        <f>+SUMPRODUCT(((MOD(ROW(M55:M66),2)=1)*(M55:M66)))</f>
        <v>0</v>
      </c>
      <c r="N67" s="23" t="e">
        <f>O67/L67</f>
        <v>#DIV/0!</v>
      </c>
      <c r="O67" s="5">
        <f>+SUMPRODUCT(((MOD(ROW(O55:O66),2)=1)*(O55:O66)))</f>
        <v>0</v>
      </c>
      <c r="P67" s="5">
        <f>+SUMPRODUCT(((MOD(ROW(P55:P66),2)=1)*(P55:P66)))</f>
        <v>0</v>
      </c>
      <c r="Q67" s="29">
        <f>SUM(Q55:Q66)</f>
        <v>0</v>
      </c>
      <c r="R67" s="69"/>
      <c r="S67" s="68">
        <f t="shared" ref="S67:BG67" si="4">SUM(S55:S66)</f>
        <v>0</v>
      </c>
      <c r="T67" s="68">
        <f t="shared" si="4"/>
        <v>0</v>
      </c>
      <c r="U67" s="68">
        <f t="shared" si="4"/>
        <v>0</v>
      </c>
      <c r="V67" s="68">
        <f t="shared" si="4"/>
        <v>0</v>
      </c>
      <c r="W67" s="68">
        <f t="shared" si="4"/>
        <v>0</v>
      </c>
      <c r="X67" s="68">
        <f t="shared" si="4"/>
        <v>0</v>
      </c>
      <c r="Y67" s="5">
        <f t="shared" si="4"/>
        <v>0</v>
      </c>
      <c r="Z67" s="5">
        <f t="shared" si="4"/>
        <v>0</v>
      </c>
      <c r="AA67" s="5">
        <f t="shared" si="4"/>
        <v>0</v>
      </c>
      <c r="AB67" s="5">
        <f t="shared" si="4"/>
        <v>0</v>
      </c>
      <c r="AC67" s="5">
        <f t="shared" si="4"/>
        <v>0</v>
      </c>
      <c r="AD67" s="5">
        <f t="shared" si="4"/>
        <v>0</v>
      </c>
      <c r="AE67" s="5">
        <f t="shared" si="4"/>
        <v>0</v>
      </c>
      <c r="AF67" s="5">
        <f t="shared" si="4"/>
        <v>0</v>
      </c>
      <c r="AG67" s="5">
        <f t="shared" si="4"/>
        <v>0</v>
      </c>
      <c r="AH67" s="5">
        <f t="shared" si="4"/>
        <v>0</v>
      </c>
      <c r="AI67" s="5">
        <f t="shared" si="4"/>
        <v>0</v>
      </c>
      <c r="AJ67" s="5">
        <f t="shared" si="4"/>
        <v>0</v>
      </c>
      <c r="AK67" s="5">
        <f t="shared" si="4"/>
        <v>0</v>
      </c>
      <c r="AL67" s="5">
        <f t="shared" si="4"/>
        <v>0</v>
      </c>
      <c r="AM67" s="5">
        <f t="shared" si="4"/>
        <v>0</v>
      </c>
      <c r="AN67" s="5">
        <f t="shared" si="4"/>
        <v>0</v>
      </c>
      <c r="AO67" s="5">
        <f t="shared" si="4"/>
        <v>0</v>
      </c>
      <c r="AP67" s="5">
        <f t="shared" si="4"/>
        <v>0</v>
      </c>
      <c r="AQ67" s="5">
        <f t="shared" si="4"/>
        <v>0</v>
      </c>
      <c r="AR67" s="5">
        <f t="shared" si="4"/>
        <v>0</v>
      </c>
      <c r="AS67" s="5">
        <f t="shared" si="4"/>
        <v>0</v>
      </c>
      <c r="AT67" s="5">
        <f t="shared" si="4"/>
        <v>0</v>
      </c>
      <c r="AU67" s="5">
        <f t="shared" si="4"/>
        <v>0</v>
      </c>
      <c r="AV67" s="5">
        <f t="shared" si="4"/>
        <v>0</v>
      </c>
      <c r="AW67" s="5">
        <f t="shared" si="4"/>
        <v>0</v>
      </c>
      <c r="AX67" s="5">
        <f t="shared" si="4"/>
        <v>0</v>
      </c>
      <c r="AY67" s="5">
        <f t="shared" si="4"/>
        <v>0</v>
      </c>
      <c r="AZ67" s="5">
        <f t="shared" si="4"/>
        <v>0</v>
      </c>
      <c r="BA67" s="5">
        <f t="shared" si="4"/>
        <v>0</v>
      </c>
      <c r="BB67" s="5">
        <f t="shared" si="4"/>
        <v>0</v>
      </c>
      <c r="BC67" s="5">
        <f t="shared" si="4"/>
        <v>0</v>
      </c>
      <c r="BD67" s="5">
        <f t="shared" si="4"/>
        <v>0</v>
      </c>
      <c r="BE67" s="5">
        <f t="shared" si="4"/>
        <v>0</v>
      </c>
      <c r="BF67" s="5">
        <f t="shared" si="4"/>
        <v>0</v>
      </c>
      <c r="BG67" s="5">
        <f t="shared" si="4"/>
        <v>0</v>
      </c>
    </row>
    <row r="68" spans="1:59" ht="24.75" customHeight="1">
      <c r="A68" s="122" t="s">
        <v>5</v>
      </c>
      <c r="B68" s="122"/>
      <c r="C68" s="122"/>
      <c r="D68" s="122"/>
      <c r="E68" s="122"/>
      <c r="F68" s="122"/>
      <c r="G68" s="122"/>
      <c r="H68" s="122"/>
      <c r="I68" s="122"/>
      <c r="J68" s="30">
        <f>J47+J67+J54</f>
        <v>26323</v>
      </c>
      <c r="K68" s="57">
        <f>K47+K54+K67</f>
        <v>1001</v>
      </c>
      <c r="L68" s="57">
        <f>L47+L54+L67</f>
        <v>1119</v>
      </c>
      <c r="M68" s="57">
        <f>M47+M54+M67</f>
        <v>325</v>
      </c>
      <c r="N68" s="32">
        <f>O68/L68</f>
        <v>0.70956210902591599</v>
      </c>
      <c r="O68" s="57">
        <f>O47+O54+O67</f>
        <v>794</v>
      </c>
      <c r="P68" s="57">
        <f>P47+P54+P67</f>
        <v>1477</v>
      </c>
      <c r="Q68" s="57">
        <f>Q47+Q54+Q67</f>
        <v>1569</v>
      </c>
      <c r="R68" s="57"/>
      <c r="S68" s="57">
        <f t="shared" ref="S68:BG68" si="5">S47+S54+S67</f>
        <v>92</v>
      </c>
      <c r="T68" s="57">
        <f t="shared" si="5"/>
        <v>122</v>
      </c>
      <c r="U68" s="57">
        <f t="shared" si="5"/>
        <v>28</v>
      </c>
      <c r="V68" s="57">
        <f t="shared" si="5"/>
        <v>0</v>
      </c>
      <c r="W68" s="57">
        <f t="shared" si="5"/>
        <v>0</v>
      </c>
      <c r="X68" s="57">
        <f t="shared" si="5"/>
        <v>9</v>
      </c>
      <c r="Y68" s="57">
        <f t="shared" si="5"/>
        <v>2</v>
      </c>
      <c r="Z68" s="57">
        <f t="shared" si="5"/>
        <v>16</v>
      </c>
      <c r="AA68" s="57">
        <f t="shared" si="5"/>
        <v>0</v>
      </c>
      <c r="AB68" s="57">
        <f t="shared" si="5"/>
        <v>0</v>
      </c>
      <c r="AC68" s="57">
        <f t="shared" si="5"/>
        <v>114</v>
      </c>
      <c r="AD68" s="57">
        <f t="shared" si="5"/>
        <v>13</v>
      </c>
      <c r="AE68" s="57">
        <f t="shared" si="5"/>
        <v>42</v>
      </c>
      <c r="AF68" s="57">
        <f t="shared" si="5"/>
        <v>78</v>
      </c>
      <c r="AG68" s="57">
        <f t="shared" si="5"/>
        <v>80</v>
      </c>
      <c r="AH68" s="57">
        <f t="shared" si="5"/>
        <v>103</v>
      </c>
      <c r="AI68" s="57">
        <f t="shared" si="5"/>
        <v>0</v>
      </c>
      <c r="AJ68" s="57">
        <f t="shared" si="5"/>
        <v>5</v>
      </c>
      <c r="AK68" s="57">
        <f t="shared" si="5"/>
        <v>0</v>
      </c>
      <c r="AL68" s="57">
        <f t="shared" si="5"/>
        <v>90</v>
      </c>
      <c r="AM68" s="57">
        <f t="shared" si="5"/>
        <v>0</v>
      </c>
      <c r="AN68" s="57">
        <f t="shared" si="5"/>
        <v>0</v>
      </c>
      <c r="AO68" s="57">
        <f t="shared" si="5"/>
        <v>0</v>
      </c>
      <c r="AP68" s="57">
        <f t="shared" si="5"/>
        <v>0</v>
      </c>
      <c r="AQ68" s="57">
        <f t="shared" si="5"/>
        <v>0</v>
      </c>
      <c r="AR68" s="57">
        <f t="shared" si="5"/>
        <v>0</v>
      </c>
      <c r="AS68" s="57">
        <f t="shared" si="5"/>
        <v>0</v>
      </c>
      <c r="AT68" s="57">
        <f t="shared" si="5"/>
        <v>0</v>
      </c>
      <c r="AU68" s="57">
        <f t="shared" si="5"/>
        <v>0</v>
      </c>
      <c r="AV68" s="57">
        <f t="shared" si="5"/>
        <v>0</v>
      </c>
      <c r="AW68" s="57">
        <f t="shared" si="5"/>
        <v>0</v>
      </c>
      <c r="AX68" s="57">
        <f t="shared" si="5"/>
        <v>0</v>
      </c>
      <c r="AY68" s="57">
        <f t="shared" si="5"/>
        <v>0</v>
      </c>
      <c r="AZ68" s="57">
        <f t="shared" si="5"/>
        <v>0</v>
      </c>
      <c r="BA68" s="57">
        <f t="shared" si="5"/>
        <v>0</v>
      </c>
      <c r="BB68" s="57">
        <f t="shared" si="5"/>
        <v>0</v>
      </c>
      <c r="BC68" s="57">
        <f t="shared" si="5"/>
        <v>0</v>
      </c>
      <c r="BD68" s="57">
        <f t="shared" si="5"/>
        <v>0</v>
      </c>
      <c r="BE68" s="57">
        <f t="shared" si="5"/>
        <v>0</v>
      </c>
      <c r="BF68" s="57">
        <f t="shared" si="5"/>
        <v>0</v>
      </c>
      <c r="BG68" s="57">
        <f t="shared" si="5"/>
        <v>0</v>
      </c>
    </row>
    <row r="69" spans="1:59" ht="31.8">
      <c r="A69" s="81" t="s">
        <v>36</v>
      </c>
      <c r="B69" s="81"/>
      <c r="C69" s="81"/>
      <c r="D69" s="81"/>
      <c r="E69" s="81"/>
      <c r="F69" s="81"/>
      <c r="G69" s="81"/>
      <c r="H69" s="81"/>
      <c r="I69" s="81"/>
      <c r="J69" s="81"/>
      <c r="K69" s="81"/>
      <c r="L69" s="81"/>
      <c r="M69" s="81"/>
      <c r="N69" s="81"/>
      <c r="O69" s="81"/>
      <c r="P69" s="24"/>
      <c r="Q69" s="24"/>
      <c r="R69" s="67"/>
      <c r="S69" s="67"/>
      <c r="T69" s="67"/>
      <c r="U69" s="176"/>
      <c r="V69" s="66"/>
      <c r="W69" s="65"/>
      <c r="AM69" s="34"/>
      <c r="AN69" s="34"/>
      <c r="AO69" s="34"/>
      <c r="AP69" s="34"/>
      <c r="AQ69" s="34"/>
      <c r="AR69" s="34"/>
      <c r="AS69" s="34"/>
      <c r="AT69" s="34"/>
      <c r="AU69" s="34"/>
      <c r="AV69" s="34"/>
      <c r="AW69" s="34"/>
      <c r="AX69" s="34"/>
      <c r="AY69" s="34"/>
      <c r="AZ69" s="34"/>
      <c r="BA69" s="34"/>
      <c r="BB69" s="34"/>
      <c r="BC69" s="34"/>
      <c r="BD69" s="34"/>
      <c r="BE69" s="34"/>
      <c r="BF69" s="34"/>
      <c r="BG69" s="34"/>
    </row>
    <row r="70" spans="1:59" ht="33.75" customHeight="1">
      <c r="A70" s="82" t="s">
        <v>13</v>
      </c>
      <c r="B70" s="82"/>
      <c r="C70" s="82"/>
      <c r="D70" s="82"/>
      <c r="E70" s="82"/>
      <c r="F70" s="82"/>
      <c r="G70" s="82"/>
      <c r="H70" s="82"/>
      <c r="I70" s="82"/>
      <c r="J70" s="82"/>
      <c r="K70" s="82"/>
      <c r="L70" s="82"/>
      <c r="M70" s="82"/>
      <c r="N70" s="82"/>
      <c r="O70" s="82"/>
      <c r="R70" s="64"/>
      <c r="S70" s="64"/>
      <c r="T70" s="64"/>
      <c r="U70" s="176"/>
      <c r="V70" s="63"/>
      <c r="W70" s="62"/>
      <c r="AM70" s="34"/>
      <c r="AN70" s="34"/>
      <c r="AO70" s="34"/>
      <c r="AP70" s="34"/>
      <c r="AQ70" s="34"/>
      <c r="AR70" s="34"/>
      <c r="AS70" s="34"/>
      <c r="AT70" s="34"/>
      <c r="AU70" s="34"/>
      <c r="AV70" s="34"/>
      <c r="AW70" s="34"/>
      <c r="AX70" s="34"/>
      <c r="AY70" s="34"/>
      <c r="AZ70" s="34"/>
      <c r="BA70" s="34"/>
      <c r="BB70" s="34"/>
      <c r="BC70" s="34"/>
      <c r="BD70" s="34"/>
      <c r="BE70" s="34"/>
      <c r="BF70" s="34"/>
      <c r="BG70" s="34"/>
    </row>
    <row r="71" spans="1:59" ht="62.4">
      <c r="A71" s="9" t="s">
        <v>0</v>
      </c>
      <c r="B71" s="10" t="s">
        <v>34</v>
      </c>
      <c r="C71" s="11" t="s">
        <v>7</v>
      </c>
      <c r="D71" s="12" t="s">
        <v>1</v>
      </c>
      <c r="E71" s="13" t="s">
        <v>4</v>
      </c>
      <c r="F71" s="13" t="s">
        <v>2</v>
      </c>
      <c r="G71" s="13" t="s">
        <v>3</v>
      </c>
      <c r="H71" s="11" t="s">
        <v>6</v>
      </c>
      <c r="I71" s="14" t="s">
        <v>8</v>
      </c>
      <c r="J71" s="14" t="s">
        <v>17</v>
      </c>
      <c r="K71" s="12" t="s">
        <v>9</v>
      </c>
      <c r="L71" s="15" t="s">
        <v>10</v>
      </c>
      <c r="M71" s="15" t="s">
        <v>11</v>
      </c>
      <c r="N71" s="15" t="s">
        <v>12</v>
      </c>
      <c r="O71" s="15" t="s">
        <v>14</v>
      </c>
      <c r="P71" s="26" t="s">
        <v>16</v>
      </c>
      <c r="Q71" s="15" t="s">
        <v>42</v>
      </c>
      <c r="R71" s="15" t="s">
        <v>44</v>
      </c>
      <c r="S71" s="83">
        <v>101</v>
      </c>
      <c r="T71" s="83">
        <v>102</v>
      </c>
      <c r="U71" s="80">
        <v>106</v>
      </c>
      <c r="V71" s="80">
        <v>108</v>
      </c>
      <c r="W71" s="80">
        <v>109</v>
      </c>
      <c r="X71" s="80">
        <v>113</v>
      </c>
      <c r="Y71" s="80">
        <v>114</v>
      </c>
      <c r="Z71" s="80">
        <v>115</v>
      </c>
      <c r="AA71" s="80">
        <v>116</v>
      </c>
      <c r="AB71" s="80">
        <v>199</v>
      </c>
      <c r="AC71" s="80">
        <v>201</v>
      </c>
      <c r="AD71" s="80">
        <v>202</v>
      </c>
      <c r="AE71" s="80">
        <v>203</v>
      </c>
      <c r="AF71" s="80">
        <v>205</v>
      </c>
      <c r="AG71" s="80">
        <v>206</v>
      </c>
      <c r="AH71" s="79">
        <v>209</v>
      </c>
      <c r="AI71" s="79">
        <v>212</v>
      </c>
      <c r="AJ71" s="79">
        <v>216</v>
      </c>
      <c r="AK71" s="79">
        <v>217</v>
      </c>
      <c r="AL71" s="79">
        <v>299</v>
      </c>
      <c r="AM71" s="79">
        <v>301</v>
      </c>
      <c r="AN71" s="79">
        <v>302</v>
      </c>
      <c r="AO71" s="79">
        <v>399</v>
      </c>
      <c r="AP71" s="79">
        <v>401</v>
      </c>
      <c r="AQ71" s="79">
        <v>402</v>
      </c>
      <c r="AR71" s="79">
        <v>411</v>
      </c>
      <c r="AS71" s="79">
        <v>412</v>
      </c>
      <c r="AT71" s="79">
        <v>413</v>
      </c>
      <c r="AU71" s="79">
        <v>499</v>
      </c>
      <c r="AV71" s="79">
        <v>501</v>
      </c>
      <c r="AW71" s="79">
        <v>502</v>
      </c>
      <c r="AX71" s="79">
        <v>599</v>
      </c>
      <c r="AY71" s="79">
        <v>604</v>
      </c>
      <c r="AZ71" s="79">
        <v>605</v>
      </c>
      <c r="BA71" s="79">
        <v>699</v>
      </c>
      <c r="BB71" s="79">
        <v>701</v>
      </c>
      <c r="BC71" s="79">
        <v>702</v>
      </c>
      <c r="BD71" s="79">
        <v>703</v>
      </c>
      <c r="BE71" s="79">
        <v>704</v>
      </c>
      <c r="BF71" s="79">
        <v>799</v>
      </c>
      <c r="BG71" s="84">
        <v>999</v>
      </c>
    </row>
    <row r="72" spans="1:59" ht="62.25" customHeight="1">
      <c r="A72" s="10" t="s">
        <v>18</v>
      </c>
      <c r="B72" s="10" t="s">
        <v>19</v>
      </c>
      <c r="C72" s="13" t="s">
        <v>20</v>
      </c>
      <c r="D72" s="12" t="s">
        <v>21</v>
      </c>
      <c r="E72" s="13" t="s">
        <v>22</v>
      </c>
      <c r="F72" s="13" t="s">
        <v>23</v>
      </c>
      <c r="G72" s="13" t="s">
        <v>25</v>
      </c>
      <c r="H72" s="13" t="s">
        <v>24</v>
      </c>
      <c r="I72" s="14" t="s">
        <v>26</v>
      </c>
      <c r="J72" s="14" t="s">
        <v>27</v>
      </c>
      <c r="K72" s="15" t="s">
        <v>28</v>
      </c>
      <c r="L72" s="15" t="s">
        <v>29</v>
      </c>
      <c r="M72" s="15" t="s">
        <v>30</v>
      </c>
      <c r="N72" s="15" t="s">
        <v>32</v>
      </c>
      <c r="O72" s="15" t="s">
        <v>31</v>
      </c>
      <c r="P72" s="26" t="s">
        <v>33</v>
      </c>
      <c r="Q72" s="15" t="s">
        <v>43</v>
      </c>
      <c r="R72" s="15" t="s">
        <v>45</v>
      </c>
      <c r="S72" s="83"/>
      <c r="T72" s="83"/>
      <c r="U72" s="80"/>
      <c r="V72" s="80"/>
      <c r="W72" s="80"/>
      <c r="X72" s="80"/>
      <c r="Y72" s="80"/>
      <c r="Z72" s="80"/>
      <c r="AA72" s="80"/>
      <c r="AB72" s="80"/>
      <c r="AC72" s="80"/>
      <c r="AD72" s="80"/>
      <c r="AE72" s="80"/>
      <c r="AF72" s="80"/>
      <c r="AG72" s="80"/>
      <c r="AH72" s="79"/>
      <c r="AI72" s="79"/>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84"/>
    </row>
    <row r="73" spans="1:59" s="17" customFormat="1" ht="15.75" hidden="1" customHeight="1">
      <c r="A73" s="108"/>
      <c r="B73" s="87"/>
      <c r="C73" s="89"/>
      <c r="D73" s="91"/>
      <c r="E73" s="89"/>
      <c r="F73" s="89"/>
      <c r="G73" s="93"/>
      <c r="H73" s="89"/>
      <c r="I73" s="89"/>
      <c r="J73" s="89"/>
      <c r="K73" s="20"/>
      <c r="L73" s="20"/>
      <c r="M73" s="20"/>
      <c r="N73" s="146" t="e">
        <f>O74/L74</f>
        <v>#DIV/0!</v>
      </c>
      <c r="O73" s="21">
        <f t="shared" ref="O73:O78" si="6">L73-M73</f>
        <v>0</v>
      </c>
      <c r="P73" s="27"/>
      <c r="Q73" s="99">
        <f>+L74-P74</f>
        <v>0</v>
      </c>
      <c r="R73" s="108"/>
      <c r="S73" s="149"/>
      <c r="T73" s="149"/>
      <c r="U73" s="149"/>
      <c r="V73" s="149"/>
      <c r="W73" s="149"/>
      <c r="X73" s="149"/>
      <c r="Y73" s="149"/>
      <c r="Z73" s="149"/>
      <c r="AA73" s="149"/>
      <c r="AB73" s="149"/>
      <c r="AC73" s="149"/>
      <c r="AD73" s="149"/>
      <c r="AE73" s="149"/>
      <c r="AF73" s="149"/>
      <c r="AG73" s="149"/>
      <c r="AH73" s="149"/>
      <c r="AI73" s="149"/>
      <c r="AJ73" s="149"/>
      <c r="AK73" s="149"/>
      <c r="AL73" s="149"/>
      <c r="AM73" s="163"/>
      <c r="AN73" s="163"/>
      <c r="AO73" s="163"/>
      <c r="AP73" s="163"/>
      <c r="AQ73" s="163"/>
      <c r="AR73" s="163"/>
      <c r="AS73" s="163"/>
      <c r="AT73" s="163"/>
      <c r="AU73" s="163"/>
      <c r="AV73" s="163"/>
      <c r="AW73" s="163"/>
      <c r="AX73" s="163"/>
      <c r="AY73" s="167"/>
      <c r="AZ73" s="167"/>
      <c r="BA73" s="167"/>
      <c r="BB73" s="167"/>
      <c r="BC73" s="167"/>
      <c r="BD73" s="161"/>
      <c r="BE73" s="163"/>
      <c r="BF73" s="165"/>
      <c r="BG73" s="165"/>
    </row>
    <row r="74" spans="1:59" s="17" customFormat="1" ht="15.75" hidden="1" customHeight="1">
      <c r="A74" s="85"/>
      <c r="B74" s="88"/>
      <c r="C74" s="90"/>
      <c r="D74" s="92"/>
      <c r="E74" s="90"/>
      <c r="F74" s="90"/>
      <c r="G74" s="94"/>
      <c r="H74" s="90"/>
      <c r="I74" s="90"/>
      <c r="J74" s="90"/>
      <c r="K74" s="22"/>
      <c r="L74" s="18"/>
      <c r="M74" s="18"/>
      <c r="N74" s="147"/>
      <c r="O74" s="19">
        <f t="shared" si="6"/>
        <v>0</v>
      </c>
      <c r="P74" s="22"/>
      <c r="Q74" s="100"/>
      <c r="R74" s="85"/>
      <c r="S74" s="150"/>
      <c r="T74" s="150"/>
      <c r="U74" s="150"/>
      <c r="V74" s="150"/>
      <c r="W74" s="150"/>
      <c r="X74" s="150"/>
      <c r="Y74" s="150"/>
      <c r="Z74" s="150"/>
      <c r="AA74" s="150"/>
      <c r="AB74" s="150"/>
      <c r="AC74" s="150"/>
      <c r="AD74" s="150"/>
      <c r="AE74" s="150"/>
      <c r="AF74" s="150"/>
      <c r="AG74" s="150"/>
      <c r="AH74" s="150"/>
      <c r="AI74" s="150"/>
      <c r="AJ74" s="150"/>
      <c r="AK74" s="150"/>
      <c r="AL74" s="150"/>
      <c r="AM74" s="164"/>
      <c r="AN74" s="164"/>
      <c r="AO74" s="164"/>
      <c r="AP74" s="164"/>
      <c r="AQ74" s="164"/>
      <c r="AR74" s="164"/>
      <c r="AS74" s="164"/>
      <c r="AT74" s="164"/>
      <c r="AU74" s="164"/>
      <c r="AV74" s="164"/>
      <c r="AW74" s="164"/>
      <c r="AX74" s="164"/>
      <c r="AY74" s="168"/>
      <c r="AZ74" s="168"/>
      <c r="BA74" s="168"/>
      <c r="BB74" s="168"/>
      <c r="BC74" s="168"/>
      <c r="BD74" s="162"/>
      <c r="BE74" s="164"/>
      <c r="BF74" s="166"/>
      <c r="BG74" s="166"/>
    </row>
    <row r="75" spans="1:59" s="17" customFormat="1" ht="18" customHeight="1">
      <c r="A75" s="108">
        <v>45280</v>
      </c>
      <c r="B75" s="138" t="s">
        <v>37</v>
      </c>
      <c r="C75" s="90" t="s">
        <v>56</v>
      </c>
      <c r="D75" s="91" t="s">
        <v>38</v>
      </c>
      <c r="E75" s="89">
        <v>84217</v>
      </c>
      <c r="F75" s="89" t="s">
        <v>49</v>
      </c>
      <c r="G75" s="137" t="s">
        <v>61</v>
      </c>
      <c r="H75" s="95" t="s">
        <v>39</v>
      </c>
      <c r="I75" s="90">
        <v>4497</v>
      </c>
      <c r="J75" s="90">
        <v>4097</v>
      </c>
      <c r="K75" s="20">
        <v>0</v>
      </c>
      <c r="L75" s="20">
        <v>0</v>
      </c>
      <c r="M75" s="20">
        <v>0</v>
      </c>
      <c r="N75" s="97">
        <f>O76/L76</f>
        <v>0.61288747864290949</v>
      </c>
      <c r="O75" s="21">
        <f t="shared" si="6"/>
        <v>0</v>
      </c>
      <c r="P75" s="27">
        <v>30</v>
      </c>
      <c r="Q75" s="99">
        <f>+L76-P76</f>
        <v>26</v>
      </c>
      <c r="R75" s="85"/>
      <c r="S75" s="96"/>
      <c r="T75" s="96"/>
      <c r="U75" s="96"/>
      <c r="V75" s="96"/>
      <c r="W75" s="96"/>
      <c r="X75" s="96"/>
      <c r="Y75" s="96"/>
      <c r="Z75" s="96"/>
      <c r="AA75" s="96"/>
      <c r="AB75" s="96"/>
      <c r="AC75" s="96"/>
      <c r="AD75" s="96"/>
      <c r="AE75" s="96"/>
      <c r="AF75" s="96"/>
      <c r="AG75" s="96"/>
      <c r="AH75" s="96"/>
      <c r="AI75" s="96"/>
      <c r="AJ75" s="96"/>
      <c r="AK75" s="96"/>
      <c r="AL75" s="96"/>
      <c r="AM75" s="103"/>
      <c r="AN75" s="103"/>
      <c r="AO75" s="103"/>
      <c r="AP75" s="103"/>
      <c r="AQ75" s="103"/>
      <c r="AR75" s="103"/>
      <c r="AS75" s="103"/>
      <c r="AT75" s="103"/>
      <c r="AU75" s="103"/>
      <c r="AV75" s="103"/>
      <c r="AW75" s="103"/>
      <c r="AX75" s="103"/>
      <c r="AY75" s="106"/>
      <c r="AZ75" s="106"/>
      <c r="BA75" s="106"/>
      <c r="BB75" s="106"/>
      <c r="BC75" s="106"/>
      <c r="BD75" s="106"/>
      <c r="BE75" s="103"/>
      <c r="BF75" s="104"/>
      <c r="BG75" s="104"/>
    </row>
    <row r="76" spans="1:59" s="17" customFormat="1" ht="17.25" customHeight="1">
      <c r="A76" s="85"/>
      <c r="B76" s="139"/>
      <c r="C76" s="95"/>
      <c r="D76" s="92"/>
      <c r="E76" s="90"/>
      <c r="F76" s="90"/>
      <c r="G76" s="95"/>
      <c r="H76" s="95"/>
      <c r="I76" s="95"/>
      <c r="J76" s="95"/>
      <c r="K76" s="18">
        <f>260+160+50+100+100+240+349+166+150+60+120+30+30+230+80+125+115+200+209+115+50+371+435+245+60+40+7</f>
        <v>4097</v>
      </c>
      <c r="L76" s="18">
        <f>260+160+50+100+140+100+240+150+60+370+60+150+75+245+185+200+450+375+390+290+40+7</f>
        <v>4097</v>
      </c>
      <c r="M76" s="18">
        <f>120+55+27+40+30+60+87+45+34+74+40+100+40+75+74+73+199+146+180+50+30+7</f>
        <v>1586</v>
      </c>
      <c r="N76" s="98"/>
      <c r="O76" s="19">
        <f t="shared" si="6"/>
        <v>2511</v>
      </c>
      <c r="P76" s="49">
        <f>170+70+15+112+30+30+83+50+100+127+218+53+42+60+34+200+66+100+130+190+144+20+151+307+424+312+340+441+22+30</f>
        <v>4071</v>
      </c>
      <c r="Q76" s="100"/>
      <c r="R76" s="86"/>
      <c r="S76" s="96"/>
      <c r="T76" s="96"/>
      <c r="U76" s="96"/>
      <c r="V76" s="96"/>
      <c r="W76" s="96"/>
      <c r="X76" s="96"/>
      <c r="Y76" s="96"/>
      <c r="Z76" s="96"/>
      <c r="AA76" s="96"/>
      <c r="AB76" s="96"/>
      <c r="AC76" s="96"/>
      <c r="AD76" s="96"/>
      <c r="AE76" s="96"/>
      <c r="AF76" s="96"/>
      <c r="AG76" s="96"/>
      <c r="AH76" s="96"/>
      <c r="AI76" s="96"/>
      <c r="AJ76" s="96"/>
      <c r="AK76" s="96"/>
      <c r="AL76" s="96"/>
      <c r="AM76" s="103"/>
      <c r="AN76" s="103"/>
      <c r="AO76" s="103"/>
      <c r="AP76" s="103"/>
      <c r="AQ76" s="103"/>
      <c r="AR76" s="103"/>
      <c r="AS76" s="103"/>
      <c r="AT76" s="103"/>
      <c r="AU76" s="103"/>
      <c r="AV76" s="103"/>
      <c r="AW76" s="103"/>
      <c r="AX76" s="103"/>
      <c r="AY76" s="107"/>
      <c r="AZ76" s="107"/>
      <c r="BA76" s="107"/>
      <c r="BB76" s="107"/>
      <c r="BC76" s="107"/>
      <c r="BD76" s="107"/>
      <c r="BE76" s="103"/>
      <c r="BF76" s="105"/>
      <c r="BG76" s="105"/>
    </row>
    <row r="77" spans="1:59" s="17" customFormat="1" ht="18" customHeight="1">
      <c r="A77" s="108">
        <v>45280</v>
      </c>
      <c r="B77" s="132" t="s">
        <v>37</v>
      </c>
      <c r="C77" s="117" t="s">
        <v>56</v>
      </c>
      <c r="D77" s="118" t="s">
        <v>38</v>
      </c>
      <c r="E77" s="116">
        <v>84217</v>
      </c>
      <c r="F77" s="116" t="s">
        <v>49</v>
      </c>
      <c r="G77" s="141" t="s">
        <v>63</v>
      </c>
      <c r="H77" s="95" t="s">
        <v>39</v>
      </c>
      <c r="I77" s="90">
        <v>4970</v>
      </c>
      <c r="J77" s="90">
        <v>2149</v>
      </c>
      <c r="K77" s="20">
        <v>50</v>
      </c>
      <c r="L77" s="20">
        <v>150</v>
      </c>
      <c r="M77" s="20">
        <f>14+50</f>
        <v>64</v>
      </c>
      <c r="N77" s="143">
        <f>O78/L78</f>
        <v>0.56571428571428573</v>
      </c>
      <c r="O77" s="21">
        <f t="shared" si="6"/>
        <v>86</v>
      </c>
      <c r="P77" s="60">
        <f>94+50</f>
        <v>144</v>
      </c>
      <c r="Q77" s="99">
        <f>+L78-P78</f>
        <v>118</v>
      </c>
      <c r="R77" s="101"/>
      <c r="S77" s="96"/>
      <c r="T77" s="96"/>
      <c r="U77" s="96">
        <v>26</v>
      </c>
      <c r="V77" s="96"/>
      <c r="W77" s="96"/>
      <c r="X77" s="96"/>
      <c r="Y77" s="96"/>
      <c r="Z77" s="96"/>
      <c r="AA77" s="96"/>
      <c r="AB77" s="96"/>
      <c r="AC77" s="140">
        <v>25</v>
      </c>
      <c r="AD77" s="96"/>
      <c r="AE77" s="96"/>
      <c r="AF77" s="96">
        <v>10</v>
      </c>
      <c r="AG77" s="96">
        <v>10</v>
      </c>
      <c r="AH77" s="96">
        <v>10</v>
      </c>
      <c r="AI77" s="96"/>
      <c r="AJ77" s="96"/>
      <c r="AK77" s="96"/>
      <c r="AL77" s="96">
        <v>5</v>
      </c>
      <c r="AM77" s="96"/>
      <c r="AN77" s="96"/>
      <c r="AO77" s="96"/>
      <c r="AP77" s="96"/>
      <c r="AQ77" s="96"/>
      <c r="AR77" s="96"/>
      <c r="AS77" s="96"/>
      <c r="AT77" s="96"/>
      <c r="AU77" s="96"/>
      <c r="AV77" s="96"/>
      <c r="AW77" s="96"/>
      <c r="AX77" s="96"/>
      <c r="AY77" s="124"/>
      <c r="AZ77" s="123"/>
      <c r="BA77" s="123"/>
      <c r="BB77" s="123"/>
      <c r="BC77" s="123"/>
      <c r="BD77" s="123"/>
      <c r="BE77" s="123"/>
      <c r="BF77" s="123"/>
      <c r="BG77" s="123"/>
    </row>
    <row r="78" spans="1:59" s="17" customFormat="1" ht="17.25" customHeight="1">
      <c r="A78" s="85"/>
      <c r="B78" s="145"/>
      <c r="C78" s="142"/>
      <c r="D78" s="119"/>
      <c r="E78" s="117"/>
      <c r="F78" s="117"/>
      <c r="G78" s="142"/>
      <c r="H78" s="95"/>
      <c r="I78" s="95"/>
      <c r="J78" s="95"/>
      <c r="K78" s="3">
        <f>300+50</f>
        <v>350</v>
      </c>
      <c r="L78" s="3">
        <f>200+150</f>
        <v>350</v>
      </c>
      <c r="M78" s="3">
        <f>88+64</f>
        <v>152</v>
      </c>
      <c r="N78" s="144"/>
      <c r="O78" s="7">
        <f t="shared" si="6"/>
        <v>198</v>
      </c>
      <c r="P78" s="22">
        <f>88+144</f>
        <v>232</v>
      </c>
      <c r="Q78" s="100"/>
      <c r="R78" s="102"/>
      <c r="S78" s="96"/>
      <c r="T78" s="96"/>
      <c r="U78" s="96"/>
      <c r="V78" s="96"/>
      <c r="W78" s="96"/>
      <c r="X78" s="96"/>
      <c r="Y78" s="96"/>
      <c r="Z78" s="96"/>
      <c r="AA78" s="96"/>
      <c r="AB78" s="96"/>
      <c r="AC78" s="140"/>
      <c r="AD78" s="96"/>
      <c r="AE78" s="96"/>
      <c r="AF78" s="96"/>
      <c r="AG78" s="96"/>
      <c r="AH78" s="96"/>
      <c r="AI78" s="96"/>
      <c r="AJ78" s="96"/>
      <c r="AK78" s="96"/>
      <c r="AL78" s="96"/>
      <c r="AM78" s="96"/>
      <c r="AN78" s="96"/>
      <c r="AO78" s="96"/>
      <c r="AP78" s="96"/>
      <c r="AQ78" s="96"/>
      <c r="AR78" s="96"/>
      <c r="AS78" s="96"/>
      <c r="AT78" s="96"/>
      <c r="AU78" s="96"/>
      <c r="AV78" s="96"/>
      <c r="AW78" s="96"/>
      <c r="AX78" s="96"/>
      <c r="AY78" s="124"/>
      <c r="AZ78" s="124"/>
      <c r="BA78" s="124"/>
      <c r="BB78" s="124"/>
      <c r="BC78" s="124"/>
      <c r="BD78" s="124"/>
      <c r="BE78" s="124"/>
      <c r="BF78" s="124"/>
      <c r="BG78" s="124"/>
    </row>
    <row r="79" spans="1:59" s="17" customFormat="1" ht="18" hidden="1" customHeight="1">
      <c r="A79" s="108"/>
      <c r="B79" s="132"/>
      <c r="C79" s="117"/>
      <c r="D79" s="118"/>
      <c r="E79" s="116"/>
      <c r="F79" s="116"/>
      <c r="G79" s="141"/>
      <c r="H79" s="95"/>
      <c r="I79" s="90"/>
      <c r="J79" s="90"/>
      <c r="K79" s="20"/>
      <c r="L79" s="20"/>
      <c r="M79" s="20"/>
      <c r="N79" s="143"/>
      <c r="O79" s="61"/>
      <c r="P79" s="60"/>
      <c r="Q79" s="172"/>
      <c r="R79" s="101"/>
      <c r="S79" s="96"/>
      <c r="T79" s="96"/>
      <c r="U79" s="96"/>
      <c r="V79" s="96"/>
      <c r="W79" s="96"/>
      <c r="X79" s="96"/>
      <c r="Y79" s="96"/>
      <c r="Z79" s="96"/>
      <c r="AA79" s="96"/>
      <c r="AB79" s="96"/>
      <c r="AC79" s="140"/>
      <c r="AD79" s="96"/>
      <c r="AE79" s="96"/>
      <c r="AF79" s="96"/>
      <c r="AG79" s="96"/>
      <c r="AH79" s="96"/>
      <c r="AI79" s="96"/>
      <c r="AJ79" s="96"/>
      <c r="AK79" s="96"/>
      <c r="AL79" s="96"/>
      <c r="AM79" s="96"/>
      <c r="AN79" s="96"/>
      <c r="AO79" s="96"/>
      <c r="AP79" s="96"/>
      <c r="AQ79" s="96"/>
      <c r="AR79" s="96"/>
      <c r="AS79" s="96"/>
      <c r="AT79" s="96"/>
      <c r="AU79" s="96"/>
      <c r="AV79" s="96"/>
      <c r="AW79" s="96"/>
      <c r="AX79" s="96"/>
      <c r="AY79" s="124"/>
      <c r="AZ79" s="123"/>
      <c r="BA79" s="123"/>
      <c r="BB79" s="123"/>
      <c r="BC79" s="123"/>
      <c r="BD79" s="123"/>
      <c r="BE79" s="123"/>
      <c r="BF79" s="123"/>
      <c r="BG79" s="123"/>
    </row>
    <row r="80" spans="1:59" s="17" customFormat="1" ht="17.25" hidden="1" customHeight="1">
      <c r="A80" s="85"/>
      <c r="B80" s="145"/>
      <c r="C80" s="142"/>
      <c r="D80" s="119"/>
      <c r="E80" s="117"/>
      <c r="F80" s="117"/>
      <c r="G80" s="142"/>
      <c r="H80" s="95"/>
      <c r="I80" s="95"/>
      <c r="J80" s="95"/>
      <c r="K80" s="3"/>
      <c r="L80" s="3"/>
      <c r="M80" s="3"/>
      <c r="N80" s="144"/>
      <c r="O80" s="59"/>
      <c r="P80" s="22"/>
      <c r="Q80" s="173"/>
      <c r="R80" s="102"/>
      <c r="S80" s="96"/>
      <c r="T80" s="96"/>
      <c r="U80" s="96"/>
      <c r="V80" s="96"/>
      <c r="W80" s="96"/>
      <c r="X80" s="96"/>
      <c r="Y80" s="96"/>
      <c r="Z80" s="96"/>
      <c r="AA80" s="96"/>
      <c r="AB80" s="96"/>
      <c r="AC80" s="140"/>
      <c r="AD80" s="96"/>
      <c r="AE80" s="96"/>
      <c r="AF80" s="96"/>
      <c r="AG80" s="96"/>
      <c r="AH80" s="96"/>
      <c r="AI80" s="96"/>
      <c r="AJ80" s="96"/>
      <c r="AK80" s="96"/>
      <c r="AL80" s="96"/>
      <c r="AM80" s="96"/>
      <c r="AN80" s="96"/>
      <c r="AO80" s="96"/>
      <c r="AP80" s="96"/>
      <c r="AQ80" s="96"/>
      <c r="AR80" s="96"/>
      <c r="AS80" s="96"/>
      <c r="AT80" s="96"/>
      <c r="AU80" s="96"/>
      <c r="AV80" s="96"/>
      <c r="AW80" s="96"/>
      <c r="AX80" s="96"/>
      <c r="AY80" s="124"/>
      <c r="AZ80" s="124"/>
      <c r="BA80" s="124"/>
      <c r="BB80" s="124"/>
      <c r="BC80" s="124"/>
      <c r="BD80" s="124"/>
      <c r="BE80" s="124"/>
      <c r="BF80" s="124"/>
      <c r="BG80" s="124"/>
    </row>
    <row r="81" spans="1:61" ht="24.75" customHeight="1">
      <c r="A81" s="111" t="s">
        <v>15</v>
      </c>
      <c r="B81" s="112"/>
      <c r="C81" s="112"/>
      <c r="D81" s="112"/>
      <c r="E81" s="112"/>
      <c r="F81" s="112"/>
      <c r="G81" s="112"/>
      <c r="H81" s="112"/>
      <c r="I81" s="113"/>
      <c r="J81" s="5">
        <f>SUM(J73:J80)</f>
        <v>6246</v>
      </c>
      <c r="K81" s="5">
        <f>+SUMPRODUCT(((MOD(ROW(K73:K80),2)=1)*(K73:K80)))</f>
        <v>50</v>
      </c>
      <c r="L81" s="5">
        <f>+SUMPRODUCT(((MOD(ROW(L73:L80),2)=1)*(L73:L80)))</f>
        <v>150</v>
      </c>
      <c r="M81" s="5">
        <f>+SUMPRODUCT(((MOD(ROW(M73:M80),2)=1)*(M73:M80)))</f>
        <v>64</v>
      </c>
      <c r="N81" s="23">
        <f>O81/L81</f>
        <v>0.57333333333333336</v>
      </c>
      <c r="O81" s="5">
        <f>+SUMPRODUCT(((MOD(ROW(O73:O80),2)=1)*(O73:O80)))</f>
        <v>86</v>
      </c>
      <c r="P81" s="5">
        <f>+SUMPRODUCT(((MOD(ROW(P73:P80),2)=1)*(P73:P80)))</f>
        <v>174</v>
      </c>
      <c r="Q81" s="5">
        <f>+SUMPRODUCT(((MOD(ROW(Q73:Q80),2)=1)*(Q73:Q80)))</f>
        <v>144</v>
      </c>
      <c r="R81" s="5"/>
      <c r="S81" s="5">
        <f t="shared" ref="S81:BG81" si="7">SUM(S73:S80)</f>
        <v>0</v>
      </c>
      <c r="T81" s="5">
        <f t="shared" si="7"/>
        <v>0</v>
      </c>
      <c r="U81" s="5">
        <f t="shared" si="7"/>
        <v>26</v>
      </c>
      <c r="V81" s="5">
        <f t="shared" si="7"/>
        <v>0</v>
      </c>
      <c r="W81" s="5">
        <f t="shared" si="7"/>
        <v>0</v>
      </c>
      <c r="X81" s="5">
        <f t="shared" si="7"/>
        <v>0</v>
      </c>
      <c r="Y81" s="5">
        <f t="shared" si="7"/>
        <v>0</v>
      </c>
      <c r="Z81" s="5">
        <f t="shared" si="7"/>
        <v>0</v>
      </c>
      <c r="AA81" s="5">
        <f t="shared" si="7"/>
        <v>0</v>
      </c>
      <c r="AB81" s="5">
        <f t="shared" si="7"/>
        <v>0</v>
      </c>
      <c r="AC81" s="5">
        <f t="shared" si="7"/>
        <v>25</v>
      </c>
      <c r="AD81" s="5">
        <f t="shared" si="7"/>
        <v>0</v>
      </c>
      <c r="AE81" s="5">
        <f t="shared" si="7"/>
        <v>0</v>
      </c>
      <c r="AF81" s="5">
        <f t="shared" si="7"/>
        <v>10</v>
      </c>
      <c r="AG81" s="5">
        <f t="shared" si="7"/>
        <v>10</v>
      </c>
      <c r="AH81" s="5">
        <f t="shared" si="7"/>
        <v>10</v>
      </c>
      <c r="AI81" s="5">
        <f t="shared" si="7"/>
        <v>0</v>
      </c>
      <c r="AJ81" s="5">
        <f t="shared" si="7"/>
        <v>0</v>
      </c>
      <c r="AK81" s="5">
        <f t="shared" si="7"/>
        <v>0</v>
      </c>
      <c r="AL81" s="5">
        <f t="shared" si="7"/>
        <v>5</v>
      </c>
      <c r="AM81" s="5">
        <f t="shared" si="7"/>
        <v>0</v>
      </c>
      <c r="AN81" s="5">
        <f t="shared" si="7"/>
        <v>0</v>
      </c>
      <c r="AO81" s="5">
        <f t="shared" si="7"/>
        <v>0</v>
      </c>
      <c r="AP81" s="5">
        <f t="shared" si="7"/>
        <v>0</v>
      </c>
      <c r="AQ81" s="5">
        <f t="shared" si="7"/>
        <v>0</v>
      </c>
      <c r="AR81" s="5">
        <f t="shared" si="7"/>
        <v>0</v>
      </c>
      <c r="AS81" s="5">
        <f t="shared" si="7"/>
        <v>0</v>
      </c>
      <c r="AT81" s="5">
        <f t="shared" si="7"/>
        <v>0</v>
      </c>
      <c r="AU81" s="5">
        <f t="shared" si="7"/>
        <v>0</v>
      </c>
      <c r="AV81" s="5">
        <f t="shared" si="7"/>
        <v>0</v>
      </c>
      <c r="AW81" s="5">
        <f t="shared" si="7"/>
        <v>0</v>
      </c>
      <c r="AX81" s="5">
        <f t="shared" si="7"/>
        <v>0</v>
      </c>
      <c r="AY81" s="5">
        <f t="shared" si="7"/>
        <v>0</v>
      </c>
      <c r="AZ81" s="5">
        <f t="shared" si="7"/>
        <v>0</v>
      </c>
      <c r="BA81" s="5">
        <f t="shared" si="7"/>
        <v>0</v>
      </c>
      <c r="BB81" s="5">
        <f t="shared" si="7"/>
        <v>0</v>
      </c>
      <c r="BC81" s="5">
        <f t="shared" si="7"/>
        <v>0</v>
      </c>
      <c r="BD81" s="5">
        <f t="shared" si="7"/>
        <v>0</v>
      </c>
      <c r="BE81" s="5">
        <f t="shared" si="7"/>
        <v>0</v>
      </c>
      <c r="BF81" s="5">
        <f t="shared" si="7"/>
        <v>0</v>
      </c>
      <c r="BG81" s="5">
        <f t="shared" si="7"/>
        <v>0</v>
      </c>
    </row>
    <row r="82" spans="1:61" s="17" customFormat="1" ht="15.75" hidden="1" customHeight="1">
      <c r="A82" s="101"/>
      <c r="B82" s="114"/>
      <c r="C82" s="116"/>
      <c r="D82" s="118"/>
      <c r="E82" s="116"/>
      <c r="F82" s="116"/>
      <c r="G82" s="120"/>
      <c r="H82" s="151"/>
      <c r="I82" s="89"/>
      <c r="J82" s="89"/>
      <c r="K82" s="20"/>
      <c r="L82" s="20"/>
      <c r="M82" s="20"/>
      <c r="N82" s="146"/>
      <c r="O82" s="21"/>
      <c r="P82" s="27"/>
      <c r="Q82" s="99"/>
      <c r="R82" s="148"/>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52"/>
      <c r="AZ82" s="152"/>
      <c r="BA82" s="152"/>
      <c r="BB82" s="152"/>
      <c r="BC82" s="152"/>
      <c r="BD82" s="152"/>
      <c r="BE82" s="149"/>
      <c r="BF82" s="152"/>
      <c r="BG82" s="152"/>
    </row>
    <row r="83" spans="1:61" s="17" customFormat="1" ht="15.75" hidden="1" customHeight="1">
      <c r="A83" s="102"/>
      <c r="B83" s="115"/>
      <c r="C83" s="117"/>
      <c r="D83" s="119"/>
      <c r="E83" s="117"/>
      <c r="F83" s="117"/>
      <c r="G83" s="121"/>
      <c r="H83" s="90"/>
      <c r="I83" s="90"/>
      <c r="J83" s="90"/>
      <c r="K83" s="22"/>
      <c r="L83" s="18"/>
      <c r="M83" s="18"/>
      <c r="N83" s="147"/>
      <c r="O83" s="19"/>
      <c r="P83" s="22"/>
      <c r="Q83" s="100"/>
      <c r="R83" s="101"/>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3"/>
      <c r="AZ83" s="153"/>
      <c r="BA83" s="153"/>
      <c r="BB83" s="153"/>
      <c r="BC83" s="153"/>
      <c r="BD83" s="153"/>
      <c r="BE83" s="150"/>
      <c r="BF83" s="153"/>
      <c r="BG83" s="153"/>
    </row>
    <row r="84" spans="1:61" s="17" customFormat="1" ht="15.75" hidden="1" customHeight="1">
      <c r="A84" s="101"/>
      <c r="B84" s="114"/>
      <c r="C84" s="116"/>
      <c r="D84" s="118"/>
      <c r="E84" s="116"/>
      <c r="F84" s="116"/>
      <c r="G84" s="120"/>
      <c r="H84" s="151"/>
      <c r="I84" s="89"/>
      <c r="J84" s="89"/>
      <c r="K84" s="20"/>
      <c r="L84" s="20"/>
      <c r="M84" s="20"/>
      <c r="N84" s="146"/>
      <c r="O84" s="21"/>
      <c r="P84" s="27"/>
      <c r="Q84" s="99"/>
      <c r="R84" s="148"/>
      <c r="S84" s="149"/>
      <c r="T84" s="149"/>
      <c r="U84" s="149"/>
      <c r="V84" s="149"/>
      <c r="W84" s="149"/>
      <c r="X84" s="149"/>
      <c r="Y84" s="149"/>
      <c r="Z84" s="149"/>
      <c r="AA84" s="149"/>
      <c r="AB84" s="149"/>
      <c r="AC84" s="149"/>
      <c r="AD84" s="149"/>
      <c r="AE84" s="149"/>
      <c r="AF84" s="149"/>
      <c r="AG84" s="149"/>
      <c r="AH84" s="149"/>
      <c r="AI84" s="149"/>
      <c r="AJ84" s="149"/>
      <c r="AK84" s="149"/>
      <c r="AL84" s="149"/>
      <c r="AM84" s="149"/>
      <c r="AN84" s="149"/>
      <c r="AO84" s="149"/>
      <c r="AP84" s="149"/>
      <c r="AQ84" s="149"/>
      <c r="AR84" s="149"/>
      <c r="AS84" s="149"/>
      <c r="AT84" s="149"/>
      <c r="AU84" s="149"/>
      <c r="AV84" s="149"/>
      <c r="AW84" s="149"/>
      <c r="AX84" s="149"/>
      <c r="AY84" s="152"/>
      <c r="AZ84" s="152"/>
      <c r="BA84" s="152"/>
      <c r="BB84" s="152"/>
      <c r="BC84" s="152"/>
      <c r="BD84" s="152"/>
      <c r="BE84" s="149"/>
      <c r="BF84" s="152"/>
      <c r="BG84" s="152"/>
    </row>
    <row r="85" spans="1:61" s="17" customFormat="1" ht="15.75" hidden="1" customHeight="1">
      <c r="A85" s="102"/>
      <c r="B85" s="115"/>
      <c r="C85" s="117"/>
      <c r="D85" s="119"/>
      <c r="E85" s="117"/>
      <c r="F85" s="117"/>
      <c r="G85" s="121"/>
      <c r="H85" s="90"/>
      <c r="I85" s="90"/>
      <c r="J85" s="90"/>
      <c r="K85" s="22"/>
      <c r="L85" s="18"/>
      <c r="M85" s="18"/>
      <c r="N85" s="147"/>
      <c r="O85" s="19"/>
      <c r="P85" s="22"/>
      <c r="Q85" s="100"/>
      <c r="R85" s="101"/>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3"/>
      <c r="AZ85" s="153"/>
      <c r="BA85" s="153"/>
      <c r="BB85" s="153"/>
      <c r="BC85" s="153"/>
      <c r="BD85" s="153"/>
      <c r="BE85" s="150"/>
      <c r="BF85" s="153"/>
      <c r="BG85" s="153"/>
    </row>
    <row r="86" spans="1:61" s="17" customFormat="1" ht="15.75" hidden="1" customHeight="1">
      <c r="A86" s="101"/>
      <c r="B86" s="114"/>
      <c r="C86" s="116"/>
      <c r="D86" s="118"/>
      <c r="E86" s="116"/>
      <c r="F86" s="116"/>
      <c r="G86" s="120"/>
      <c r="H86" s="109"/>
      <c r="I86" s="90"/>
      <c r="J86" s="90"/>
      <c r="K86" s="20"/>
      <c r="L86" s="20"/>
      <c r="M86" s="20"/>
      <c r="N86" s="97"/>
      <c r="O86" s="21"/>
      <c r="P86" s="27"/>
      <c r="Q86" s="99"/>
      <c r="R86" s="154"/>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1"/>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s="17" customFormat="1" ht="15.75" hidden="1" customHeight="1">
      <c r="A88" s="101"/>
      <c r="B88" s="114"/>
      <c r="C88" s="116"/>
      <c r="D88" s="118"/>
      <c r="E88" s="116"/>
      <c r="F88" s="116"/>
      <c r="G88" s="120"/>
      <c r="H88" s="109"/>
      <c r="I88" s="90"/>
      <c r="J88" s="90"/>
      <c r="K88" s="20"/>
      <c r="L88" s="20"/>
      <c r="M88" s="20"/>
      <c r="N88" s="97"/>
      <c r="O88" s="21"/>
      <c r="P88" s="27"/>
      <c r="Q88" s="99"/>
      <c r="R88" s="148"/>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5"/>
      <c r="AZ88" s="155"/>
      <c r="BA88" s="155"/>
      <c r="BB88" s="155"/>
      <c r="BC88" s="155"/>
      <c r="BD88" s="155"/>
      <c r="BE88" s="96"/>
      <c r="BF88" s="155"/>
      <c r="BG88" s="155"/>
    </row>
    <row r="89" spans="1:61" s="17" customFormat="1" ht="15.75" hidden="1" customHeight="1">
      <c r="A89" s="102"/>
      <c r="B89" s="115"/>
      <c r="C89" s="117"/>
      <c r="D89" s="119"/>
      <c r="E89" s="117"/>
      <c r="F89" s="117"/>
      <c r="G89" s="121"/>
      <c r="H89" s="95"/>
      <c r="I89" s="95"/>
      <c r="J89" s="95"/>
      <c r="K89" s="22"/>
      <c r="L89" s="18"/>
      <c r="M89" s="18"/>
      <c r="N89" s="98"/>
      <c r="O89" s="19"/>
      <c r="P89" s="22"/>
      <c r="Q89" s="100"/>
      <c r="R89" s="101"/>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6"/>
      <c r="AZ89" s="156"/>
      <c r="BA89" s="156"/>
      <c r="BB89" s="156"/>
      <c r="BC89" s="156"/>
      <c r="BD89" s="156"/>
      <c r="BE89" s="96"/>
      <c r="BF89" s="156"/>
      <c r="BG89" s="156"/>
    </row>
    <row r="90" spans="1:61" s="17" customFormat="1" ht="15.75" hidden="1" customHeight="1">
      <c r="A90" s="101">
        <v>45084</v>
      </c>
      <c r="B90" s="114" t="s">
        <v>37</v>
      </c>
      <c r="C90" s="116"/>
      <c r="D90" s="118"/>
      <c r="E90" s="116"/>
      <c r="F90" s="116"/>
      <c r="G90" s="120"/>
      <c r="H90" s="109"/>
      <c r="I90" s="90"/>
      <c r="J90" s="90"/>
      <c r="K90" s="20"/>
      <c r="L90" s="20"/>
      <c r="M90" s="20"/>
      <c r="N90" s="97" t="e">
        <f>O91/L91</f>
        <v>#DIV/0!</v>
      </c>
      <c r="O90" s="21"/>
      <c r="P90" s="27"/>
      <c r="Q90" s="99">
        <f>+L91-P91</f>
        <v>0</v>
      </c>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5"/>
      <c r="AZ90" s="155"/>
      <c r="BA90" s="155"/>
      <c r="BB90" s="155"/>
      <c r="BC90" s="155"/>
      <c r="BD90" s="155"/>
      <c r="BE90" s="96"/>
      <c r="BF90" s="155"/>
      <c r="BG90" s="155"/>
    </row>
    <row r="91" spans="1:61" s="17" customFormat="1" ht="15.75" hidden="1" customHeight="1">
      <c r="A91" s="102"/>
      <c r="B91" s="115"/>
      <c r="C91" s="117"/>
      <c r="D91" s="119"/>
      <c r="E91" s="117"/>
      <c r="F91" s="117"/>
      <c r="G91" s="121"/>
      <c r="H91" s="95"/>
      <c r="I91" s="95"/>
      <c r="J91" s="95"/>
      <c r="K91" s="22"/>
      <c r="L91" s="18"/>
      <c r="M91" s="18"/>
      <c r="N91" s="98"/>
      <c r="O91" s="19"/>
      <c r="P91" s="22"/>
      <c r="Q91" s="100"/>
      <c r="R91" s="102"/>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6"/>
      <c r="AZ91" s="156"/>
      <c r="BA91" s="156"/>
      <c r="BB91" s="156"/>
      <c r="BC91" s="156"/>
      <c r="BD91" s="156"/>
      <c r="BE91" s="96"/>
      <c r="BF91" s="156"/>
      <c r="BG91" s="156"/>
    </row>
    <row r="92" spans="1:61" ht="24.75" hidden="1" customHeight="1">
      <c r="A92" s="111" t="s">
        <v>40</v>
      </c>
      <c r="B92" s="112"/>
      <c r="C92" s="112"/>
      <c r="D92" s="112"/>
      <c r="E92" s="112"/>
      <c r="F92" s="112"/>
      <c r="G92" s="112"/>
      <c r="H92" s="112"/>
      <c r="I92" s="113"/>
      <c r="J92" s="5">
        <f>SUM(J82:J91)</f>
        <v>0</v>
      </c>
      <c r="K92" s="5">
        <f>+SUMPRODUCT(((MOD(ROW(K82:K89),2)=0)*(K82:K89)))</f>
        <v>0</v>
      </c>
      <c r="L92" s="5">
        <f>+SUMPRODUCT(((MOD(ROW(L82:L89),2)=0)*(L82:L89)))</f>
        <v>0</v>
      </c>
      <c r="M92" s="5">
        <f>+SUMPRODUCT(((MOD(ROW(M82:M89),2)=0)*(M82:M89)))</f>
        <v>0</v>
      </c>
      <c r="N92" s="6" t="e">
        <f>O92/L92</f>
        <v>#DIV/0!</v>
      </c>
      <c r="O92" s="5">
        <f>+SUMPRODUCT(((MOD(ROW(O82:O89),2)=0)*(O82:O89)))</f>
        <v>0</v>
      </c>
      <c r="P92" s="5">
        <f>+SUMPRODUCT(((MOD(ROW(P82:P89),2)=0)*(P82:P89)))</f>
        <v>0</v>
      </c>
      <c r="Q92" s="29">
        <f>SUM(Q82:Q91)</f>
        <v>0</v>
      </c>
      <c r="R92" s="29"/>
      <c r="S92" s="29">
        <f t="shared" ref="S92:BG92" si="8">SUM(S82:S91)</f>
        <v>0</v>
      </c>
      <c r="T92" s="29">
        <f t="shared" si="8"/>
        <v>0</v>
      </c>
      <c r="U92" s="29">
        <f t="shared" si="8"/>
        <v>0</v>
      </c>
      <c r="V92" s="29">
        <f t="shared" si="8"/>
        <v>0</v>
      </c>
      <c r="W92" s="29">
        <f t="shared" si="8"/>
        <v>0</v>
      </c>
      <c r="X92" s="29">
        <f t="shared" si="8"/>
        <v>0</v>
      </c>
      <c r="Y92" s="29">
        <f t="shared" si="8"/>
        <v>0</v>
      </c>
      <c r="Z92" s="29">
        <f t="shared" si="8"/>
        <v>0</v>
      </c>
      <c r="AA92" s="29">
        <f t="shared" si="8"/>
        <v>0</v>
      </c>
      <c r="AB92" s="29">
        <f t="shared" si="8"/>
        <v>0</v>
      </c>
      <c r="AC92" s="29">
        <f t="shared" si="8"/>
        <v>0</v>
      </c>
      <c r="AD92" s="29">
        <f t="shared" si="8"/>
        <v>0</v>
      </c>
      <c r="AE92" s="29">
        <f t="shared" si="8"/>
        <v>0</v>
      </c>
      <c r="AF92" s="29">
        <f t="shared" si="8"/>
        <v>0</v>
      </c>
      <c r="AG92" s="29">
        <f t="shared" si="8"/>
        <v>0</v>
      </c>
      <c r="AH92" s="29">
        <f t="shared" si="8"/>
        <v>0</v>
      </c>
      <c r="AI92" s="29">
        <f t="shared" si="8"/>
        <v>0</v>
      </c>
      <c r="AJ92" s="29">
        <f t="shared" si="8"/>
        <v>0</v>
      </c>
      <c r="AK92" s="29">
        <f t="shared" si="8"/>
        <v>0</v>
      </c>
      <c r="AL92" s="29">
        <f t="shared" si="8"/>
        <v>0</v>
      </c>
      <c r="AM92" s="29">
        <f t="shared" si="8"/>
        <v>0</v>
      </c>
      <c r="AN92" s="29">
        <f t="shared" si="8"/>
        <v>0</v>
      </c>
      <c r="AO92" s="29">
        <f t="shared" si="8"/>
        <v>0</v>
      </c>
      <c r="AP92" s="29">
        <f t="shared" si="8"/>
        <v>0</v>
      </c>
      <c r="AQ92" s="29">
        <f t="shared" si="8"/>
        <v>0</v>
      </c>
      <c r="AR92" s="29">
        <f t="shared" si="8"/>
        <v>0</v>
      </c>
      <c r="AS92" s="29">
        <f t="shared" si="8"/>
        <v>0</v>
      </c>
      <c r="AT92" s="29">
        <f t="shared" si="8"/>
        <v>0</v>
      </c>
      <c r="AU92" s="29">
        <f t="shared" si="8"/>
        <v>0</v>
      </c>
      <c r="AV92" s="29">
        <f t="shared" si="8"/>
        <v>0</v>
      </c>
      <c r="AW92" s="29">
        <f t="shared" si="8"/>
        <v>0</v>
      </c>
      <c r="AX92" s="29">
        <f t="shared" si="8"/>
        <v>0</v>
      </c>
      <c r="AY92" s="29">
        <f t="shared" si="8"/>
        <v>0</v>
      </c>
      <c r="AZ92" s="29">
        <f t="shared" si="8"/>
        <v>0</v>
      </c>
      <c r="BA92" s="29">
        <f t="shared" si="8"/>
        <v>0</v>
      </c>
      <c r="BB92" s="29">
        <f t="shared" si="8"/>
        <v>0</v>
      </c>
      <c r="BC92" s="29">
        <f t="shared" si="8"/>
        <v>0</v>
      </c>
      <c r="BD92" s="29">
        <f t="shared" si="8"/>
        <v>0</v>
      </c>
      <c r="BE92" s="29">
        <f t="shared" si="8"/>
        <v>0</v>
      </c>
      <c r="BF92" s="29">
        <f t="shared" si="8"/>
        <v>0</v>
      </c>
      <c r="BG92" s="29">
        <f t="shared" si="8"/>
        <v>0</v>
      </c>
      <c r="BH92" s="17"/>
      <c r="BI92" s="17"/>
    </row>
    <row r="93" spans="1:61" s="17" customFormat="1" ht="15.75" hidden="1" customHeight="1">
      <c r="A93" s="101"/>
      <c r="B93" s="114"/>
      <c r="C93" s="116"/>
      <c r="D93" s="118"/>
      <c r="E93" s="116"/>
      <c r="F93" s="116"/>
      <c r="G93" s="120"/>
      <c r="H93" s="109"/>
      <c r="I93" s="90"/>
      <c r="J93" s="90"/>
      <c r="K93" s="20"/>
      <c r="L93" s="20"/>
      <c r="M93" s="20"/>
      <c r="N93" s="97"/>
      <c r="O93" s="21"/>
      <c r="P93" s="27"/>
      <c r="Q93" s="99"/>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c r="B95" s="114"/>
      <c r="C95" s="116"/>
      <c r="D95" s="118"/>
      <c r="E95" s="116"/>
      <c r="F95" s="116"/>
      <c r="G95" s="120"/>
      <c r="H95" s="90"/>
      <c r="I95" s="90"/>
      <c r="J95" s="90"/>
      <c r="K95" s="20"/>
      <c r="L95" s="20"/>
      <c r="M95" s="20"/>
      <c r="N95" s="97"/>
      <c r="O95" s="21"/>
      <c r="P95" s="27"/>
      <c r="Q95" s="99"/>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row>
    <row r="97" spans="1:61" s="17" customFormat="1" ht="15.75" hidden="1" customHeight="1">
      <c r="A97" s="101">
        <v>45163</v>
      </c>
      <c r="B97" s="114" t="s">
        <v>37</v>
      </c>
      <c r="C97" s="116"/>
      <c r="D97" s="118"/>
      <c r="E97" s="116"/>
      <c r="F97" s="116"/>
      <c r="G97" s="120"/>
      <c r="H97" s="90"/>
      <c r="I97" s="90"/>
      <c r="J97" s="90"/>
      <c r="K97" s="20"/>
      <c r="L97" s="20"/>
      <c r="M97" s="20"/>
      <c r="N97" s="97" t="e">
        <f>O98/L98</f>
        <v>#DIV/0!</v>
      </c>
      <c r="O97" s="21">
        <f>L97-M97</f>
        <v>0</v>
      </c>
      <c r="P97" s="27"/>
      <c r="Q97" s="99">
        <f>+L98-P98</f>
        <v>0</v>
      </c>
      <c r="R97" s="154"/>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5"/>
      <c r="AZ97" s="155"/>
      <c r="BA97" s="155"/>
      <c r="BB97" s="155"/>
      <c r="BC97" s="155"/>
      <c r="BD97" s="155"/>
      <c r="BE97" s="96"/>
      <c r="BF97" s="155"/>
      <c r="BG97" s="155"/>
    </row>
    <row r="98" spans="1:61" s="17" customFormat="1" ht="15.75" hidden="1" customHeight="1">
      <c r="A98" s="102"/>
      <c r="B98" s="115"/>
      <c r="C98" s="117"/>
      <c r="D98" s="119"/>
      <c r="E98" s="117"/>
      <c r="F98" s="117"/>
      <c r="G98" s="121"/>
      <c r="H98" s="95"/>
      <c r="I98" s="95"/>
      <c r="J98" s="95"/>
      <c r="K98" s="22"/>
      <c r="L98" s="18"/>
      <c r="M98" s="18"/>
      <c r="N98" s="98"/>
      <c r="O98" s="19">
        <f>L98-M98</f>
        <v>0</v>
      </c>
      <c r="P98" s="22"/>
      <c r="Q98" s="100"/>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6"/>
      <c r="AZ98" s="156"/>
      <c r="BA98" s="156"/>
      <c r="BB98" s="156"/>
      <c r="BC98" s="156"/>
      <c r="BD98" s="156"/>
      <c r="BE98" s="96"/>
      <c r="BF98" s="156"/>
      <c r="BG98" s="156"/>
    </row>
    <row r="99" spans="1:61" s="17" customFormat="1" ht="15.75" hidden="1" customHeight="1">
      <c r="A99" s="101">
        <v>45163</v>
      </c>
      <c r="B99" s="114" t="s">
        <v>37</v>
      </c>
      <c r="C99" s="116"/>
      <c r="D99" s="118"/>
      <c r="E99" s="116"/>
      <c r="F99" s="116"/>
      <c r="G99" s="120"/>
      <c r="H99" s="90"/>
      <c r="I99" s="90"/>
      <c r="J99" s="90"/>
      <c r="K99" s="20"/>
      <c r="L99" s="20"/>
      <c r="M99" s="20"/>
      <c r="N99" s="97" t="e">
        <f>O100/L100</f>
        <v>#DIV/0!</v>
      </c>
      <c r="O99" s="21">
        <f>L99-M99</f>
        <v>0</v>
      </c>
      <c r="P99" s="27"/>
      <c r="Q99" s="99">
        <f>+L100-P100</f>
        <v>0</v>
      </c>
      <c r="R99" s="154"/>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5"/>
      <c r="AZ99" s="155"/>
      <c r="BA99" s="155"/>
      <c r="BB99" s="155"/>
      <c r="BC99" s="155"/>
      <c r="BD99" s="155"/>
      <c r="BE99" s="96"/>
      <c r="BF99" s="155"/>
      <c r="BG99" s="155"/>
    </row>
    <row r="100" spans="1:61" s="17" customFormat="1" ht="15.75" hidden="1" customHeight="1">
      <c r="A100" s="102"/>
      <c r="B100" s="115"/>
      <c r="C100" s="117"/>
      <c r="D100" s="119"/>
      <c r="E100" s="117"/>
      <c r="F100" s="117"/>
      <c r="G100" s="121"/>
      <c r="H100" s="95"/>
      <c r="I100" s="95"/>
      <c r="J100" s="95"/>
      <c r="K100" s="22"/>
      <c r="L100" s="18"/>
      <c r="M100" s="18"/>
      <c r="N100" s="98"/>
      <c r="O100" s="19">
        <f>L100-M100</f>
        <v>0</v>
      </c>
      <c r="P100" s="22"/>
      <c r="Q100" s="100"/>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6"/>
      <c r="AZ100" s="156"/>
      <c r="BA100" s="156"/>
      <c r="BB100" s="156"/>
      <c r="BC100" s="156"/>
      <c r="BD100" s="156"/>
      <c r="BE100" s="96"/>
      <c r="BF100" s="156"/>
      <c r="BG100" s="156"/>
      <c r="BH100" s="1"/>
      <c r="BI100" s="1"/>
    </row>
    <row r="101" spans="1:61" ht="24.75" hidden="1" customHeight="1">
      <c r="A101" s="111" t="s">
        <v>48</v>
      </c>
      <c r="B101" s="112"/>
      <c r="C101" s="112"/>
      <c r="D101" s="112"/>
      <c r="E101" s="112"/>
      <c r="F101" s="112"/>
      <c r="G101" s="112"/>
      <c r="H101" s="112"/>
      <c r="I101" s="113"/>
      <c r="J101" s="5">
        <f>SUM(J93:J100)</f>
        <v>0</v>
      </c>
      <c r="K101" s="5">
        <f>+SUMPRODUCT(((MOD(ROW(K93:K100),2)=0)*(K93:K100)))</f>
        <v>0</v>
      </c>
      <c r="L101" s="5">
        <f>+SUMPRODUCT(((MOD(ROW(L93:L100),2)=0)*(L93:L100)))</f>
        <v>0</v>
      </c>
      <c r="M101" s="5">
        <f>+SUMPRODUCT(((MOD(ROW(M93:M100),2)=0)*(M93:M100)))</f>
        <v>0</v>
      </c>
      <c r="N101" s="6" t="e">
        <f>O101/L101</f>
        <v>#DIV/0!</v>
      </c>
      <c r="O101" s="5">
        <f>+SUMPRODUCT(((MOD(ROW(O93:O100),2)=0)*(O93:O100)))</f>
        <v>0</v>
      </c>
      <c r="P101" s="5">
        <f>+SUMPRODUCT(((MOD(ROW(P93:P100),2)=0)*(P93:P100)))</f>
        <v>0</v>
      </c>
      <c r="Q101" s="29">
        <f>SUM(Q93:Q100)</f>
        <v>0</v>
      </c>
      <c r="R101" s="29"/>
      <c r="S101" s="29">
        <f t="shared" ref="S101:BG101" si="9">SUM(S93:S100)</f>
        <v>0</v>
      </c>
      <c r="T101" s="29">
        <f t="shared" si="9"/>
        <v>0</v>
      </c>
      <c r="U101" s="29">
        <f t="shared" si="9"/>
        <v>0</v>
      </c>
      <c r="V101" s="29">
        <f t="shared" si="9"/>
        <v>0</v>
      </c>
      <c r="W101" s="29">
        <f t="shared" si="9"/>
        <v>0</v>
      </c>
      <c r="X101" s="29">
        <f t="shared" si="9"/>
        <v>0</v>
      </c>
      <c r="Y101" s="29">
        <f t="shared" si="9"/>
        <v>0</v>
      </c>
      <c r="Z101" s="29">
        <f t="shared" si="9"/>
        <v>0</v>
      </c>
      <c r="AA101" s="29">
        <f t="shared" si="9"/>
        <v>0</v>
      </c>
      <c r="AB101" s="29">
        <f t="shared" si="9"/>
        <v>0</v>
      </c>
      <c r="AC101" s="29">
        <f t="shared" si="9"/>
        <v>0</v>
      </c>
      <c r="AD101" s="29">
        <f t="shared" si="9"/>
        <v>0</v>
      </c>
      <c r="AE101" s="29">
        <f t="shared" si="9"/>
        <v>0</v>
      </c>
      <c r="AF101" s="29">
        <f t="shared" si="9"/>
        <v>0</v>
      </c>
      <c r="AG101" s="29">
        <f t="shared" si="9"/>
        <v>0</v>
      </c>
      <c r="AH101" s="29">
        <f t="shared" si="9"/>
        <v>0</v>
      </c>
      <c r="AI101" s="29">
        <f t="shared" si="9"/>
        <v>0</v>
      </c>
      <c r="AJ101" s="29">
        <f t="shared" si="9"/>
        <v>0</v>
      </c>
      <c r="AK101" s="29">
        <f t="shared" si="9"/>
        <v>0</v>
      </c>
      <c r="AL101" s="29">
        <f t="shared" si="9"/>
        <v>0</v>
      </c>
      <c r="AM101" s="29">
        <f t="shared" si="9"/>
        <v>0</v>
      </c>
      <c r="AN101" s="29">
        <f t="shared" si="9"/>
        <v>0</v>
      </c>
      <c r="AO101" s="29">
        <f t="shared" si="9"/>
        <v>0</v>
      </c>
      <c r="AP101" s="29">
        <f t="shared" si="9"/>
        <v>0</v>
      </c>
      <c r="AQ101" s="29">
        <f t="shared" si="9"/>
        <v>0</v>
      </c>
      <c r="AR101" s="29">
        <f t="shared" si="9"/>
        <v>0</v>
      </c>
      <c r="AS101" s="29">
        <f t="shared" si="9"/>
        <v>0</v>
      </c>
      <c r="AT101" s="29">
        <f t="shared" si="9"/>
        <v>0</v>
      </c>
      <c r="AU101" s="29">
        <f t="shared" si="9"/>
        <v>0</v>
      </c>
      <c r="AV101" s="29">
        <f t="shared" si="9"/>
        <v>0</v>
      </c>
      <c r="AW101" s="29">
        <f t="shared" si="9"/>
        <v>0</v>
      </c>
      <c r="AX101" s="29">
        <f t="shared" si="9"/>
        <v>0</v>
      </c>
      <c r="AY101" s="29">
        <f t="shared" si="9"/>
        <v>0</v>
      </c>
      <c r="AZ101" s="29">
        <f t="shared" si="9"/>
        <v>0</v>
      </c>
      <c r="BA101" s="29">
        <f t="shared" si="9"/>
        <v>0</v>
      </c>
      <c r="BB101" s="29">
        <f t="shared" si="9"/>
        <v>0</v>
      </c>
      <c r="BC101" s="29">
        <f t="shared" si="9"/>
        <v>0</v>
      </c>
      <c r="BD101" s="29">
        <f t="shared" si="9"/>
        <v>0</v>
      </c>
      <c r="BE101" s="29">
        <f t="shared" si="9"/>
        <v>0</v>
      </c>
      <c r="BF101" s="29">
        <f t="shared" si="9"/>
        <v>0</v>
      </c>
      <c r="BG101" s="29">
        <f t="shared" si="9"/>
        <v>0</v>
      </c>
      <c r="BH101" s="17"/>
      <c r="BI101" s="17"/>
    </row>
    <row r="102" spans="1:61" s="17" customFormat="1" ht="15.75" hidden="1" customHeight="1">
      <c r="A102" s="101"/>
      <c r="B102" s="114"/>
      <c r="C102" s="116"/>
      <c r="D102" s="118"/>
      <c r="E102" s="157"/>
      <c r="F102" s="116"/>
      <c r="G102" s="120"/>
      <c r="H102" s="109"/>
      <c r="I102" s="90"/>
      <c r="J102" s="90"/>
      <c r="K102" s="20"/>
      <c r="L102" s="20"/>
      <c r="M102" s="20"/>
      <c r="N102" s="97"/>
      <c r="O102" s="21"/>
      <c r="P102" s="27"/>
      <c r="Q102" s="99"/>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45061</v>
      </c>
      <c r="B104" s="114" t="s">
        <v>37</v>
      </c>
      <c r="C104" s="116"/>
      <c r="D104" s="118"/>
      <c r="E104" s="157"/>
      <c r="F104" s="116"/>
      <c r="G104" s="120"/>
      <c r="H104" s="90"/>
      <c r="I104" s="90"/>
      <c r="J104" s="90"/>
      <c r="K104" s="20"/>
      <c r="L104" s="20"/>
      <c r="M104" s="20"/>
      <c r="N104" s="97" t="e">
        <f>O105/L105</f>
        <v>#DIV/0!</v>
      </c>
      <c r="O104" s="21">
        <f t="shared" ref="O104:O109" si="10">L104-M104</f>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10"/>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row>
    <row r="106" spans="1:61" s="17" customFormat="1" ht="15.75" hidden="1" customHeight="1">
      <c r="A106" s="101">
        <v>44990</v>
      </c>
      <c r="B106" s="114" t="s">
        <v>37</v>
      </c>
      <c r="C106" s="116"/>
      <c r="D106" s="118"/>
      <c r="E106" s="116"/>
      <c r="F106" s="116"/>
      <c r="G106" s="120"/>
      <c r="H106" s="90"/>
      <c r="I106" s="90"/>
      <c r="J106" s="90"/>
      <c r="K106" s="20"/>
      <c r="L106" s="20"/>
      <c r="M106" s="20"/>
      <c r="N106" s="97" t="e">
        <f>O107/L107</f>
        <v>#DIV/0!</v>
      </c>
      <c r="O106" s="21">
        <f t="shared" si="10"/>
        <v>0</v>
      </c>
      <c r="P106" s="27"/>
      <c r="Q106" s="99">
        <f>+L107-P107</f>
        <v>0</v>
      </c>
      <c r="R106" s="101"/>
      <c r="S106" s="96"/>
      <c r="T106" s="96"/>
      <c r="U106" s="96"/>
      <c r="V106" s="96"/>
      <c r="W106" s="96"/>
      <c r="X106" s="96"/>
      <c r="Y106" s="96"/>
      <c r="Z106" s="96"/>
      <c r="AA106" s="96"/>
      <c r="AB106" s="96"/>
      <c r="AC106" s="96"/>
      <c r="AD106" s="96"/>
      <c r="AE106" s="96"/>
      <c r="AF106" s="96"/>
      <c r="AG106" s="96"/>
      <c r="AH106" s="96"/>
      <c r="AI106" s="96"/>
      <c r="AJ106" s="96"/>
      <c r="AK106" s="96"/>
      <c r="AL106" s="96"/>
      <c r="AM106" s="96"/>
      <c r="AN106" s="96"/>
      <c r="AO106" s="96"/>
      <c r="AP106" s="96"/>
      <c r="AQ106" s="96"/>
      <c r="AR106" s="96"/>
      <c r="AS106" s="96"/>
      <c r="AT106" s="96"/>
      <c r="AU106" s="96"/>
      <c r="AV106" s="96"/>
      <c r="AW106" s="96"/>
      <c r="AX106" s="96"/>
      <c r="AY106" s="155"/>
      <c r="AZ106" s="155"/>
      <c r="BA106" s="155"/>
      <c r="BB106" s="155"/>
      <c r="BC106" s="155"/>
      <c r="BD106" s="155"/>
      <c r="BE106" s="96"/>
      <c r="BF106" s="155"/>
      <c r="BG106" s="155"/>
    </row>
    <row r="107" spans="1:61" s="17" customFormat="1" ht="15.75" hidden="1" customHeight="1">
      <c r="A107" s="102"/>
      <c r="B107" s="115"/>
      <c r="C107" s="117"/>
      <c r="D107" s="119"/>
      <c r="E107" s="117"/>
      <c r="F107" s="117"/>
      <c r="G107" s="121"/>
      <c r="H107" s="95"/>
      <c r="I107" s="95"/>
      <c r="J107" s="95"/>
      <c r="K107" s="22"/>
      <c r="L107" s="18"/>
      <c r="M107" s="18"/>
      <c r="N107" s="98"/>
      <c r="O107" s="19">
        <f t="shared" si="10"/>
        <v>0</v>
      </c>
      <c r="P107" s="22"/>
      <c r="Q107" s="100"/>
      <c r="R107" s="102"/>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156"/>
      <c r="AZ107" s="156"/>
      <c r="BA107" s="156"/>
      <c r="BB107" s="156"/>
      <c r="BC107" s="156"/>
      <c r="BD107" s="156"/>
      <c r="BE107" s="96"/>
      <c r="BF107" s="156"/>
      <c r="BG107" s="156"/>
    </row>
    <row r="108" spans="1:61" s="17" customFormat="1" ht="15.75" hidden="1" customHeight="1">
      <c r="A108" s="101">
        <v>44990</v>
      </c>
      <c r="B108" s="114" t="s">
        <v>37</v>
      </c>
      <c r="C108" s="116"/>
      <c r="D108" s="118"/>
      <c r="E108" s="116"/>
      <c r="F108" s="116"/>
      <c r="G108" s="120"/>
      <c r="H108" s="90"/>
      <c r="I108" s="90"/>
      <c r="J108" s="90"/>
      <c r="K108" s="20"/>
      <c r="L108" s="20"/>
      <c r="M108" s="20"/>
      <c r="N108" s="97" t="e">
        <f>O109/L109</f>
        <v>#DIV/0!</v>
      </c>
      <c r="O108" s="21">
        <f t="shared" si="10"/>
        <v>0</v>
      </c>
      <c r="P108" s="27"/>
      <c r="Q108" s="99">
        <f>+L109-P109</f>
        <v>0</v>
      </c>
      <c r="R108" s="101"/>
      <c r="S108" s="96"/>
      <c r="T108" s="96"/>
      <c r="U108" s="96"/>
      <c r="V108" s="96"/>
      <c r="W108" s="96"/>
      <c r="X108" s="96"/>
      <c r="Y108" s="96"/>
      <c r="Z108" s="96"/>
      <c r="AA108" s="96"/>
      <c r="AB108" s="96"/>
      <c r="AC108" s="96"/>
      <c r="AD108" s="96"/>
      <c r="AE108" s="96"/>
      <c r="AF108" s="96"/>
      <c r="AG108" s="96"/>
      <c r="AH108" s="96"/>
      <c r="AI108" s="96"/>
      <c r="AJ108" s="96"/>
      <c r="AK108" s="96"/>
      <c r="AL108" s="96"/>
      <c r="AM108" s="96"/>
      <c r="AN108" s="96"/>
      <c r="AO108" s="96"/>
      <c r="AP108" s="96"/>
      <c r="AQ108" s="96"/>
      <c r="AR108" s="96"/>
      <c r="AS108" s="96"/>
      <c r="AT108" s="96"/>
      <c r="AU108" s="96"/>
      <c r="AV108" s="96"/>
      <c r="AW108" s="96"/>
      <c r="AX108" s="96"/>
      <c r="AY108" s="155"/>
      <c r="AZ108" s="155"/>
      <c r="BA108" s="155"/>
      <c r="BB108" s="155"/>
      <c r="BC108" s="155"/>
      <c r="BD108" s="155"/>
      <c r="BE108" s="96"/>
      <c r="BF108" s="155"/>
      <c r="BG108" s="155"/>
    </row>
    <row r="109" spans="1:61" s="17" customFormat="1" ht="15.75" hidden="1" customHeight="1">
      <c r="A109" s="102"/>
      <c r="B109" s="115"/>
      <c r="C109" s="117"/>
      <c r="D109" s="119"/>
      <c r="E109" s="117"/>
      <c r="F109" s="117"/>
      <c r="G109" s="121"/>
      <c r="H109" s="95"/>
      <c r="I109" s="95"/>
      <c r="J109" s="95"/>
      <c r="K109" s="22"/>
      <c r="L109" s="18"/>
      <c r="M109" s="18"/>
      <c r="N109" s="98"/>
      <c r="O109" s="19">
        <f t="shared" si="10"/>
        <v>0</v>
      </c>
      <c r="P109" s="22"/>
      <c r="Q109" s="100"/>
      <c r="R109" s="102"/>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156"/>
      <c r="AZ109" s="156"/>
      <c r="BA109" s="156"/>
      <c r="BB109" s="156"/>
      <c r="BC109" s="156"/>
      <c r="BD109" s="156"/>
      <c r="BE109" s="96"/>
      <c r="BF109" s="156"/>
      <c r="BG109" s="156"/>
      <c r="BH109" s="1"/>
      <c r="BI109" s="1"/>
    </row>
    <row r="110" spans="1:61" ht="24.75" hidden="1" customHeight="1">
      <c r="A110" s="111" t="s">
        <v>46</v>
      </c>
      <c r="B110" s="112"/>
      <c r="C110" s="112"/>
      <c r="D110" s="112"/>
      <c r="E110" s="112"/>
      <c r="F110" s="112"/>
      <c r="G110" s="112"/>
      <c r="H110" s="112"/>
      <c r="I110" s="113"/>
      <c r="J110" s="5">
        <f>SUM(J102:J109)</f>
        <v>0</v>
      </c>
      <c r="K110" s="5">
        <f>+SUMPRODUCT(((MOD(ROW(K102:K109),2)=0)*(K102:K109)))</f>
        <v>0</v>
      </c>
      <c r="L110" s="5">
        <f>+SUMPRODUCT(((MOD(ROW(L102:L109),2)=0)*(L102:L109)))</f>
        <v>0</v>
      </c>
      <c r="M110" s="5">
        <f>+SUMPRODUCT(((MOD(ROW(M102:M109),2)=0)*(M102:M109)))</f>
        <v>0</v>
      </c>
      <c r="N110" s="6" t="e">
        <f>O110/L110</f>
        <v>#DIV/0!</v>
      </c>
      <c r="O110" s="5">
        <f>+SUMPRODUCT(((MOD(ROW(O102:O109),2)=0)*(O102:O109)))</f>
        <v>0</v>
      </c>
      <c r="P110" s="5">
        <f>+SUMPRODUCT(((MOD(ROW(P102:P109),2)=0)*(P102:P109)))</f>
        <v>0</v>
      </c>
      <c r="Q110" s="29">
        <f>SUM(Q102:Q109)</f>
        <v>0</v>
      </c>
      <c r="R110" s="29"/>
      <c r="S110" s="29">
        <f t="shared" ref="S110:BG110" si="11">SUM(S102:S109)</f>
        <v>0</v>
      </c>
      <c r="T110" s="29">
        <f t="shared" si="11"/>
        <v>0</v>
      </c>
      <c r="U110" s="29">
        <f t="shared" si="11"/>
        <v>0</v>
      </c>
      <c r="V110" s="29">
        <f t="shared" si="11"/>
        <v>0</v>
      </c>
      <c r="W110" s="29">
        <f t="shared" si="11"/>
        <v>0</v>
      </c>
      <c r="X110" s="29">
        <f t="shared" si="11"/>
        <v>0</v>
      </c>
      <c r="Y110" s="29">
        <f t="shared" si="11"/>
        <v>0</v>
      </c>
      <c r="Z110" s="29">
        <f t="shared" si="11"/>
        <v>0</v>
      </c>
      <c r="AA110" s="29">
        <f t="shared" si="11"/>
        <v>0</v>
      </c>
      <c r="AB110" s="29">
        <f t="shared" si="11"/>
        <v>0</v>
      </c>
      <c r="AC110" s="29">
        <f t="shared" si="11"/>
        <v>0</v>
      </c>
      <c r="AD110" s="29">
        <f t="shared" si="11"/>
        <v>0</v>
      </c>
      <c r="AE110" s="29">
        <f t="shared" si="11"/>
        <v>0</v>
      </c>
      <c r="AF110" s="29">
        <f t="shared" si="11"/>
        <v>0</v>
      </c>
      <c r="AG110" s="29">
        <f t="shared" si="11"/>
        <v>0</v>
      </c>
      <c r="AH110" s="29">
        <f t="shared" si="11"/>
        <v>0</v>
      </c>
      <c r="AI110" s="29">
        <f t="shared" si="11"/>
        <v>0</v>
      </c>
      <c r="AJ110" s="29">
        <f t="shared" si="11"/>
        <v>0</v>
      </c>
      <c r="AK110" s="29">
        <f t="shared" si="11"/>
        <v>0</v>
      </c>
      <c r="AL110" s="29">
        <f t="shared" si="11"/>
        <v>0</v>
      </c>
      <c r="AM110" s="29">
        <f t="shared" si="11"/>
        <v>0</v>
      </c>
      <c r="AN110" s="29">
        <f t="shared" si="11"/>
        <v>0</v>
      </c>
      <c r="AO110" s="29">
        <f t="shared" si="11"/>
        <v>0</v>
      </c>
      <c r="AP110" s="29">
        <f t="shared" si="11"/>
        <v>0</v>
      </c>
      <c r="AQ110" s="29">
        <f t="shared" si="11"/>
        <v>0</v>
      </c>
      <c r="AR110" s="29">
        <f t="shared" si="11"/>
        <v>0</v>
      </c>
      <c r="AS110" s="29">
        <f t="shared" si="11"/>
        <v>0</v>
      </c>
      <c r="AT110" s="29">
        <f t="shared" si="11"/>
        <v>0</v>
      </c>
      <c r="AU110" s="29">
        <f t="shared" si="11"/>
        <v>0</v>
      </c>
      <c r="AV110" s="29">
        <f t="shared" si="11"/>
        <v>0</v>
      </c>
      <c r="AW110" s="29">
        <f t="shared" si="11"/>
        <v>0</v>
      </c>
      <c r="AX110" s="29">
        <f t="shared" si="11"/>
        <v>0</v>
      </c>
      <c r="AY110" s="29">
        <f t="shared" si="11"/>
        <v>0</v>
      </c>
      <c r="AZ110" s="29">
        <f t="shared" si="11"/>
        <v>0</v>
      </c>
      <c r="BA110" s="29">
        <f t="shared" si="11"/>
        <v>0</v>
      </c>
      <c r="BB110" s="29">
        <f t="shared" si="11"/>
        <v>0</v>
      </c>
      <c r="BC110" s="29">
        <f t="shared" si="11"/>
        <v>0</v>
      </c>
      <c r="BD110" s="29">
        <f t="shared" si="11"/>
        <v>0</v>
      </c>
      <c r="BE110" s="29">
        <f t="shared" si="11"/>
        <v>0</v>
      </c>
      <c r="BF110" s="29">
        <f t="shared" si="11"/>
        <v>0</v>
      </c>
      <c r="BG110" s="29">
        <f t="shared" si="11"/>
        <v>0</v>
      </c>
    </row>
    <row r="111" spans="1:61" ht="24.75" customHeight="1">
      <c r="A111" s="122" t="s">
        <v>5</v>
      </c>
      <c r="B111" s="122"/>
      <c r="C111" s="122"/>
      <c r="D111" s="122"/>
      <c r="E111" s="122"/>
      <c r="F111" s="122"/>
      <c r="G111" s="122"/>
      <c r="H111" s="122"/>
      <c r="I111" s="122"/>
      <c r="J111" s="4">
        <f>J81+J92+J101+J110</f>
        <v>6246</v>
      </c>
      <c r="K111" s="4">
        <f>K81+K92+K101+K110</f>
        <v>50</v>
      </c>
      <c r="L111" s="4">
        <f>L81+L92+L101+L110</f>
        <v>150</v>
      </c>
      <c r="M111" s="4">
        <f>M81+M92+M101+M110</f>
        <v>64</v>
      </c>
      <c r="N111" s="33">
        <f>O111/L111</f>
        <v>0.57333333333333336</v>
      </c>
      <c r="O111" s="4">
        <f>O81+O92+O101+O110</f>
        <v>86</v>
      </c>
      <c r="P111" s="31">
        <f>P81+P92+P101+P110</f>
        <v>174</v>
      </c>
      <c r="Q111" s="31">
        <f>Q81+Q92+Q101+Q110</f>
        <v>144</v>
      </c>
      <c r="R111" s="4"/>
      <c r="S111" s="31">
        <f t="shared" ref="S111:BG111" si="12">S81+S92+S101+S110</f>
        <v>0</v>
      </c>
      <c r="T111" s="31">
        <f t="shared" si="12"/>
        <v>0</v>
      </c>
      <c r="U111" s="31">
        <f t="shared" si="12"/>
        <v>26</v>
      </c>
      <c r="V111" s="31">
        <f t="shared" si="12"/>
        <v>0</v>
      </c>
      <c r="W111" s="31">
        <f t="shared" si="12"/>
        <v>0</v>
      </c>
      <c r="X111" s="31">
        <f t="shared" si="12"/>
        <v>0</v>
      </c>
      <c r="Y111" s="31">
        <f t="shared" si="12"/>
        <v>0</v>
      </c>
      <c r="Z111" s="31">
        <f t="shared" si="12"/>
        <v>0</v>
      </c>
      <c r="AA111" s="31">
        <f t="shared" si="12"/>
        <v>0</v>
      </c>
      <c r="AB111" s="31">
        <f t="shared" si="12"/>
        <v>0</v>
      </c>
      <c r="AC111" s="31">
        <f t="shared" si="12"/>
        <v>25</v>
      </c>
      <c r="AD111" s="31">
        <f t="shared" si="12"/>
        <v>0</v>
      </c>
      <c r="AE111" s="31">
        <f t="shared" si="12"/>
        <v>0</v>
      </c>
      <c r="AF111" s="31">
        <f t="shared" si="12"/>
        <v>10</v>
      </c>
      <c r="AG111" s="31">
        <f t="shared" si="12"/>
        <v>10</v>
      </c>
      <c r="AH111" s="31">
        <f t="shared" si="12"/>
        <v>10</v>
      </c>
      <c r="AI111" s="31">
        <f t="shared" si="12"/>
        <v>0</v>
      </c>
      <c r="AJ111" s="31">
        <f t="shared" si="12"/>
        <v>0</v>
      </c>
      <c r="AK111" s="31">
        <f t="shared" si="12"/>
        <v>0</v>
      </c>
      <c r="AL111" s="31">
        <f t="shared" si="12"/>
        <v>5</v>
      </c>
      <c r="AM111" s="31">
        <f t="shared" si="12"/>
        <v>0</v>
      </c>
      <c r="AN111" s="31">
        <f t="shared" si="12"/>
        <v>0</v>
      </c>
      <c r="AO111" s="31">
        <f t="shared" si="12"/>
        <v>0</v>
      </c>
      <c r="AP111" s="31">
        <f t="shared" si="12"/>
        <v>0</v>
      </c>
      <c r="AQ111" s="31">
        <f t="shared" si="12"/>
        <v>0</v>
      </c>
      <c r="AR111" s="31">
        <f t="shared" si="12"/>
        <v>0</v>
      </c>
      <c r="AS111" s="31">
        <f t="shared" si="12"/>
        <v>0</v>
      </c>
      <c r="AT111" s="31">
        <f t="shared" si="12"/>
        <v>0</v>
      </c>
      <c r="AU111" s="31">
        <f t="shared" si="12"/>
        <v>0</v>
      </c>
      <c r="AV111" s="31">
        <f t="shared" si="12"/>
        <v>0</v>
      </c>
      <c r="AW111" s="31">
        <f t="shared" si="12"/>
        <v>0</v>
      </c>
      <c r="AX111" s="31">
        <f t="shared" si="12"/>
        <v>0</v>
      </c>
      <c r="AY111" s="31">
        <f t="shared" si="12"/>
        <v>0</v>
      </c>
      <c r="AZ111" s="31">
        <f t="shared" si="12"/>
        <v>0</v>
      </c>
      <c r="BA111" s="31">
        <f t="shared" si="12"/>
        <v>0</v>
      </c>
      <c r="BB111" s="31">
        <f t="shared" si="12"/>
        <v>0</v>
      </c>
      <c r="BC111" s="31">
        <f t="shared" si="12"/>
        <v>0</v>
      </c>
      <c r="BD111" s="31">
        <f t="shared" si="12"/>
        <v>0</v>
      </c>
      <c r="BE111" s="31">
        <f t="shared" si="12"/>
        <v>0</v>
      </c>
      <c r="BF111" s="31">
        <f t="shared" si="12"/>
        <v>0</v>
      </c>
      <c r="BG111" s="31">
        <f t="shared" si="12"/>
        <v>0</v>
      </c>
    </row>
    <row r="114" spans="1:61" s="25" customFormat="1" ht="35.25" customHeight="1">
      <c r="A114" s="2"/>
      <c r="B114" s="2"/>
      <c r="C114" s="2"/>
      <c r="D114" s="1"/>
      <c r="E114" s="1"/>
      <c r="F114" s="1"/>
      <c r="G114" s="1"/>
      <c r="H114" s="1"/>
      <c r="I114" s="1"/>
      <c r="J114" s="1"/>
      <c r="K114" s="35"/>
      <c r="L114" s="35"/>
      <c r="M114" s="35"/>
      <c r="N114" s="35"/>
      <c r="O114" s="35"/>
      <c r="P114" s="35"/>
      <c r="Q114" s="36"/>
      <c r="S114" s="8"/>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row>
    <row r="117" spans="1:61" s="25" customFormat="1" ht="33" customHeight="1">
      <c r="A117" s="2"/>
      <c r="B117" s="2"/>
      <c r="C117" s="2"/>
      <c r="D117" s="1"/>
      <c r="E117" s="1"/>
      <c r="F117" s="1"/>
      <c r="G117" s="1"/>
      <c r="H117" s="1"/>
      <c r="I117" s="1"/>
      <c r="J117" s="1"/>
      <c r="K117" s="1"/>
      <c r="L117" s="1"/>
      <c r="M117" s="1"/>
      <c r="N117" s="1"/>
      <c r="O117" s="1"/>
      <c r="S117" s="8"/>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row>
  </sheetData>
  <mergeCells count="2634">
    <mergeCell ref="J5:J6"/>
    <mergeCell ref="N5:N6"/>
    <mergeCell ref="Q5:Q6"/>
    <mergeCell ref="R5:R6"/>
    <mergeCell ref="S5:S6"/>
    <mergeCell ref="AD3:AD4"/>
    <mergeCell ref="AE3:AE4"/>
    <mergeCell ref="AF3:AF4"/>
    <mergeCell ref="AG3:AG4"/>
    <mergeCell ref="AH3:AH4"/>
    <mergeCell ref="W3:W4"/>
    <mergeCell ref="X3:X4"/>
    <mergeCell ref="Y3:Y4"/>
    <mergeCell ref="Z3:Z4"/>
    <mergeCell ref="AA3:AA4"/>
    <mergeCell ref="U69:U70"/>
    <mergeCell ref="AG5:AG6"/>
    <mergeCell ref="AH5:AH6"/>
    <mergeCell ref="AD7:AD8"/>
    <mergeCell ref="AE7:AE8"/>
    <mergeCell ref="AF7:AF8"/>
    <mergeCell ref="AG7:AG8"/>
    <mergeCell ref="AH7:AH8"/>
    <mergeCell ref="AD9:AD10"/>
    <mergeCell ref="AE9:AE10"/>
    <mergeCell ref="AF9:AF10"/>
    <mergeCell ref="AG9:AG10"/>
    <mergeCell ref="AH9:AH10"/>
    <mergeCell ref="AD11:AD12"/>
    <mergeCell ref="AE11:AE12"/>
    <mergeCell ref="AF11:AF12"/>
    <mergeCell ref="AG11:AG12"/>
    <mergeCell ref="AI3:AI4"/>
    <mergeCell ref="AJ3:AJ4"/>
    <mergeCell ref="AK3:AK4"/>
    <mergeCell ref="AL3:AL4"/>
    <mergeCell ref="AM3:AM4"/>
    <mergeCell ref="AN3:AN4"/>
    <mergeCell ref="AC3:AC4"/>
    <mergeCell ref="A1:O1"/>
    <mergeCell ref="A2:O2"/>
    <mergeCell ref="S3:S4"/>
    <mergeCell ref="T3:T4"/>
    <mergeCell ref="U3:U4"/>
    <mergeCell ref="V3:V4"/>
    <mergeCell ref="AZ3:AZ4"/>
    <mergeCell ref="AO3:AO4"/>
    <mergeCell ref="AP3:AP4"/>
    <mergeCell ref="AQ3:AQ4"/>
    <mergeCell ref="AR3:AR4"/>
    <mergeCell ref="AB3:AB4"/>
    <mergeCell ref="AI5:AI6"/>
    <mergeCell ref="AJ5:AJ6"/>
    <mergeCell ref="AK5:AK6"/>
    <mergeCell ref="G5:G6"/>
    <mergeCell ref="H5:H6"/>
    <mergeCell ref="I5:I6"/>
    <mergeCell ref="BA3:BA4"/>
    <mergeCell ref="BB3:BB4"/>
    <mergeCell ref="BC3:BC4"/>
    <mergeCell ref="AU3:AU4"/>
    <mergeCell ref="AV3:AV4"/>
    <mergeCell ref="AW3:AW4"/>
    <mergeCell ref="AX3:AX4"/>
    <mergeCell ref="A5:A6"/>
    <mergeCell ref="B5:B6"/>
    <mergeCell ref="C5:C6"/>
    <mergeCell ref="D5:D6"/>
    <mergeCell ref="E5:E6"/>
    <mergeCell ref="F5:F6"/>
    <mergeCell ref="AM5:AM6"/>
    <mergeCell ref="AN5:AN6"/>
    <mergeCell ref="AO5:AO6"/>
    <mergeCell ref="AP5:AP6"/>
    <mergeCell ref="T5:T6"/>
    <mergeCell ref="U5:U6"/>
    <mergeCell ref="V5:V6"/>
    <mergeCell ref="W5:W6"/>
    <mergeCell ref="X5:X6"/>
    <mergeCell ref="Y5:Y6"/>
    <mergeCell ref="Z5:Z6"/>
    <mergeCell ref="AR5:AR6"/>
    <mergeCell ref="AS3:AS4"/>
    <mergeCell ref="BG3:BG4"/>
    <mergeCell ref="BD3:BD4"/>
    <mergeCell ref="BE3:BE4"/>
    <mergeCell ref="BF3:BF4"/>
    <mergeCell ref="AY3:AY4"/>
    <mergeCell ref="AS5:AS6"/>
    <mergeCell ref="AT5:AT6"/>
    <mergeCell ref="AU5:AU6"/>
    <mergeCell ref="AV5:AV6"/>
    <mergeCell ref="AW5:AW6"/>
    <mergeCell ref="AX5:AX6"/>
    <mergeCell ref="BE5:BE6"/>
    <mergeCell ref="BF5:BF6"/>
    <mergeCell ref="BG5:BG6"/>
    <mergeCell ref="AY5:AY6"/>
    <mergeCell ref="AZ5:AZ6"/>
    <mergeCell ref="BA5:BA6"/>
    <mergeCell ref="BB5:BB6"/>
    <mergeCell ref="BC5:BC6"/>
    <mergeCell ref="BD5:BD6"/>
    <mergeCell ref="AT3:AT4"/>
    <mergeCell ref="A7:A8"/>
    <mergeCell ref="B7:B8"/>
    <mergeCell ref="C7:C8"/>
    <mergeCell ref="D7:D8"/>
    <mergeCell ref="E7:E8"/>
    <mergeCell ref="AL5:AL6"/>
    <mergeCell ref="AA5:AA6"/>
    <mergeCell ref="AB5:AB6"/>
    <mergeCell ref="AC5:AC6"/>
    <mergeCell ref="AD5:AD6"/>
    <mergeCell ref="F7:F8"/>
    <mergeCell ref="G7:G8"/>
    <mergeCell ref="H7:H8"/>
    <mergeCell ref="I7:I8"/>
    <mergeCell ref="J7:J8"/>
    <mergeCell ref="N7:N8"/>
    <mergeCell ref="AQ5:AQ6"/>
    <mergeCell ref="Q7:Q8"/>
    <mergeCell ref="R7:R8"/>
    <mergeCell ref="S7:S8"/>
    <mergeCell ref="T7:T8"/>
    <mergeCell ref="U7:U8"/>
    <mergeCell ref="V7:V8"/>
    <mergeCell ref="AE5:AE6"/>
    <mergeCell ref="AF5:AF6"/>
    <mergeCell ref="W7:W8"/>
    <mergeCell ref="X7:X8"/>
    <mergeCell ref="Y7:Y8"/>
    <mergeCell ref="Z7:Z8"/>
    <mergeCell ref="AA7:AA8"/>
    <mergeCell ref="AB7:AB8"/>
    <mergeCell ref="AC7:AC8"/>
    <mergeCell ref="AI7:AI8"/>
    <mergeCell ref="AJ7:AJ8"/>
    <mergeCell ref="AK7:AK8"/>
    <mergeCell ref="AL7:AL8"/>
    <mergeCell ref="AM7:AM8"/>
    <mergeCell ref="AN7:AN8"/>
    <mergeCell ref="AO7:AO8"/>
    <mergeCell ref="AP7:AP8"/>
    <mergeCell ref="AQ7:AQ8"/>
    <mergeCell ref="AR7:AR8"/>
    <mergeCell ref="AS7:AS8"/>
    <mergeCell ref="AT7:AT8"/>
    <mergeCell ref="AU7:AU8"/>
    <mergeCell ref="AV7:AV8"/>
    <mergeCell ref="AW7:AW8"/>
    <mergeCell ref="AX7:AX8"/>
    <mergeCell ref="AY7:AY8"/>
    <mergeCell ref="AZ7:AZ8"/>
    <mergeCell ref="BA7:BA8"/>
    <mergeCell ref="BB7:BB8"/>
    <mergeCell ref="BC7:BC8"/>
    <mergeCell ref="BD7:BD8"/>
    <mergeCell ref="BE7:BE8"/>
    <mergeCell ref="BF7:BF8"/>
    <mergeCell ref="BG7:BG8"/>
    <mergeCell ref="A9:A10"/>
    <mergeCell ref="B9:B10"/>
    <mergeCell ref="C9:C10"/>
    <mergeCell ref="D9:D10"/>
    <mergeCell ref="E9:E10"/>
    <mergeCell ref="F9:F10"/>
    <mergeCell ref="G9:G10"/>
    <mergeCell ref="H9:H10"/>
    <mergeCell ref="I9:I10"/>
    <mergeCell ref="J9:J10"/>
    <mergeCell ref="N9:N10"/>
    <mergeCell ref="Q9:Q10"/>
    <mergeCell ref="R9:R10"/>
    <mergeCell ref="S9:S10"/>
    <mergeCell ref="T9:T10"/>
    <mergeCell ref="U9:U10"/>
    <mergeCell ref="V9:V10"/>
    <mergeCell ref="W9:W10"/>
    <mergeCell ref="X9:X10"/>
    <mergeCell ref="Y9:Y10"/>
    <mergeCell ref="Z9:Z10"/>
    <mergeCell ref="AA9:AA10"/>
    <mergeCell ref="AB9:AB10"/>
    <mergeCell ref="AC9:AC10"/>
    <mergeCell ref="AI9:AI10"/>
    <mergeCell ref="AJ9:AJ10"/>
    <mergeCell ref="AK9:AK10"/>
    <mergeCell ref="AL9:AL10"/>
    <mergeCell ref="AM9:AM10"/>
    <mergeCell ref="AN9:AN10"/>
    <mergeCell ref="AO9:AO10"/>
    <mergeCell ref="AP9:AP10"/>
    <mergeCell ref="AQ9:AQ10"/>
    <mergeCell ref="AR9:AR10"/>
    <mergeCell ref="AS9:AS10"/>
    <mergeCell ref="AT9:AT10"/>
    <mergeCell ref="AU9:AU10"/>
    <mergeCell ref="AV9:AV10"/>
    <mergeCell ref="AW9:AW10"/>
    <mergeCell ref="AX9:AX10"/>
    <mergeCell ref="AY9:AY10"/>
    <mergeCell ref="AZ9:AZ10"/>
    <mergeCell ref="BA9:BA10"/>
    <mergeCell ref="BB9:BB10"/>
    <mergeCell ref="BC9:BC10"/>
    <mergeCell ref="BD9:BD10"/>
    <mergeCell ref="BE9:BE10"/>
    <mergeCell ref="BF9:BF10"/>
    <mergeCell ref="BG9:BG10"/>
    <mergeCell ref="A11:A12"/>
    <mergeCell ref="B11:B12"/>
    <mergeCell ref="C11:C12"/>
    <mergeCell ref="D11:D12"/>
    <mergeCell ref="E11:E12"/>
    <mergeCell ref="F11:F12"/>
    <mergeCell ref="G11:G12"/>
    <mergeCell ref="H11:H12"/>
    <mergeCell ref="I11:I12"/>
    <mergeCell ref="J11:J12"/>
    <mergeCell ref="N11:N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H11:AH12"/>
    <mergeCell ref="AI11:AI12"/>
    <mergeCell ref="AJ11:AJ12"/>
    <mergeCell ref="AK11:AK12"/>
    <mergeCell ref="AL11:AL12"/>
    <mergeCell ref="AM11:AM12"/>
    <mergeCell ref="AN11:AN12"/>
    <mergeCell ref="AO11:AO12"/>
    <mergeCell ref="AP11:AP12"/>
    <mergeCell ref="AQ11:AQ12"/>
    <mergeCell ref="AR11:AR12"/>
    <mergeCell ref="AS11:AS12"/>
    <mergeCell ref="AT11:AT12"/>
    <mergeCell ref="AU11:AU12"/>
    <mergeCell ref="AV11:AV12"/>
    <mergeCell ref="AW11:AW12"/>
    <mergeCell ref="AX11:AX12"/>
    <mergeCell ref="AY11:AY12"/>
    <mergeCell ref="AZ11:AZ12"/>
    <mergeCell ref="BA11:BA12"/>
    <mergeCell ref="BB11:BB12"/>
    <mergeCell ref="BC11:BC12"/>
    <mergeCell ref="BD11:BD12"/>
    <mergeCell ref="BE11:BE12"/>
    <mergeCell ref="BF11:BF12"/>
    <mergeCell ref="BG11:BG12"/>
    <mergeCell ref="A13:A14"/>
    <mergeCell ref="B13:B14"/>
    <mergeCell ref="C13:C14"/>
    <mergeCell ref="D13:D14"/>
    <mergeCell ref="E13:E14"/>
    <mergeCell ref="F13:F14"/>
    <mergeCell ref="G13:G14"/>
    <mergeCell ref="H13:H14"/>
    <mergeCell ref="I13:I14"/>
    <mergeCell ref="J13:J14"/>
    <mergeCell ref="N13:N14"/>
    <mergeCell ref="Q13:Q14"/>
    <mergeCell ref="R13:R14"/>
    <mergeCell ref="S13:S14"/>
    <mergeCell ref="T13:T14"/>
    <mergeCell ref="U13:U14"/>
    <mergeCell ref="V13:V14"/>
    <mergeCell ref="W13:W14"/>
    <mergeCell ref="X13:X14"/>
    <mergeCell ref="Y13:Y14"/>
    <mergeCell ref="Z13:Z14"/>
    <mergeCell ref="AA13:AA14"/>
    <mergeCell ref="BC13:BC14"/>
    <mergeCell ref="BD13:BD14"/>
    <mergeCell ref="BE13:BE14"/>
    <mergeCell ref="BF13:BF14"/>
    <mergeCell ref="BG13:BG14"/>
    <mergeCell ref="A15:A16"/>
    <mergeCell ref="B15:B16"/>
    <mergeCell ref="C15:C16"/>
    <mergeCell ref="D15:D16"/>
    <mergeCell ref="E15:E16"/>
    <mergeCell ref="F15:F16"/>
    <mergeCell ref="G15:G16"/>
    <mergeCell ref="H15:H16"/>
    <mergeCell ref="I15:I16"/>
    <mergeCell ref="J15:J16"/>
    <mergeCell ref="N15:N16"/>
    <mergeCell ref="Q15:Q16"/>
    <mergeCell ref="R15:R16"/>
    <mergeCell ref="S15:S16"/>
    <mergeCell ref="T15:T16"/>
    <mergeCell ref="U15:U16"/>
    <mergeCell ref="V15:V16"/>
    <mergeCell ref="AB13:AB14"/>
    <mergeCell ref="AC13:AC14"/>
    <mergeCell ref="AD13:AD14"/>
    <mergeCell ref="AE13:AE14"/>
    <mergeCell ref="AF13:AF14"/>
    <mergeCell ref="AG13:AG14"/>
    <mergeCell ref="AH13:AH14"/>
    <mergeCell ref="AI13:AI14"/>
    <mergeCell ref="AJ13:AJ14"/>
    <mergeCell ref="AK13:AK14"/>
    <mergeCell ref="AQ15:AQ16"/>
    <mergeCell ref="AR15:AR16"/>
    <mergeCell ref="AG15:AG16"/>
    <mergeCell ref="AH15:AH16"/>
    <mergeCell ref="AI15:AI16"/>
    <mergeCell ref="AJ15:AJ16"/>
    <mergeCell ref="AK15:AK16"/>
    <mergeCell ref="AS13:AS14"/>
    <mergeCell ref="AT13:AT14"/>
    <mergeCell ref="AU13:AU14"/>
    <mergeCell ref="AV13:AV14"/>
    <mergeCell ref="AW13:AW14"/>
    <mergeCell ref="AX13:AX14"/>
    <mergeCell ref="AY13:AY14"/>
    <mergeCell ref="AZ13:AZ14"/>
    <mergeCell ref="BA13:BA14"/>
    <mergeCell ref="BB13:BB14"/>
    <mergeCell ref="AL13:AL14"/>
    <mergeCell ref="AM13:AM14"/>
    <mergeCell ref="AN13:AN14"/>
    <mergeCell ref="AO13:AO14"/>
    <mergeCell ref="AP13:AP14"/>
    <mergeCell ref="AQ13:AQ14"/>
    <mergeCell ref="AR13:AR14"/>
    <mergeCell ref="G17:G18"/>
    <mergeCell ref="AY15:AY16"/>
    <mergeCell ref="AZ15:AZ16"/>
    <mergeCell ref="BA15:BA16"/>
    <mergeCell ref="BB15:BB16"/>
    <mergeCell ref="BC15:BC16"/>
    <mergeCell ref="AS15:AS16"/>
    <mergeCell ref="AT15:AT16"/>
    <mergeCell ref="AU15:AU16"/>
    <mergeCell ref="AV15:AV16"/>
    <mergeCell ref="A17:A18"/>
    <mergeCell ref="B17:B18"/>
    <mergeCell ref="C17:C18"/>
    <mergeCell ref="D17:D18"/>
    <mergeCell ref="E17:E18"/>
    <mergeCell ref="F17:F18"/>
    <mergeCell ref="Y17:Y18"/>
    <mergeCell ref="Z17:Z18"/>
    <mergeCell ref="AA17:AA18"/>
    <mergeCell ref="W15:W16"/>
    <mergeCell ref="X15:X16"/>
    <mergeCell ref="Y15:Y16"/>
    <mergeCell ref="Z15:Z16"/>
    <mergeCell ref="AL15:AL16"/>
    <mergeCell ref="AA15:AA16"/>
    <mergeCell ref="AB15:AB16"/>
    <mergeCell ref="AC15:AC16"/>
    <mergeCell ref="AD15:AD16"/>
    <mergeCell ref="AE15:AE16"/>
    <mergeCell ref="AF15:AF16"/>
    <mergeCell ref="AN15:AN16"/>
    <mergeCell ref="AO15:AO16"/>
    <mergeCell ref="BE15:BE16"/>
    <mergeCell ref="BF15:BF16"/>
    <mergeCell ref="BG15:BG16"/>
    <mergeCell ref="BD15:BD16"/>
    <mergeCell ref="AW15:AW16"/>
    <mergeCell ref="AX15:AX16"/>
    <mergeCell ref="AM15:AM16"/>
    <mergeCell ref="AO17:AO18"/>
    <mergeCell ref="AP17:AP18"/>
    <mergeCell ref="AE17:AE18"/>
    <mergeCell ref="AF17:AF18"/>
    <mergeCell ref="AG17:AG18"/>
    <mergeCell ref="AH17:AH18"/>
    <mergeCell ref="AI17:AI18"/>
    <mergeCell ref="AJ17:AJ18"/>
    <mergeCell ref="AZ17:AZ18"/>
    <mergeCell ref="BA17:BA18"/>
    <mergeCell ref="BB17:BB18"/>
    <mergeCell ref="AQ17:AQ18"/>
    <mergeCell ref="AR17:AR18"/>
    <mergeCell ref="AS17:AS18"/>
    <mergeCell ref="AT17:AT18"/>
    <mergeCell ref="AU17:AU18"/>
    <mergeCell ref="AV17:AV18"/>
    <mergeCell ref="BC17:BC18"/>
    <mergeCell ref="BD17:BD18"/>
    <mergeCell ref="BE17:BE18"/>
    <mergeCell ref="BF17:BF18"/>
    <mergeCell ref="BG17:BG18"/>
    <mergeCell ref="AX17:AX18"/>
    <mergeCell ref="AY17:AY18"/>
    <mergeCell ref="AP15:AP16"/>
    <mergeCell ref="A19:A20"/>
    <mergeCell ref="B19:B20"/>
    <mergeCell ref="C19:C20"/>
    <mergeCell ref="D19:D20"/>
    <mergeCell ref="E19:E20"/>
    <mergeCell ref="AW17:AW18"/>
    <mergeCell ref="AK17:AK18"/>
    <mergeCell ref="AL17:AL18"/>
    <mergeCell ref="AM17:AM18"/>
    <mergeCell ref="AN17:AN18"/>
    <mergeCell ref="H17:H18"/>
    <mergeCell ref="I17:I18"/>
    <mergeCell ref="J17:J18"/>
    <mergeCell ref="N17:N18"/>
    <mergeCell ref="Q17:Q18"/>
    <mergeCell ref="R17:R18"/>
    <mergeCell ref="S17:S18"/>
    <mergeCell ref="T17:T18"/>
    <mergeCell ref="U17:U18"/>
    <mergeCell ref="V17:V18"/>
    <mergeCell ref="W17:W18"/>
    <mergeCell ref="X17:X18"/>
    <mergeCell ref="AB17:AB18"/>
    <mergeCell ref="AC17:AC18"/>
    <mergeCell ref="AD17:AD18"/>
    <mergeCell ref="F19:F20"/>
    <mergeCell ref="G19:G20"/>
    <mergeCell ref="H19:H20"/>
    <mergeCell ref="I19:I20"/>
    <mergeCell ref="J19:J20"/>
    <mergeCell ref="N19:N20"/>
    <mergeCell ref="Q19:Q20"/>
    <mergeCell ref="R19:R20"/>
    <mergeCell ref="S19:S20"/>
    <mergeCell ref="T19:T20"/>
    <mergeCell ref="U19:U20"/>
    <mergeCell ref="V19:V20"/>
    <mergeCell ref="W19:W20"/>
    <mergeCell ref="X19:X20"/>
    <mergeCell ref="Y19:Y20"/>
    <mergeCell ref="Z19:Z20"/>
    <mergeCell ref="AA19:AA20"/>
    <mergeCell ref="AB19:AB20"/>
    <mergeCell ref="AC19:AC20"/>
    <mergeCell ref="AD19:AD20"/>
    <mergeCell ref="AE19:AE20"/>
    <mergeCell ref="AF19:AF20"/>
    <mergeCell ref="AG19:AG20"/>
    <mergeCell ref="AH19:AH20"/>
    <mergeCell ref="AI19:AI20"/>
    <mergeCell ref="AJ19:AJ20"/>
    <mergeCell ref="AK19:AK20"/>
    <mergeCell ref="AL19:AL20"/>
    <mergeCell ref="AM19:AM20"/>
    <mergeCell ref="AN19:AN20"/>
    <mergeCell ref="AW19:AW20"/>
    <mergeCell ref="AX19:AX20"/>
    <mergeCell ref="AY19:AY20"/>
    <mergeCell ref="AZ19:AZ20"/>
    <mergeCell ref="AO19:AO20"/>
    <mergeCell ref="AP19:AP20"/>
    <mergeCell ref="AQ19:AQ20"/>
    <mergeCell ref="AR19:AR20"/>
    <mergeCell ref="AS19:AS20"/>
    <mergeCell ref="AT19:AT20"/>
    <mergeCell ref="G21:G22"/>
    <mergeCell ref="AD21:AD22"/>
    <mergeCell ref="AE21:AE22"/>
    <mergeCell ref="AF21:AF22"/>
    <mergeCell ref="AG21:AG22"/>
    <mergeCell ref="AH21:AH22"/>
    <mergeCell ref="AI21:AI22"/>
    <mergeCell ref="AJ21:AJ22"/>
    <mergeCell ref="AK21:AK22"/>
    <mergeCell ref="AL21:AL22"/>
    <mergeCell ref="AM21:AM22"/>
    <mergeCell ref="AN21:AN22"/>
    <mergeCell ref="AO21:AO22"/>
    <mergeCell ref="AP21:AP22"/>
    <mergeCell ref="AQ21:AQ22"/>
    <mergeCell ref="AR21:AR22"/>
    <mergeCell ref="BG19:BG20"/>
    <mergeCell ref="BA19:BA20"/>
    <mergeCell ref="BB19:BB20"/>
    <mergeCell ref="BC19:BC20"/>
    <mergeCell ref="BD19:BD20"/>
    <mergeCell ref="BE19:BE20"/>
    <mergeCell ref="BF19:BF20"/>
    <mergeCell ref="AU19:AU20"/>
    <mergeCell ref="AV19:AV20"/>
    <mergeCell ref="A21:A22"/>
    <mergeCell ref="B21:B22"/>
    <mergeCell ref="C21:C22"/>
    <mergeCell ref="D21:D22"/>
    <mergeCell ref="E21:E22"/>
    <mergeCell ref="F21:F22"/>
    <mergeCell ref="H21:H22"/>
    <mergeCell ref="I21:I22"/>
    <mergeCell ref="J21:J22"/>
    <mergeCell ref="N21:N22"/>
    <mergeCell ref="Q21:Q22"/>
    <mergeCell ref="R21:R22"/>
    <mergeCell ref="S21:S22"/>
    <mergeCell ref="T21:T22"/>
    <mergeCell ref="U21:U22"/>
    <mergeCell ref="V21:V22"/>
    <mergeCell ref="W21:W22"/>
    <mergeCell ref="X21:X22"/>
    <mergeCell ref="Y21:Y22"/>
    <mergeCell ref="Z21:Z22"/>
    <mergeCell ref="AA21:AA22"/>
    <mergeCell ref="AB21:AB22"/>
    <mergeCell ref="AC21:AC22"/>
    <mergeCell ref="AS21:AS22"/>
    <mergeCell ref="AT21:AT22"/>
    <mergeCell ref="AU21:AU22"/>
    <mergeCell ref="AV21:AV22"/>
    <mergeCell ref="AW21:AW22"/>
    <mergeCell ref="AX21:AX22"/>
    <mergeCell ref="AY21:AY22"/>
    <mergeCell ref="AZ21:AZ22"/>
    <mergeCell ref="BA21:BA22"/>
    <mergeCell ref="BB21:BB22"/>
    <mergeCell ref="BC21:BC22"/>
    <mergeCell ref="BD21:BD22"/>
    <mergeCell ref="BE21:BE22"/>
    <mergeCell ref="BF21:BF22"/>
    <mergeCell ref="BG21:BG22"/>
    <mergeCell ref="A23:A24"/>
    <mergeCell ref="B23:B24"/>
    <mergeCell ref="C23:C24"/>
    <mergeCell ref="D23:D24"/>
    <mergeCell ref="E23:E24"/>
    <mergeCell ref="F23:F24"/>
    <mergeCell ref="G23:G24"/>
    <mergeCell ref="H23:H24"/>
    <mergeCell ref="I23:I24"/>
    <mergeCell ref="J23:J24"/>
    <mergeCell ref="N23:N24"/>
    <mergeCell ref="Q23:Q24"/>
    <mergeCell ref="R23:R24"/>
    <mergeCell ref="S23:S24"/>
    <mergeCell ref="T23:T24"/>
    <mergeCell ref="U23:U24"/>
    <mergeCell ref="V23:V24"/>
    <mergeCell ref="W23:W24"/>
    <mergeCell ref="X23:X24"/>
    <mergeCell ref="Y23:Y24"/>
    <mergeCell ref="Z23:Z24"/>
    <mergeCell ref="AA23:AA24"/>
    <mergeCell ref="AB23:AB24"/>
    <mergeCell ref="AC23:AC24"/>
    <mergeCell ref="AD23:AD24"/>
    <mergeCell ref="AE23:AE24"/>
    <mergeCell ref="AF23:AF24"/>
    <mergeCell ref="AG23:AG24"/>
    <mergeCell ref="AH23:AH24"/>
    <mergeCell ref="AI23:AI24"/>
    <mergeCell ref="AJ23:AJ24"/>
    <mergeCell ref="AK23:AK24"/>
    <mergeCell ref="AL23:AL24"/>
    <mergeCell ref="AM23:AM24"/>
    <mergeCell ref="AN23:AN24"/>
    <mergeCell ref="AO23:AO24"/>
    <mergeCell ref="AP23:AP24"/>
    <mergeCell ref="AQ23:AQ24"/>
    <mergeCell ref="AR23:AR24"/>
    <mergeCell ref="AS23:AS24"/>
    <mergeCell ref="AT23:AT24"/>
    <mergeCell ref="AU23:AU24"/>
    <mergeCell ref="AV23:AV24"/>
    <mergeCell ref="AW23:AW24"/>
    <mergeCell ref="AX23:AX24"/>
    <mergeCell ref="AY23:AY24"/>
    <mergeCell ref="AZ23:AZ24"/>
    <mergeCell ref="BA23:BA24"/>
    <mergeCell ref="BB23:BB24"/>
    <mergeCell ref="BC23:BC24"/>
    <mergeCell ref="BD23:BD24"/>
    <mergeCell ref="BE23:BE24"/>
    <mergeCell ref="BF23:BF24"/>
    <mergeCell ref="BG23:BG24"/>
    <mergeCell ref="A27:A28"/>
    <mergeCell ref="B27:B28"/>
    <mergeCell ref="C27:C28"/>
    <mergeCell ref="D27:D28"/>
    <mergeCell ref="E27:E28"/>
    <mergeCell ref="F27:F28"/>
    <mergeCell ref="G27:G28"/>
    <mergeCell ref="H27:H28"/>
    <mergeCell ref="I27:I28"/>
    <mergeCell ref="J27:J28"/>
    <mergeCell ref="N27:N28"/>
    <mergeCell ref="Q27:Q28"/>
    <mergeCell ref="R27:R28"/>
    <mergeCell ref="S27:S28"/>
    <mergeCell ref="T27:T28"/>
    <mergeCell ref="U27:U28"/>
    <mergeCell ref="V27:V28"/>
    <mergeCell ref="W27:W28"/>
    <mergeCell ref="X27:X28"/>
    <mergeCell ref="Y27:Y28"/>
    <mergeCell ref="Z27:Z28"/>
    <mergeCell ref="AL27:AL28"/>
    <mergeCell ref="AA27:AA28"/>
    <mergeCell ref="AB27:AB28"/>
    <mergeCell ref="AC27:AC28"/>
    <mergeCell ref="AD27:AD28"/>
    <mergeCell ref="AE27:AE28"/>
    <mergeCell ref="AF27:AF28"/>
    <mergeCell ref="AN27:AN28"/>
    <mergeCell ref="AO27:AO28"/>
    <mergeCell ref="AP27:AP28"/>
    <mergeCell ref="AQ27:AQ28"/>
    <mergeCell ref="AR27:AR28"/>
    <mergeCell ref="AG27:AG28"/>
    <mergeCell ref="AH27:AH28"/>
    <mergeCell ref="AI27:AI28"/>
    <mergeCell ref="AJ27:AJ28"/>
    <mergeCell ref="AK27:AK28"/>
    <mergeCell ref="G29:G30"/>
    <mergeCell ref="AY27:AY28"/>
    <mergeCell ref="AZ27:AZ28"/>
    <mergeCell ref="BA27:BA28"/>
    <mergeCell ref="BB27:BB28"/>
    <mergeCell ref="BC27:BC28"/>
    <mergeCell ref="AS27:AS28"/>
    <mergeCell ref="AT27:AT28"/>
    <mergeCell ref="AU27:AU28"/>
    <mergeCell ref="AV27:AV28"/>
    <mergeCell ref="AV29:AV30"/>
    <mergeCell ref="BC29:BC30"/>
    <mergeCell ref="A29:A30"/>
    <mergeCell ref="B29:B30"/>
    <mergeCell ref="C29:C30"/>
    <mergeCell ref="D29:D30"/>
    <mergeCell ref="E29:E30"/>
    <mergeCell ref="F29:F30"/>
    <mergeCell ref="Y29:Y30"/>
    <mergeCell ref="Z29:Z30"/>
    <mergeCell ref="AA29:AA30"/>
    <mergeCell ref="BE27:BE28"/>
    <mergeCell ref="BF27:BF28"/>
    <mergeCell ref="BG27:BG28"/>
    <mergeCell ref="BD27:BD28"/>
    <mergeCell ref="AW27:AW28"/>
    <mergeCell ref="AX27:AX28"/>
    <mergeCell ref="AM27:AM28"/>
    <mergeCell ref="AO29:AO30"/>
    <mergeCell ref="AP29:AP30"/>
    <mergeCell ref="AE29:AE30"/>
    <mergeCell ref="AF29:AF30"/>
    <mergeCell ref="AG29:AG30"/>
    <mergeCell ref="AH29:AH30"/>
    <mergeCell ref="AI29:AI30"/>
    <mergeCell ref="AJ29:AJ30"/>
    <mergeCell ref="AZ29:AZ30"/>
    <mergeCell ref="BA29:BA30"/>
    <mergeCell ref="BB29:BB30"/>
    <mergeCell ref="AQ29:AQ30"/>
    <mergeCell ref="AR29:AR30"/>
    <mergeCell ref="AS29:AS30"/>
    <mergeCell ref="AT29:AT30"/>
    <mergeCell ref="AU29:AU30"/>
    <mergeCell ref="A31:A32"/>
    <mergeCell ref="B31:B32"/>
    <mergeCell ref="C31:C32"/>
    <mergeCell ref="D31:D32"/>
    <mergeCell ref="E31:E32"/>
    <mergeCell ref="AW29:AW30"/>
    <mergeCell ref="AK29:AK30"/>
    <mergeCell ref="AL29:AL30"/>
    <mergeCell ref="AM29:AM30"/>
    <mergeCell ref="AN29:AN30"/>
    <mergeCell ref="H29:H30"/>
    <mergeCell ref="I29:I30"/>
    <mergeCell ref="J29:J30"/>
    <mergeCell ref="N29:N30"/>
    <mergeCell ref="Q29:Q30"/>
    <mergeCell ref="R29:R30"/>
    <mergeCell ref="S29:S30"/>
    <mergeCell ref="T29:T30"/>
    <mergeCell ref="U29:U30"/>
    <mergeCell ref="V29:V30"/>
    <mergeCell ref="W29:W30"/>
    <mergeCell ref="X29:X30"/>
    <mergeCell ref="AH31:AH32"/>
    <mergeCell ref="AI31:AI32"/>
    <mergeCell ref="AJ31:AJ32"/>
    <mergeCell ref="AK31:AK32"/>
    <mergeCell ref="AL31:AL32"/>
    <mergeCell ref="AM31:AM32"/>
    <mergeCell ref="AN31:AN32"/>
    <mergeCell ref="AO31:AO32"/>
    <mergeCell ref="AP31:AP32"/>
    <mergeCell ref="AQ31:AQ32"/>
    <mergeCell ref="BD29:BD30"/>
    <mergeCell ref="BE29:BE30"/>
    <mergeCell ref="BF29:BF30"/>
    <mergeCell ref="BG29:BG30"/>
    <mergeCell ref="AB29:AB30"/>
    <mergeCell ref="AC29:AC30"/>
    <mergeCell ref="AD29:AD30"/>
    <mergeCell ref="AX29:AX30"/>
    <mergeCell ref="AY29:AY30"/>
    <mergeCell ref="F31:F32"/>
    <mergeCell ref="G31:G32"/>
    <mergeCell ref="H31:H32"/>
    <mergeCell ref="I31:I32"/>
    <mergeCell ref="J31:J32"/>
    <mergeCell ref="N31:N32"/>
    <mergeCell ref="Q31:Q32"/>
    <mergeCell ref="R31:R32"/>
    <mergeCell ref="S31:S32"/>
    <mergeCell ref="T31:T32"/>
    <mergeCell ref="U31:U32"/>
    <mergeCell ref="V31:V32"/>
    <mergeCell ref="W31:W32"/>
    <mergeCell ref="X31:X32"/>
    <mergeCell ref="Y31:Y32"/>
    <mergeCell ref="Z31:Z32"/>
    <mergeCell ref="AA31:AA32"/>
    <mergeCell ref="AB31:AB32"/>
    <mergeCell ref="AC31:AC32"/>
    <mergeCell ref="AD31:AD32"/>
    <mergeCell ref="AE31:AE32"/>
    <mergeCell ref="AF31:AF32"/>
    <mergeCell ref="AG31:AG32"/>
    <mergeCell ref="AR31:AR32"/>
    <mergeCell ref="AS31:AS32"/>
    <mergeCell ref="AT31:AT32"/>
    <mergeCell ref="AU31:AU32"/>
    <mergeCell ref="AV31:AV32"/>
    <mergeCell ref="AW31:AW32"/>
    <mergeCell ref="AX31:AX32"/>
    <mergeCell ref="AY31:AY32"/>
    <mergeCell ref="AZ31:AZ32"/>
    <mergeCell ref="BA31:BA32"/>
    <mergeCell ref="BB31:BB32"/>
    <mergeCell ref="BC31:BC32"/>
    <mergeCell ref="BD31:BD32"/>
    <mergeCell ref="BE31:BE32"/>
    <mergeCell ref="BF31:BF32"/>
    <mergeCell ref="BG31:BG32"/>
    <mergeCell ref="A33:A34"/>
    <mergeCell ref="B33:B34"/>
    <mergeCell ref="C33:C34"/>
    <mergeCell ref="D33:D34"/>
    <mergeCell ref="E33:E34"/>
    <mergeCell ref="F33:F34"/>
    <mergeCell ref="G33:G34"/>
    <mergeCell ref="H33:H34"/>
    <mergeCell ref="I33:I34"/>
    <mergeCell ref="J33:J34"/>
    <mergeCell ref="N33:N34"/>
    <mergeCell ref="Q33:Q34"/>
    <mergeCell ref="R33:R34"/>
    <mergeCell ref="S33:S34"/>
    <mergeCell ref="T33:T34"/>
    <mergeCell ref="U33:U34"/>
    <mergeCell ref="V33:V34"/>
    <mergeCell ref="W33:W34"/>
    <mergeCell ref="X33:X34"/>
    <mergeCell ref="Y33:Y34"/>
    <mergeCell ref="Z33:Z34"/>
    <mergeCell ref="AA33:AA34"/>
    <mergeCell ref="AB33:AB34"/>
    <mergeCell ref="AC33:AC34"/>
    <mergeCell ref="AD33:AD34"/>
    <mergeCell ref="AE33:AE34"/>
    <mergeCell ref="AF33:AF34"/>
    <mergeCell ref="AG33:AG34"/>
    <mergeCell ref="AH33:AH34"/>
    <mergeCell ref="AI33:AI34"/>
    <mergeCell ref="AJ33:AJ34"/>
    <mergeCell ref="AK33:AK34"/>
    <mergeCell ref="AL33:AL34"/>
    <mergeCell ref="AM33:AM34"/>
    <mergeCell ref="AN33:AN34"/>
    <mergeCell ref="AO33:AO34"/>
    <mergeCell ref="AP33:AP34"/>
    <mergeCell ref="AQ33:AQ34"/>
    <mergeCell ref="AR33:AR34"/>
    <mergeCell ref="AS33:AS34"/>
    <mergeCell ref="AT33:AT34"/>
    <mergeCell ref="AU33:AU34"/>
    <mergeCell ref="AV33:AV34"/>
    <mergeCell ref="AW33:AW34"/>
    <mergeCell ref="AX33:AX34"/>
    <mergeCell ref="AY33:AY34"/>
    <mergeCell ref="AZ33:AZ34"/>
    <mergeCell ref="BA33:BA34"/>
    <mergeCell ref="BB33:BB34"/>
    <mergeCell ref="BC33:BC34"/>
    <mergeCell ref="BD33:BD34"/>
    <mergeCell ref="BE33:BE34"/>
    <mergeCell ref="BF33:BF34"/>
    <mergeCell ref="BG33:BG34"/>
    <mergeCell ref="A35:A36"/>
    <mergeCell ref="B35:B36"/>
    <mergeCell ref="C35:C36"/>
    <mergeCell ref="D35:D36"/>
    <mergeCell ref="E35:E36"/>
    <mergeCell ref="F35:F36"/>
    <mergeCell ref="G35:G36"/>
    <mergeCell ref="H35:H36"/>
    <mergeCell ref="I35:I36"/>
    <mergeCell ref="J35:J36"/>
    <mergeCell ref="N35:N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35:AF36"/>
    <mergeCell ref="AG35:AG36"/>
    <mergeCell ref="AH35:AH36"/>
    <mergeCell ref="AI35:AI36"/>
    <mergeCell ref="AJ35:AJ36"/>
    <mergeCell ref="AK35:AK36"/>
    <mergeCell ref="AL35:AL36"/>
    <mergeCell ref="AM35:AM36"/>
    <mergeCell ref="AN35:AN36"/>
    <mergeCell ref="AO35:AO36"/>
    <mergeCell ref="AP35:AP36"/>
    <mergeCell ref="AQ35:AQ36"/>
    <mergeCell ref="AR35:AR36"/>
    <mergeCell ref="AS35:AS36"/>
    <mergeCell ref="AT35:AT36"/>
    <mergeCell ref="AU35:AU36"/>
    <mergeCell ref="AV35:AV36"/>
    <mergeCell ref="AW35:AW36"/>
    <mergeCell ref="AX35:AX36"/>
    <mergeCell ref="AY35:AY36"/>
    <mergeCell ref="AZ35:AZ36"/>
    <mergeCell ref="BA35:BA36"/>
    <mergeCell ref="BB35:BB36"/>
    <mergeCell ref="BC35:BC36"/>
    <mergeCell ref="BD35:BD36"/>
    <mergeCell ref="BE35:BE36"/>
    <mergeCell ref="BF35:BF36"/>
    <mergeCell ref="BG35:BG36"/>
    <mergeCell ref="A37:A38"/>
    <mergeCell ref="B37:B38"/>
    <mergeCell ref="C37:C38"/>
    <mergeCell ref="D37:D38"/>
    <mergeCell ref="E37:E38"/>
    <mergeCell ref="F37:F38"/>
    <mergeCell ref="G37:G38"/>
    <mergeCell ref="H37:H38"/>
    <mergeCell ref="I37:I38"/>
    <mergeCell ref="J37:J38"/>
    <mergeCell ref="N37:N38"/>
    <mergeCell ref="Q37:Q38"/>
    <mergeCell ref="R37:R38"/>
    <mergeCell ref="S37:S38"/>
    <mergeCell ref="T37:T38"/>
    <mergeCell ref="U37:U38"/>
    <mergeCell ref="V37:V38"/>
    <mergeCell ref="W37:W38"/>
    <mergeCell ref="X37:X38"/>
    <mergeCell ref="Y37:Y38"/>
    <mergeCell ref="Z37:Z38"/>
    <mergeCell ref="AA37:AA38"/>
    <mergeCell ref="AB37:AB38"/>
    <mergeCell ref="BE37:BE38"/>
    <mergeCell ref="BF37:BF38"/>
    <mergeCell ref="BG37:BG38"/>
    <mergeCell ref="A39:A40"/>
    <mergeCell ref="B39:B40"/>
    <mergeCell ref="C39:C40"/>
    <mergeCell ref="D39:D40"/>
    <mergeCell ref="E39:E40"/>
    <mergeCell ref="F39:F40"/>
    <mergeCell ref="G39:G40"/>
    <mergeCell ref="H39:H40"/>
    <mergeCell ref="I39:I40"/>
    <mergeCell ref="J39:J40"/>
    <mergeCell ref="N39:N40"/>
    <mergeCell ref="Q39:Q40"/>
    <mergeCell ref="R39:R40"/>
    <mergeCell ref="S39:S40"/>
    <mergeCell ref="T39:T40"/>
    <mergeCell ref="U39:U40"/>
    <mergeCell ref="V39:V40"/>
    <mergeCell ref="W39:W40"/>
    <mergeCell ref="AC37:AC38"/>
    <mergeCell ref="AD37:AD38"/>
    <mergeCell ref="AE37:AE38"/>
    <mergeCell ref="AF37:AF38"/>
    <mergeCell ref="AG37:AG38"/>
    <mergeCell ref="AH37:AH38"/>
    <mergeCell ref="AI37:AI38"/>
    <mergeCell ref="AJ37:AJ38"/>
    <mergeCell ref="AK37:AK38"/>
    <mergeCell ref="AL37:AL38"/>
    <mergeCell ref="AM37:AM38"/>
    <mergeCell ref="AR39:AR40"/>
    <mergeCell ref="AG39:AG40"/>
    <mergeCell ref="AH39:AH40"/>
    <mergeCell ref="AI39:AI40"/>
    <mergeCell ref="AJ39:AJ40"/>
    <mergeCell ref="AK39:AK40"/>
    <mergeCell ref="AT37:AT38"/>
    <mergeCell ref="AU37:AU38"/>
    <mergeCell ref="AV37:AV38"/>
    <mergeCell ref="AW37:AW38"/>
    <mergeCell ref="AX37:AX38"/>
    <mergeCell ref="AY37:AY38"/>
    <mergeCell ref="AZ37:AZ38"/>
    <mergeCell ref="BA37:BA38"/>
    <mergeCell ref="BB37:BB38"/>
    <mergeCell ref="BC37:BC38"/>
    <mergeCell ref="BD37:BD38"/>
    <mergeCell ref="AN37:AN38"/>
    <mergeCell ref="AO37:AO38"/>
    <mergeCell ref="AP37:AP38"/>
    <mergeCell ref="AQ37:AQ38"/>
    <mergeCell ref="AR37:AR38"/>
    <mergeCell ref="AS37:AS38"/>
    <mergeCell ref="G41:G42"/>
    <mergeCell ref="AY39:AY40"/>
    <mergeCell ref="AZ39:AZ40"/>
    <mergeCell ref="BA39:BA40"/>
    <mergeCell ref="BB39:BB40"/>
    <mergeCell ref="BC39:BC40"/>
    <mergeCell ref="AS39:AS40"/>
    <mergeCell ref="AT39:AT40"/>
    <mergeCell ref="AU39:AU40"/>
    <mergeCell ref="AV39:AV40"/>
    <mergeCell ref="A41:A42"/>
    <mergeCell ref="B41:B42"/>
    <mergeCell ref="C41:C42"/>
    <mergeCell ref="D41:D42"/>
    <mergeCell ref="E41:E42"/>
    <mergeCell ref="F41:F42"/>
    <mergeCell ref="Y41:Y42"/>
    <mergeCell ref="Z41:Z42"/>
    <mergeCell ref="AA41:AA42"/>
    <mergeCell ref="X39:X40"/>
    <mergeCell ref="Y39:Y40"/>
    <mergeCell ref="Z39:Z40"/>
    <mergeCell ref="AL39:AL40"/>
    <mergeCell ref="AA39:AA40"/>
    <mergeCell ref="AB39:AB40"/>
    <mergeCell ref="AC39:AC40"/>
    <mergeCell ref="AD39:AD40"/>
    <mergeCell ref="AE39:AE40"/>
    <mergeCell ref="AF39:AF40"/>
    <mergeCell ref="AN39:AN40"/>
    <mergeCell ref="AO39:AO40"/>
    <mergeCell ref="AP39:AP40"/>
    <mergeCell ref="BE39:BE40"/>
    <mergeCell ref="BF39:BF40"/>
    <mergeCell ref="BG39:BG40"/>
    <mergeCell ref="BD39:BD40"/>
    <mergeCell ref="AW39:AW40"/>
    <mergeCell ref="AX39:AX40"/>
    <mergeCell ref="AM39:AM40"/>
    <mergeCell ref="AO41:AO42"/>
    <mergeCell ref="AP41:AP42"/>
    <mergeCell ref="AE41:AE42"/>
    <mergeCell ref="AF41:AF42"/>
    <mergeCell ref="AG41:AG42"/>
    <mergeCell ref="AH41:AH42"/>
    <mergeCell ref="AI41:AI42"/>
    <mergeCell ref="AJ41:AJ42"/>
    <mergeCell ref="AZ41:AZ42"/>
    <mergeCell ref="BA41:BA42"/>
    <mergeCell ref="BB41:BB42"/>
    <mergeCell ref="AQ41:AQ42"/>
    <mergeCell ref="AR41:AR42"/>
    <mergeCell ref="AS41:AS42"/>
    <mergeCell ref="AT41:AT42"/>
    <mergeCell ref="AU41:AU42"/>
    <mergeCell ref="AV41:AV42"/>
    <mergeCell ref="BC41:BC42"/>
    <mergeCell ref="BD41:BD42"/>
    <mergeCell ref="BE41:BE42"/>
    <mergeCell ref="BF41:BF42"/>
    <mergeCell ref="BG41:BG42"/>
    <mergeCell ref="AX41:AX42"/>
    <mergeCell ref="AY41:AY42"/>
    <mergeCell ref="AQ39:AQ40"/>
    <mergeCell ref="A43:A44"/>
    <mergeCell ref="B43:B44"/>
    <mergeCell ref="C43:C44"/>
    <mergeCell ref="D43:D44"/>
    <mergeCell ref="E43:E44"/>
    <mergeCell ref="AW41:AW42"/>
    <mergeCell ref="AK41:AK42"/>
    <mergeCell ref="AL41:AL42"/>
    <mergeCell ref="AM41:AM42"/>
    <mergeCell ref="AN41:AN42"/>
    <mergeCell ref="H41:H42"/>
    <mergeCell ref="I41:I42"/>
    <mergeCell ref="J41:J42"/>
    <mergeCell ref="N41:N42"/>
    <mergeCell ref="Q41:Q42"/>
    <mergeCell ref="R41:R42"/>
    <mergeCell ref="S41:S42"/>
    <mergeCell ref="T41:T42"/>
    <mergeCell ref="U41:U42"/>
    <mergeCell ref="V41:V42"/>
    <mergeCell ref="W41:W42"/>
    <mergeCell ref="X41:X42"/>
    <mergeCell ref="AB41:AB42"/>
    <mergeCell ref="AC41:AC42"/>
    <mergeCell ref="AD41:AD42"/>
    <mergeCell ref="F43:F44"/>
    <mergeCell ref="G43:G44"/>
    <mergeCell ref="H43:H44"/>
    <mergeCell ref="I43:I44"/>
    <mergeCell ref="J43:J44"/>
    <mergeCell ref="N43:N44"/>
    <mergeCell ref="Q43:Q44"/>
    <mergeCell ref="R43:R44"/>
    <mergeCell ref="S43:S44"/>
    <mergeCell ref="T43:T44"/>
    <mergeCell ref="U43:U44"/>
    <mergeCell ref="V43:V44"/>
    <mergeCell ref="W43:W44"/>
    <mergeCell ref="X43:X44"/>
    <mergeCell ref="Y43:Y44"/>
    <mergeCell ref="Z43:Z44"/>
    <mergeCell ref="AA43:AA44"/>
    <mergeCell ref="AB43:AB44"/>
    <mergeCell ref="AC43:AC44"/>
    <mergeCell ref="AD43:AD44"/>
    <mergeCell ref="AE43:AE44"/>
    <mergeCell ref="AF43:AF44"/>
    <mergeCell ref="AG43:AG44"/>
    <mergeCell ref="AH43:AH44"/>
    <mergeCell ref="AI43:AI44"/>
    <mergeCell ref="AJ43:AJ44"/>
    <mergeCell ref="AK43:AK44"/>
    <mergeCell ref="AL43:AL44"/>
    <mergeCell ref="AM43:AM44"/>
    <mergeCell ref="AN43:AN44"/>
    <mergeCell ref="AO43:AO44"/>
    <mergeCell ref="AP43:AP44"/>
    <mergeCell ref="AQ43:AQ44"/>
    <mergeCell ref="AR43:AR44"/>
    <mergeCell ref="AS43:AS44"/>
    <mergeCell ref="AT43:AT44"/>
    <mergeCell ref="AU43:AU44"/>
    <mergeCell ref="AV43:AV44"/>
    <mergeCell ref="AW43:AW44"/>
    <mergeCell ref="AX43:AX44"/>
    <mergeCell ref="AY43:AY44"/>
    <mergeCell ref="AZ43:AZ44"/>
    <mergeCell ref="BA43:BA44"/>
    <mergeCell ref="BB43:BB44"/>
    <mergeCell ref="BC43:BC44"/>
    <mergeCell ref="BD43:BD44"/>
    <mergeCell ref="BE43:BE44"/>
    <mergeCell ref="BF43:BF44"/>
    <mergeCell ref="BG43:BG44"/>
    <mergeCell ref="A45:A46"/>
    <mergeCell ref="B45:B46"/>
    <mergeCell ref="C45:C46"/>
    <mergeCell ref="D45:D46"/>
    <mergeCell ref="E45:E46"/>
    <mergeCell ref="F45:F46"/>
    <mergeCell ref="G45:G46"/>
    <mergeCell ref="H45:H46"/>
    <mergeCell ref="I45:I46"/>
    <mergeCell ref="J45:J46"/>
    <mergeCell ref="N45:N46"/>
    <mergeCell ref="Q45:Q46"/>
    <mergeCell ref="R45:R46"/>
    <mergeCell ref="S45:S46"/>
    <mergeCell ref="T45:T46"/>
    <mergeCell ref="U45:U46"/>
    <mergeCell ref="V45:V46"/>
    <mergeCell ref="W45:W46"/>
    <mergeCell ref="X45:X46"/>
    <mergeCell ref="Y45:Y46"/>
    <mergeCell ref="Z45:Z46"/>
    <mergeCell ref="AA45:AA46"/>
    <mergeCell ref="AB45:AB46"/>
    <mergeCell ref="AC45:AC46"/>
    <mergeCell ref="AD45:AD46"/>
    <mergeCell ref="AE45:AE46"/>
    <mergeCell ref="AF45:AF46"/>
    <mergeCell ref="AG45:AG46"/>
    <mergeCell ref="AH45:AH46"/>
    <mergeCell ref="AI45:AI46"/>
    <mergeCell ref="AJ45:AJ46"/>
    <mergeCell ref="AK45:AK46"/>
    <mergeCell ref="AL45:AL46"/>
    <mergeCell ref="AM45:AM46"/>
    <mergeCell ref="AN45:AN46"/>
    <mergeCell ref="AO45:AO46"/>
    <mergeCell ref="AP45:AP46"/>
    <mergeCell ref="AQ45:AQ46"/>
    <mergeCell ref="AR45:AR46"/>
    <mergeCell ref="AS45:AS46"/>
    <mergeCell ref="AT45:AT46"/>
    <mergeCell ref="AU45:AU46"/>
    <mergeCell ref="AV45:AV46"/>
    <mergeCell ref="AW45:AW46"/>
    <mergeCell ref="AX45:AX46"/>
    <mergeCell ref="BE45:BE46"/>
    <mergeCell ref="BF45:BF46"/>
    <mergeCell ref="BG45:BG46"/>
    <mergeCell ref="A47:I47"/>
    <mergeCell ref="AY45:AY46"/>
    <mergeCell ref="AZ45:AZ46"/>
    <mergeCell ref="BA45:BA46"/>
    <mergeCell ref="BB45:BB46"/>
    <mergeCell ref="BC45:BC46"/>
    <mergeCell ref="BD45:BD46"/>
    <mergeCell ref="U48:U49"/>
    <mergeCell ref="V48:V49"/>
    <mergeCell ref="W48:W49"/>
    <mergeCell ref="G48:G49"/>
    <mergeCell ref="H48:H49"/>
    <mergeCell ref="I48:I49"/>
    <mergeCell ref="J48:J49"/>
    <mergeCell ref="N48:N49"/>
    <mergeCell ref="Q48:Q49"/>
    <mergeCell ref="AJ48:AJ49"/>
    <mergeCell ref="AK48:AK49"/>
    <mergeCell ref="AL48:AL49"/>
    <mergeCell ref="AM48:AM49"/>
    <mergeCell ref="AN48:AN49"/>
    <mergeCell ref="AO48:AO49"/>
    <mergeCell ref="BG48:BG49"/>
    <mergeCell ref="AV48:AV49"/>
    <mergeCell ref="AW48:AW49"/>
    <mergeCell ref="AX48:AX49"/>
    <mergeCell ref="AY48:AY49"/>
    <mergeCell ref="AZ48:AZ49"/>
    <mergeCell ref="BA48:BA49"/>
    <mergeCell ref="R48:R49"/>
    <mergeCell ref="S48:S49"/>
    <mergeCell ref="T48:T49"/>
    <mergeCell ref="BD48:BD49"/>
    <mergeCell ref="BE48:BE49"/>
    <mergeCell ref="BF48:BF49"/>
    <mergeCell ref="AP48:AP49"/>
    <mergeCell ref="AQ48:AQ49"/>
    <mergeCell ref="AR48:AR49"/>
    <mergeCell ref="AS48:AS49"/>
    <mergeCell ref="X48:X49"/>
    <mergeCell ref="Y48:Y49"/>
    <mergeCell ref="Z48:Z49"/>
    <mergeCell ref="AA48:AA49"/>
    <mergeCell ref="AB48:AB49"/>
    <mergeCell ref="AC48:AC49"/>
    <mergeCell ref="BB48:BB49"/>
    <mergeCell ref="BC48:BC49"/>
    <mergeCell ref="AD48:AD49"/>
    <mergeCell ref="AE48:AE49"/>
    <mergeCell ref="AF48:AF49"/>
    <mergeCell ref="AG48:AG49"/>
    <mergeCell ref="AH48:AH49"/>
    <mergeCell ref="AI48:AI49"/>
    <mergeCell ref="AT48:AT49"/>
    <mergeCell ref="AU48:AU49"/>
    <mergeCell ref="A50:A51"/>
    <mergeCell ref="B50:B51"/>
    <mergeCell ref="C50:C51"/>
    <mergeCell ref="D50:D51"/>
    <mergeCell ref="E50:E51"/>
    <mergeCell ref="F50:F51"/>
    <mergeCell ref="U50:U51"/>
    <mergeCell ref="V50:V51"/>
    <mergeCell ref="W50:W51"/>
    <mergeCell ref="G50:G51"/>
    <mergeCell ref="H50:H51"/>
    <mergeCell ref="I50:I51"/>
    <mergeCell ref="J50:J51"/>
    <mergeCell ref="N50:N51"/>
    <mergeCell ref="Q50:Q51"/>
    <mergeCell ref="AJ50:AJ51"/>
    <mergeCell ref="AK50:AK51"/>
    <mergeCell ref="AD50:AD51"/>
    <mergeCell ref="AE50:AE51"/>
    <mergeCell ref="AF50:AF51"/>
    <mergeCell ref="AG50:AG51"/>
    <mergeCell ref="AH50:AH51"/>
    <mergeCell ref="AL50:AL51"/>
    <mergeCell ref="AM50:AM51"/>
    <mergeCell ref="AN50:AN51"/>
    <mergeCell ref="AO50:AO51"/>
    <mergeCell ref="AP50:AP51"/>
    <mergeCell ref="AQ50:AQ51"/>
    <mergeCell ref="AR50:AR51"/>
    <mergeCell ref="AS50:AS51"/>
    <mergeCell ref="AT50:AT51"/>
    <mergeCell ref="AU50:AU51"/>
    <mergeCell ref="R50:R51"/>
    <mergeCell ref="S50:S51"/>
    <mergeCell ref="T50:T51"/>
    <mergeCell ref="BG50:BG51"/>
    <mergeCell ref="AV50:AV51"/>
    <mergeCell ref="AW50:AW51"/>
    <mergeCell ref="AX50:AX51"/>
    <mergeCell ref="AY50:AY51"/>
    <mergeCell ref="AZ50:AZ51"/>
    <mergeCell ref="BA50:BA51"/>
    <mergeCell ref="AI50:AI51"/>
    <mergeCell ref="X50:X51"/>
    <mergeCell ref="Y50:Y51"/>
    <mergeCell ref="Z50:Z51"/>
    <mergeCell ref="AA50:AA51"/>
    <mergeCell ref="AB50:AB51"/>
    <mergeCell ref="AC50:AC51"/>
    <mergeCell ref="BB50:BB51"/>
    <mergeCell ref="BC50:BC51"/>
    <mergeCell ref="BD50:BD51"/>
    <mergeCell ref="BE50:BE51"/>
    <mergeCell ref="BF50:BF51"/>
    <mergeCell ref="A52:A53"/>
    <mergeCell ref="B52:B53"/>
    <mergeCell ref="C52:C53"/>
    <mergeCell ref="D52:D53"/>
    <mergeCell ref="E52:E53"/>
    <mergeCell ref="F52:F53"/>
    <mergeCell ref="G52:G53"/>
    <mergeCell ref="H52:H53"/>
    <mergeCell ref="I52:I53"/>
    <mergeCell ref="J52:J53"/>
    <mergeCell ref="N52:N53"/>
    <mergeCell ref="Q52:Q53"/>
    <mergeCell ref="R52:R53"/>
    <mergeCell ref="S52:S53"/>
    <mergeCell ref="T52:T53"/>
    <mergeCell ref="U52:U53"/>
    <mergeCell ref="V52:V53"/>
    <mergeCell ref="W52:W53"/>
    <mergeCell ref="X52:X53"/>
    <mergeCell ref="Y52:Y53"/>
    <mergeCell ref="Z52:Z53"/>
    <mergeCell ref="AA52:AA53"/>
    <mergeCell ref="AB52:AB53"/>
    <mergeCell ref="AC52:AC53"/>
    <mergeCell ref="AD52:AD53"/>
    <mergeCell ref="AE52:AE53"/>
    <mergeCell ref="AF52:AF53"/>
    <mergeCell ref="AG52:AG53"/>
    <mergeCell ref="AH52:AH53"/>
    <mergeCell ref="AI52:AI53"/>
    <mergeCell ref="AJ52:AJ53"/>
    <mergeCell ref="AK52:AK53"/>
    <mergeCell ref="AL52:AL53"/>
    <mergeCell ref="AM52:AM53"/>
    <mergeCell ref="AN52:AN53"/>
    <mergeCell ref="AO52:AO53"/>
    <mergeCell ref="AP52:AP53"/>
    <mergeCell ref="AQ52:AQ53"/>
    <mergeCell ref="AR52:AR53"/>
    <mergeCell ref="AS52:AS53"/>
    <mergeCell ref="AT52:AT53"/>
    <mergeCell ref="AU52:AU53"/>
    <mergeCell ref="AV52:AV53"/>
    <mergeCell ref="AW52:AW53"/>
    <mergeCell ref="AX52:AX53"/>
    <mergeCell ref="AY52:AY53"/>
    <mergeCell ref="AZ52:AZ53"/>
    <mergeCell ref="BA52:BA53"/>
    <mergeCell ref="BB52:BB53"/>
    <mergeCell ref="BC52:BC53"/>
    <mergeCell ref="BD52:BD53"/>
    <mergeCell ref="BE52:BE53"/>
    <mergeCell ref="BF52:BF53"/>
    <mergeCell ref="BG52:BG53"/>
    <mergeCell ref="A54:I54"/>
    <mergeCell ref="A55:A56"/>
    <mergeCell ref="B55:B56"/>
    <mergeCell ref="C55:C56"/>
    <mergeCell ref="D55:D56"/>
    <mergeCell ref="E55:E56"/>
    <mergeCell ref="F55:F56"/>
    <mergeCell ref="G55:G56"/>
    <mergeCell ref="H55:H56"/>
    <mergeCell ref="I55:I56"/>
    <mergeCell ref="J55:J56"/>
    <mergeCell ref="N55:N56"/>
    <mergeCell ref="Q55:Q56"/>
    <mergeCell ref="R55:R56"/>
    <mergeCell ref="S55:S56"/>
    <mergeCell ref="T55:T56"/>
    <mergeCell ref="U55:U56"/>
    <mergeCell ref="V55:V56"/>
    <mergeCell ref="W55:W56"/>
    <mergeCell ref="X55:X56"/>
    <mergeCell ref="Y55:Y56"/>
    <mergeCell ref="Z55:Z56"/>
    <mergeCell ref="AL55:AL56"/>
    <mergeCell ref="AA55:AA56"/>
    <mergeCell ref="AB55:AB56"/>
    <mergeCell ref="AC55:AC56"/>
    <mergeCell ref="AD55:AD56"/>
    <mergeCell ref="AE55:AE56"/>
    <mergeCell ref="AF55:AF56"/>
    <mergeCell ref="AN55:AN56"/>
    <mergeCell ref="AO55:AO56"/>
    <mergeCell ref="AP55:AP56"/>
    <mergeCell ref="AQ55:AQ56"/>
    <mergeCell ref="AR55:AR56"/>
    <mergeCell ref="AG55:AG56"/>
    <mergeCell ref="AH55:AH56"/>
    <mergeCell ref="AI55:AI56"/>
    <mergeCell ref="AJ55:AJ56"/>
    <mergeCell ref="AK55:AK56"/>
    <mergeCell ref="G57:G58"/>
    <mergeCell ref="AY55:AY56"/>
    <mergeCell ref="AZ55:AZ56"/>
    <mergeCell ref="BA55:BA56"/>
    <mergeCell ref="BB55:BB56"/>
    <mergeCell ref="BC55:BC56"/>
    <mergeCell ref="AS55:AS56"/>
    <mergeCell ref="AT55:AT56"/>
    <mergeCell ref="AU55:AU56"/>
    <mergeCell ref="AV55:AV56"/>
    <mergeCell ref="AV57:AV58"/>
    <mergeCell ref="BC57:BC58"/>
    <mergeCell ref="A57:A58"/>
    <mergeCell ref="B57:B58"/>
    <mergeCell ref="C57:C58"/>
    <mergeCell ref="D57:D58"/>
    <mergeCell ref="E57:E58"/>
    <mergeCell ref="F57:F58"/>
    <mergeCell ref="Y57:Y58"/>
    <mergeCell ref="Z57:Z58"/>
    <mergeCell ref="AA57:AA58"/>
    <mergeCell ref="BE55:BE56"/>
    <mergeCell ref="BF55:BF56"/>
    <mergeCell ref="BG55:BG56"/>
    <mergeCell ref="BD55:BD56"/>
    <mergeCell ref="AW55:AW56"/>
    <mergeCell ref="AX55:AX56"/>
    <mergeCell ref="AM55:AM56"/>
    <mergeCell ref="AO57:AO58"/>
    <mergeCell ref="AP57:AP58"/>
    <mergeCell ref="AE57:AE58"/>
    <mergeCell ref="AF57:AF58"/>
    <mergeCell ref="AG57:AG58"/>
    <mergeCell ref="AH57:AH58"/>
    <mergeCell ref="AI57:AI58"/>
    <mergeCell ref="AJ57:AJ58"/>
    <mergeCell ref="AZ57:AZ58"/>
    <mergeCell ref="BA57:BA58"/>
    <mergeCell ref="BB57:BB58"/>
    <mergeCell ref="AQ57:AQ58"/>
    <mergeCell ref="AR57:AR58"/>
    <mergeCell ref="AS57:AS58"/>
    <mergeCell ref="AT57:AT58"/>
    <mergeCell ref="AU57:AU58"/>
    <mergeCell ref="A59:A60"/>
    <mergeCell ref="B59:B60"/>
    <mergeCell ref="C59:C60"/>
    <mergeCell ref="D59:D60"/>
    <mergeCell ref="E59:E60"/>
    <mergeCell ref="AW57:AW58"/>
    <mergeCell ref="AK57:AK58"/>
    <mergeCell ref="AL57:AL58"/>
    <mergeCell ref="AM57:AM58"/>
    <mergeCell ref="AN57:AN58"/>
    <mergeCell ref="H57:H58"/>
    <mergeCell ref="I57:I58"/>
    <mergeCell ref="J57:J58"/>
    <mergeCell ref="N57:N58"/>
    <mergeCell ref="Q57:Q58"/>
    <mergeCell ref="R57:R58"/>
    <mergeCell ref="S57:S58"/>
    <mergeCell ref="T57:T58"/>
    <mergeCell ref="U57:U58"/>
    <mergeCell ref="V57:V58"/>
    <mergeCell ref="W57:W58"/>
    <mergeCell ref="X57:X58"/>
    <mergeCell ref="AH59:AH60"/>
    <mergeCell ref="AI59:AI60"/>
    <mergeCell ref="AJ59:AJ60"/>
    <mergeCell ref="AK59:AK60"/>
    <mergeCell ref="AL59:AL60"/>
    <mergeCell ref="AM59:AM60"/>
    <mergeCell ref="AN59:AN60"/>
    <mergeCell ref="AO59:AO60"/>
    <mergeCell ref="AP59:AP60"/>
    <mergeCell ref="AQ59:AQ60"/>
    <mergeCell ref="BD57:BD58"/>
    <mergeCell ref="BE57:BE58"/>
    <mergeCell ref="BF57:BF58"/>
    <mergeCell ref="BG57:BG58"/>
    <mergeCell ref="AB57:AB58"/>
    <mergeCell ref="AC57:AC58"/>
    <mergeCell ref="AD57:AD58"/>
    <mergeCell ref="AX57:AX58"/>
    <mergeCell ref="AY57:AY58"/>
    <mergeCell ref="F59:F60"/>
    <mergeCell ref="G59:G60"/>
    <mergeCell ref="H59:H60"/>
    <mergeCell ref="I59:I60"/>
    <mergeCell ref="J59:J60"/>
    <mergeCell ref="N59:N60"/>
    <mergeCell ref="Q59:Q60"/>
    <mergeCell ref="R59:R60"/>
    <mergeCell ref="S59:S60"/>
    <mergeCell ref="T59:T60"/>
    <mergeCell ref="U59:U60"/>
    <mergeCell ref="V59:V60"/>
    <mergeCell ref="W59:W60"/>
    <mergeCell ref="X59:X60"/>
    <mergeCell ref="Y59:Y60"/>
    <mergeCell ref="Z59:Z60"/>
    <mergeCell ref="AA59:AA60"/>
    <mergeCell ref="AB59:AB60"/>
    <mergeCell ref="AC59:AC60"/>
    <mergeCell ref="AD59:AD60"/>
    <mergeCell ref="AE59:AE60"/>
    <mergeCell ref="AF59:AF60"/>
    <mergeCell ref="AG59:AG60"/>
    <mergeCell ref="AR59:AR60"/>
    <mergeCell ref="AS59:AS60"/>
    <mergeCell ref="AT59:AT60"/>
    <mergeCell ref="AU59:AU60"/>
    <mergeCell ref="AV59:AV60"/>
    <mergeCell ref="AW59:AW60"/>
    <mergeCell ref="AX59:AX60"/>
    <mergeCell ref="AY59:AY60"/>
    <mergeCell ref="AZ59:AZ60"/>
    <mergeCell ref="BA59:BA60"/>
    <mergeCell ref="BB59:BB60"/>
    <mergeCell ref="BC59:BC60"/>
    <mergeCell ref="BD59:BD60"/>
    <mergeCell ref="BE59:BE60"/>
    <mergeCell ref="BF59:BF60"/>
    <mergeCell ref="BG59:BG60"/>
    <mergeCell ref="A61:A62"/>
    <mergeCell ref="B61:B62"/>
    <mergeCell ref="C61:C62"/>
    <mergeCell ref="D61:D62"/>
    <mergeCell ref="E61:E62"/>
    <mergeCell ref="F61:F62"/>
    <mergeCell ref="G61:G62"/>
    <mergeCell ref="H61:H62"/>
    <mergeCell ref="I61:I62"/>
    <mergeCell ref="J61:J62"/>
    <mergeCell ref="N61:N62"/>
    <mergeCell ref="Q61:Q62"/>
    <mergeCell ref="R61:R62"/>
    <mergeCell ref="S61:S62"/>
    <mergeCell ref="T61:T62"/>
    <mergeCell ref="U61:U62"/>
    <mergeCell ref="BB61:BB62"/>
    <mergeCell ref="BC61:BC62"/>
    <mergeCell ref="V61:V62"/>
    <mergeCell ref="W61:W62"/>
    <mergeCell ref="X61:X62"/>
    <mergeCell ref="Y61:Y62"/>
    <mergeCell ref="Z61:Z62"/>
    <mergeCell ref="AA61:AA62"/>
    <mergeCell ref="AB61:AB62"/>
    <mergeCell ref="AC61:AC62"/>
    <mergeCell ref="AD61:AD62"/>
    <mergeCell ref="AE61:AE62"/>
    <mergeCell ref="AF61:AF62"/>
    <mergeCell ref="AG61:AG62"/>
    <mergeCell ref="AH61:AH62"/>
    <mergeCell ref="AI61:AI62"/>
    <mergeCell ref="AJ61:AJ62"/>
    <mergeCell ref="AK61:AK62"/>
    <mergeCell ref="AL61:AL62"/>
    <mergeCell ref="AD63:AD64"/>
    <mergeCell ref="AE63:AE64"/>
    <mergeCell ref="AM61:AM62"/>
    <mergeCell ref="AN61:AN62"/>
    <mergeCell ref="AO61:AO62"/>
    <mergeCell ref="AP61:AP62"/>
    <mergeCell ref="AQ61:AQ62"/>
    <mergeCell ref="AR61:AR62"/>
    <mergeCell ref="AS61:AS62"/>
    <mergeCell ref="AT61:AT62"/>
    <mergeCell ref="AU61:AU62"/>
    <mergeCell ref="AV61:AV62"/>
    <mergeCell ref="AW61:AW62"/>
    <mergeCell ref="AX61:AX62"/>
    <mergeCell ref="AY61:AY62"/>
    <mergeCell ref="AZ61:AZ62"/>
    <mergeCell ref="BA61:BA62"/>
    <mergeCell ref="AH63:AH64"/>
    <mergeCell ref="AI63:AI64"/>
    <mergeCell ref="AJ63:AJ64"/>
    <mergeCell ref="AK63:AK64"/>
    <mergeCell ref="AL63:AL64"/>
    <mergeCell ref="AM63:AM64"/>
    <mergeCell ref="AN63:AN64"/>
    <mergeCell ref="AO63:AO64"/>
    <mergeCell ref="AP63:AP64"/>
    <mergeCell ref="AQ63:AQ64"/>
    <mergeCell ref="AR63:AR64"/>
    <mergeCell ref="AS63:AS64"/>
    <mergeCell ref="AT63:AT64"/>
    <mergeCell ref="AU63:AU64"/>
    <mergeCell ref="AV63:AV64"/>
    <mergeCell ref="AS65:AS66"/>
    <mergeCell ref="AV65:AV66"/>
    <mergeCell ref="AW63:AW64"/>
    <mergeCell ref="AX63:AX64"/>
    <mergeCell ref="BD61:BD62"/>
    <mergeCell ref="BE61:BE62"/>
    <mergeCell ref="BF61:BF62"/>
    <mergeCell ref="BG61:BG62"/>
    <mergeCell ref="A63:A64"/>
    <mergeCell ref="B63:B64"/>
    <mergeCell ref="C63:C64"/>
    <mergeCell ref="D63:D64"/>
    <mergeCell ref="E63:E64"/>
    <mergeCell ref="F63:F64"/>
    <mergeCell ref="G63:G64"/>
    <mergeCell ref="H63:H64"/>
    <mergeCell ref="I63:I64"/>
    <mergeCell ref="J63:J64"/>
    <mergeCell ref="N63:N64"/>
    <mergeCell ref="Q63:Q64"/>
    <mergeCell ref="R63:R64"/>
    <mergeCell ref="S63:S64"/>
    <mergeCell ref="T63:T64"/>
    <mergeCell ref="U63:U64"/>
    <mergeCell ref="V63:V64"/>
    <mergeCell ref="W63:W64"/>
    <mergeCell ref="X63:X64"/>
    <mergeCell ref="Y63:Y64"/>
    <mergeCell ref="Z63:Z64"/>
    <mergeCell ref="AA63:AA64"/>
    <mergeCell ref="AB63:AB64"/>
    <mergeCell ref="AC63:AC64"/>
    <mergeCell ref="AF63:AF64"/>
    <mergeCell ref="AG63:AG64"/>
    <mergeCell ref="AY63:AY64"/>
    <mergeCell ref="AZ63:AZ64"/>
    <mergeCell ref="BA63:BA64"/>
    <mergeCell ref="BB63:BB64"/>
    <mergeCell ref="BC63:BC64"/>
    <mergeCell ref="BD63:BD64"/>
    <mergeCell ref="BE63:BE64"/>
    <mergeCell ref="BF63:BF64"/>
    <mergeCell ref="BG63:BG64"/>
    <mergeCell ref="A65:A66"/>
    <mergeCell ref="B65:B66"/>
    <mergeCell ref="C65:C66"/>
    <mergeCell ref="D65:D66"/>
    <mergeCell ref="E65:E66"/>
    <mergeCell ref="F65:F66"/>
    <mergeCell ref="G65:G66"/>
    <mergeCell ref="H65:H66"/>
    <mergeCell ref="I65:I66"/>
    <mergeCell ref="J65:J66"/>
    <mergeCell ref="N65:N66"/>
    <mergeCell ref="Q65:Q66"/>
    <mergeCell ref="R65:R66"/>
    <mergeCell ref="S65:S66"/>
    <mergeCell ref="T65:T66"/>
    <mergeCell ref="U65:U66"/>
    <mergeCell ref="V65:V66"/>
    <mergeCell ref="W65:W66"/>
    <mergeCell ref="X65:X66"/>
    <mergeCell ref="Y65:Y66"/>
    <mergeCell ref="Z65:Z66"/>
    <mergeCell ref="AT65:AT66"/>
    <mergeCell ref="AU65:AU66"/>
    <mergeCell ref="AW65:AW66"/>
    <mergeCell ref="AX65:AX66"/>
    <mergeCell ref="AY65:AY66"/>
    <mergeCell ref="AZ65:AZ66"/>
    <mergeCell ref="BA65:BA66"/>
    <mergeCell ref="BB65:BB66"/>
    <mergeCell ref="BC65:BC66"/>
    <mergeCell ref="BD65:BD66"/>
    <mergeCell ref="BE65:BE66"/>
    <mergeCell ref="BF65:BF66"/>
    <mergeCell ref="BG65:BG66"/>
    <mergeCell ref="A67:I67"/>
    <mergeCell ref="A68:I68"/>
    <mergeCell ref="A69:O69"/>
    <mergeCell ref="AC65:AC66"/>
    <mergeCell ref="AD65:AD66"/>
    <mergeCell ref="AE65:AE66"/>
    <mergeCell ref="AF65:AF66"/>
    <mergeCell ref="AG65:AG66"/>
    <mergeCell ref="AH65:AH66"/>
    <mergeCell ref="AI65:AI66"/>
    <mergeCell ref="AJ65:AJ66"/>
    <mergeCell ref="AK65:AK66"/>
    <mergeCell ref="AL65:AL66"/>
    <mergeCell ref="AM65:AM66"/>
    <mergeCell ref="AN65:AN66"/>
    <mergeCell ref="AO65:AO66"/>
    <mergeCell ref="AP65:AP66"/>
    <mergeCell ref="AQ65:AQ66"/>
    <mergeCell ref="AA65:AA66"/>
    <mergeCell ref="AB65:AB66"/>
    <mergeCell ref="AR65:AR66"/>
    <mergeCell ref="A70:O70"/>
    <mergeCell ref="S71:S72"/>
    <mergeCell ref="T71:T72"/>
    <mergeCell ref="U71:U72"/>
    <mergeCell ref="V71:V72"/>
    <mergeCell ref="W71:W72"/>
    <mergeCell ref="X71:X72"/>
    <mergeCell ref="Y71:Y72"/>
    <mergeCell ref="Z71:Z72"/>
    <mergeCell ref="AA71:AA72"/>
    <mergeCell ref="AB71:AB72"/>
    <mergeCell ref="AC71:AC72"/>
    <mergeCell ref="AD71:AD72"/>
    <mergeCell ref="AE71:AE72"/>
    <mergeCell ref="AF71:AF72"/>
    <mergeCell ref="AG71:AG72"/>
    <mergeCell ref="AH71:AH72"/>
    <mergeCell ref="AI71:AI72"/>
    <mergeCell ref="AJ71:AJ72"/>
    <mergeCell ref="AK71:AK72"/>
    <mergeCell ref="AL71:AL72"/>
    <mergeCell ref="AM71:AM72"/>
    <mergeCell ref="AN71:AN72"/>
    <mergeCell ref="AO71:AO72"/>
    <mergeCell ref="AP71:AP72"/>
    <mergeCell ref="AQ71:AQ72"/>
    <mergeCell ref="AR71:AR72"/>
    <mergeCell ref="AS71:AS72"/>
    <mergeCell ref="AT71:AT72"/>
    <mergeCell ref="AU71:AU72"/>
    <mergeCell ref="AV71:AV72"/>
    <mergeCell ref="AW71:AW72"/>
    <mergeCell ref="AX71:AX72"/>
    <mergeCell ref="AY71:AY72"/>
    <mergeCell ref="AZ71:AZ72"/>
    <mergeCell ref="BA71:BA72"/>
    <mergeCell ref="BB71:BB72"/>
    <mergeCell ref="BC71:BC72"/>
    <mergeCell ref="BD71:BD72"/>
    <mergeCell ref="BE71:BE72"/>
    <mergeCell ref="BF71:BF72"/>
    <mergeCell ref="BG71:BG72"/>
    <mergeCell ref="A73:A74"/>
    <mergeCell ref="B73:B74"/>
    <mergeCell ref="C73:C74"/>
    <mergeCell ref="D73:D74"/>
    <mergeCell ref="E73:E74"/>
    <mergeCell ref="F73:F74"/>
    <mergeCell ref="G73:G74"/>
    <mergeCell ref="H73:H74"/>
    <mergeCell ref="I73:I74"/>
    <mergeCell ref="J73:J74"/>
    <mergeCell ref="N73:N74"/>
    <mergeCell ref="Q73:Q74"/>
    <mergeCell ref="R73:R74"/>
    <mergeCell ref="S73:S74"/>
    <mergeCell ref="T73:T74"/>
    <mergeCell ref="U73:U74"/>
    <mergeCell ref="V73:V74"/>
    <mergeCell ref="W73:W74"/>
    <mergeCell ref="X73:X74"/>
    <mergeCell ref="Y73:Y74"/>
    <mergeCell ref="Z73:Z74"/>
    <mergeCell ref="AA73:AA74"/>
    <mergeCell ref="AB73:AB74"/>
    <mergeCell ref="AC73:AC74"/>
    <mergeCell ref="AD73:AD74"/>
    <mergeCell ref="AE73:AE74"/>
    <mergeCell ref="AF73:AF74"/>
    <mergeCell ref="AG73:AG74"/>
    <mergeCell ref="AH73:AH74"/>
    <mergeCell ref="AI73:AI74"/>
    <mergeCell ref="AJ73:AJ74"/>
    <mergeCell ref="AK73:AK74"/>
    <mergeCell ref="AL73:AL74"/>
    <mergeCell ref="AM73:AM74"/>
    <mergeCell ref="AN73:AN74"/>
    <mergeCell ref="AO73:AO74"/>
    <mergeCell ref="AP73:AP74"/>
    <mergeCell ref="AQ73:AQ74"/>
    <mergeCell ref="AR73:AR74"/>
    <mergeCell ref="AS73:AS74"/>
    <mergeCell ref="AT73:AT74"/>
    <mergeCell ref="AU73:AU74"/>
    <mergeCell ref="AV73:AV74"/>
    <mergeCell ref="AW73:AW74"/>
    <mergeCell ref="AX73:AX74"/>
    <mergeCell ref="AY73:AY74"/>
    <mergeCell ref="AZ73:AZ74"/>
    <mergeCell ref="BA73:BA74"/>
    <mergeCell ref="BB73:BB74"/>
    <mergeCell ref="BC73:BC74"/>
    <mergeCell ref="BD73:BD74"/>
    <mergeCell ref="BE73:BE74"/>
    <mergeCell ref="BF73:BF74"/>
    <mergeCell ref="BG73:BG74"/>
    <mergeCell ref="A75:A76"/>
    <mergeCell ref="B75:B76"/>
    <mergeCell ref="C75:C76"/>
    <mergeCell ref="D75:D76"/>
    <mergeCell ref="E75:E76"/>
    <mergeCell ref="F75:F76"/>
    <mergeCell ref="G75:G76"/>
    <mergeCell ref="H75:H76"/>
    <mergeCell ref="I75:I76"/>
    <mergeCell ref="J75:J76"/>
    <mergeCell ref="N75:N76"/>
    <mergeCell ref="Q75:Q76"/>
    <mergeCell ref="R75:R76"/>
    <mergeCell ref="S75:S76"/>
    <mergeCell ref="T75:T76"/>
    <mergeCell ref="U75:U76"/>
    <mergeCell ref="V75:V76"/>
    <mergeCell ref="W75:W76"/>
    <mergeCell ref="X75:X76"/>
    <mergeCell ref="AX75:AX76"/>
    <mergeCell ref="AY75:AY76"/>
    <mergeCell ref="AZ75:AZ76"/>
    <mergeCell ref="BA75:BA76"/>
    <mergeCell ref="BB75:BB76"/>
    <mergeCell ref="BC75:BC76"/>
    <mergeCell ref="BD75:BD76"/>
    <mergeCell ref="BE75:BE76"/>
    <mergeCell ref="BF75:BF76"/>
    <mergeCell ref="Y75:Y76"/>
    <mergeCell ref="Z75:Z76"/>
    <mergeCell ref="AA75:AA76"/>
    <mergeCell ref="AB75:AB76"/>
    <mergeCell ref="AC75:AC76"/>
    <mergeCell ref="AD75:AD76"/>
    <mergeCell ref="AE75:AE76"/>
    <mergeCell ref="AF75:AF76"/>
    <mergeCell ref="AG75:AG76"/>
    <mergeCell ref="AH75:AH76"/>
    <mergeCell ref="AI75:AI76"/>
    <mergeCell ref="AJ75:AJ76"/>
    <mergeCell ref="AK75:AK76"/>
    <mergeCell ref="AL75:AL76"/>
    <mergeCell ref="AM75:AM76"/>
    <mergeCell ref="AN75:AN76"/>
    <mergeCell ref="AO75:AO76"/>
    <mergeCell ref="BG75:BG76"/>
    <mergeCell ref="A79:A80"/>
    <mergeCell ref="B79:B80"/>
    <mergeCell ref="C79:C80"/>
    <mergeCell ref="D79:D80"/>
    <mergeCell ref="E79:E80"/>
    <mergeCell ref="F79:F80"/>
    <mergeCell ref="G79:G80"/>
    <mergeCell ref="H79:H80"/>
    <mergeCell ref="I79:I80"/>
    <mergeCell ref="J79:J80"/>
    <mergeCell ref="N79:N80"/>
    <mergeCell ref="Q79:Q80"/>
    <mergeCell ref="AA79:AA80"/>
    <mergeCell ref="AB79:AB80"/>
    <mergeCell ref="AC79:AC80"/>
    <mergeCell ref="R79:R80"/>
    <mergeCell ref="S79:S80"/>
    <mergeCell ref="T79:T80"/>
    <mergeCell ref="U79:U80"/>
    <mergeCell ref="V79:V80"/>
    <mergeCell ref="W79:W80"/>
    <mergeCell ref="BF79:BF80"/>
    <mergeCell ref="BG79:BG80"/>
    <mergeCell ref="AV79:AV80"/>
    <mergeCell ref="AW79:AW80"/>
    <mergeCell ref="AX79:AX80"/>
    <mergeCell ref="AY79:AY80"/>
    <mergeCell ref="AZ79:AZ80"/>
    <mergeCell ref="BA79:BA80"/>
    <mergeCell ref="X79:X80"/>
    <mergeCell ref="Y79:Y80"/>
    <mergeCell ref="Z79:Z80"/>
    <mergeCell ref="BC79:BC80"/>
    <mergeCell ref="BD79:BD80"/>
    <mergeCell ref="BE79:BE80"/>
    <mergeCell ref="AP79:AP80"/>
    <mergeCell ref="AQ79:AQ80"/>
    <mergeCell ref="AR79:AR80"/>
    <mergeCell ref="AS79:AS80"/>
    <mergeCell ref="AD79:AD80"/>
    <mergeCell ref="AE79:AE80"/>
    <mergeCell ref="AF79:AF80"/>
    <mergeCell ref="AG79:AG80"/>
    <mergeCell ref="AH79:AH80"/>
    <mergeCell ref="AI79:AI80"/>
    <mergeCell ref="BB79:BB80"/>
    <mergeCell ref="AJ79:AJ80"/>
    <mergeCell ref="AK79:AK80"/>
    <mergeCell ref="AL79:AL80"/>
    <mergeCell ref="AM79:AM80"/>
    <mergeCell ref="AN79:AN80"/>
    <mergeCell ref="AO79:AO80"/>
    <mergeCell ref="AT79:AT80"/>
    <mergeCell ref="AU79:AU80"/>
    <mergeCell ref="A81:I81"/>
    <mergeCell ref="A82:A83"/>
    <mergeCell ref="B82:B83"/>
    <mergeCell ref="C82:C83"/>
    <mergeCell ref="D82:D83"/>
    <mergeCell ref="E82:E83"/>
    <mergeCell ref="F82:F83"/>
    <mergeCell ref="G82:G83"/>
    <mergeCell ref="H82:H83"/>
    <mergeCell ref="I82:I83"/>
    <mergeCell ref="J82:J83"/>
    <mergeCell ref="N82:N83"/>
    <mergeCell ref="Q82:Q83"/>
    <mergeCell ref="R82:R83"/>
    <mergeCell ref="S82:S83"/>
    <mergeCell ref="T82:T83"/>
    <mergeCell ref="U82:U83"/>
    <mergeCell ref="V82:V83"/>
    <mergeCell ref="W82:W83"/>
    <mergeCell ref="X82:X83"/>
    <mergeCell ref="Y82:Y83"/>
    <mergeCell ref="Z82:Z83"/>
    <mergeCell ref="AA82:AA83"/>
    <mergeCell ref="AB82:AB83"/>
    <mergeCell ref="AC82:AC83"/>
    <mergeCell ref="AD82:AD83"/>
    <mergeCell ref="AE82:AE83"/>
    <mergeCell ref="AF82:AF83"/>
    <mergeCell ref="AG82:AG83"/>
    <mergeCell ref="AH82:AH83"/>
    <mergeCell ref="AI82:AI83"/>
    <mergeCell ref="AJ82:AJ83"/>
    <mergeCell ref="AK82:AK83"/>
    <mergeCell ref="AL82:AL83"/>
    <mergeCell ref="AM82:AM83"/>
    <mergeCell ref="AN82:AN83"/>
    <mergeCell ref="AO82:AO83"/>
    <mergeCell ref="AP82:AP83"/>
    <mergeCell ref="AQ82:AQ83"/>
    <mergeCell ref="AR82:AR83"/>
    <mergeCell ref="AS82:AS83"/>
    <mergeCell ref="AT82:AT83"/>
    <mergeCell ref="AU82:AU83"/>
    <mergeCell ref="AV82:AV83"/>
    <mergeCell ref="AW82:AW83"/>
    <mergeCell ref="AX82:AX83"/>
    <mergeCell ref="AY82:AY83"/>
    <mergeCell ref="AZ82:AZ83"/>
    <mergeCell ref="BA82:BA83"/>
    <mergeCell ref="BB82:BB83"/>
    <mergeCell ref="BC82:BC83"/>
    <mergeCell ref="BD82:BD83"/>
    <mergeCell ref="BE82:BE83"/>
    <mergeCell ref="BF82:BF83"/>
    <mergeCell ref="BG82:BG83"/>
    <mergeCell ref="A84:A85"/>
    <mergeCell ref="B84:B85"/>
    <mergeCell ref="C84:C85"/>
    <mergeCell ref="D84:D85"/>
    <mergeCell ref="E84:E85"/>
    <mergeCell ref="F84:F85"/>
    <mergeCell ref="G84:G85"/>
    <mergeCell ref="H84:H85"/>
    <mergeCell ref="I84:I85"/>
    <mergeCell ref="J84:J85"/>
    <mergeCell ref="N84:N85"/>
    <mergeCell ref="Q84:Q85"/>
    <mergeCell ref="R84:R85"/>
    <mergeCell ref="S84:S85"/>
    <mergeCell ref="T84:T85"/>
    <mergeCell ref="U84:U85"/>
    <mergeCell ref="V84:V85"/>
    <mergeCell ref="W84:W85"/>
    <mergeCell ref="X84:X85"/>
    <mergeCell ref="Y84:Y85"/>
    <mergeCell ref="Z84:Z85"/>
    <mergeCell ref="AA84:AA85"/>
    <mergeCell ref="AB84:AB85"/>
    <mergeCell ref="AC84:AC85"/>
    <mergeCell ref="AD84:AD85"/>
    <mergeCell ref="AE84:AE85"/>
    <mergeCell ref="AF84:AF85"/>
    <mergeCell ref="AG84:AG85"/>
    <mergeCell ref="AH84:AH85"/>
    <mergeCell ref="AI84:AI85"/>
    <mergeCell ref="AJ84:AJ85"/>
    <mergeCell ref="AK84:AK85"/>
    <mergeCell ref="AL84:AL85"/>
    <mergeCell ref="AM84:AM85"/>
    <mergeCell ref="AN84:AN85"/>
    <mergeCell ref="AO84:AO85"/>
    <mergeCell ref="AP84:AP85"/>
    <mergeCell ref="AQ84:AQ85"/>
    <mergeCell ref="AR84:AR85"/>
    <mergeCell ref="AS84:AS85"/>
    <mergeCell ref="AT84:AT85"/>
    <mergeCell ref="AU84:AU85"/>
    <mergeCell ref="AV84:AV85"/>
    <mergeCell ref="AW84:AW85"/>
    <mergeCell ref="AX84:AX85"/>
    <mergeCell ref="AY84:AY85"/>
    <mergeCell ref="AZ84:AZ85"/>
    <mergeCell ref="BA84:BA85"/>
    <mergeCell ref="BB84:BB85"/>
    <mergeCell ref="BC84:BC85"/>
    <mergeCell ref="BD84:BD85"/>
    <mergeCell ref="BE84:BE85"/>
    <mergeCell ref="BF84:BF85"/>
    <mergeCell ref="BG84:BG85"/>
    <mergeCell ref="A86:A87"/>
    <mergeCell ref="B86:B87"/>
    <mergeCell ref="C86:C87"/>
    <mergeCell ref="D86:D87"/>
    <mergeCell ref="E86:E87"/>
    <mergeCell ref="F86:F87"/>
    <mergeCell ref="G86:G87"/>
    <mergeCell ref="H86:H87"/>
    <mergeCell ref="I86:I87"/>
    <mergeCell ref="J86:J87"/>
    <mergeCell ref="N86:N87"/>
    <mergeCell ref="Q86:Q87"/>
    <mergeCell ref="R86:R87"/>
    <mergeCell ref="S86:S87"/>
    <mergeCell ref="T86:T87"/>
    <mergeCell ref="U86:U87"/>
    <mergeCell ref="V86:V87"/>
    <mergeCell ref="W86:W87"/>
    <mergeCell ref="X86:X87"/>
    <mergeCell ref="Y86:Y87"/>
    <mergeCell ref="Z86:Z87"/>
    <mergeCell ref="AA86:AA87"/>
    <mergeCell ref="AB86:AB87"/>
    <mergeCell ref="AC86:AC87"/>
    <mergeCell ref="AD86:AD87"/>
    <mergeCell ref="AE86:AE87"/>
    <mergeCell ref="AF86:AF87"/>
    <mergeCell ref="AG86:AG87"/>
    <mergeCell ref="AH86:AH87"/>
    <mergeCell ref="AI86:AI87"/>
    <mergeCell ref="AJ86:AJ87"/>
    <mergeCell ref="AK86:AK87"/>
    <mergeCell ref="AL86:AL87"/>
    <mergeCell ref="AM86:AM87"/>
    <mergeCell ref="AN86:AN87"/>
    <mergeCell ref="AO86:AO87"/>
    <mergeCell ref="AP86:AP87"/>
    <mergeCell ref="AQ86:AQ87"/>
    <mergeCell ref="AR86:AR87"/>
    <mergeCell ref="AS86:AS87"/>
    <mergeCell ref="AT86:AT87"/>
    <mergeCell ref="AU86:AU87"/>
    <mergeCell ref="AV86:AV87"/>
    <mergeCell ref="AW86:AW87"/>
    <mergeCell ref="AX86:AX87"/>
    <mergeCell ref="AY86:AY87"/>
    <mergeCell ref="AZ86:AZ87"/>
    <mergeCell ref="BA86:BA87"/>
    <mergeCell ref="BB86:BB87"/>
    <mergeCell ref="BC86:BC87"/>
    <mergeCell ref="BD86:BD87"/>
    <mergeCell ref="BE86:BE87"/>
    <mergeCell ref="BF86:BF87"/>
    <mergeCell ref="BG86:BG87"/>
    <mergeCell ref="AF88:AF89"/>
    <mergeCell ref="AG88:AG89"/>
    <mergeCell ref="AH88:AH89"/>
    <mergeCell ref="AI88:AI89"/>
    <mergeCell ref="AJ88:AJ89"/>
    <mergeCell ref="AK88:AK89"/>
    <mergeCell ref="AL88:AL89"/>
    <mergeCell ref="AM88:AM89"/>
    <mergeCell ref="A88:A89"/>
    <mergeCell ref="B88:B89"/>
    <mergeCell ref="C88:C89"/>
    <mergeCell ref="D88:D89"/>
    <mergeCell ref="E88:E89"/>
    <mergeCell ref="F88:F89"/>
    <mergeCell ref="G88:G89"/>
    <mergeCell ref="H88:H89"/>
    <mergeCell ref="I88:I89"/>
    <mergeCell ref="J88:J89"/>
    <mergeCell ref="N88:N89"/>
    <mergeCell ref="Q88:Q89"/>
    <mergeCell ref="R88:R89"/>
    <mergeCell ref="S88:S89"/>
    <mergeCell ref="T88:T89"/>
    <mergeCell ref="U88:U89"/>
    <mergeCell ref="V88:V89"/>
    <mergeCell ref="AL90:AL91"/>
    <mergeCell ref="AM90:AM91"/>
    <mergeCell ref="BG88:BG89"/>
    <mergeCell ref="A90:A91"/>
    <mergeCell ref="B90:B91"/>
    <mergeCell ref="C90:C91"/>
    <mergeCell ref="D90:D91"/>
    <mergeCell ref="E90:E91"/>
    <mergeCell ref="F90:F91"/>
    <mergeCell ref="G90:G91"/>
    <mergeCell ref="AY88:AY89"/>
    <mergeCell ref="AZ88:AZ89"/>
    <mergeCell ref="Y90:Y91"/>
    <mergeCell ref="Z90:Z91"/>
    <mergeCell ref="AA90:AA91"/>
    <mergeCell ref="AB90:AB91"/>
    <mergeCell ref="BE88:BE89"/>
    <mergeCell ref="BF88:BF89"/>
    <mergeCell ref="BA88:BA89"/>
    <mergeCell ref="BB88:BB89"/>
    <mergeCell ref="BC88:BC89"/>
    <mergeCell ref="BD88:BD89"/>
    <mergeCell ref="AE90:AE91"/>
    <mergeCell ref="W88:W89"/>
    <mergeCell ref="X88:X89"/>
    <mergeCell ref="Y88:Y89"/>
    <mergeCell ref="Z88:Z89"/>
    <mergeCell ref="AA88:AA89"/>
    <mergeCell ref="AB88:AB89"/>
    <mergeCell ref="AC88:AC89"/>
    <mergeCell ref="AD88:AD89"/>
    <mergeCell ref="AE88:AE89"/>
    <mergeCell ref="AP93:AP94"/>
    <mergeCell ref="AQ93:AQ94"/>
    <mergeCell ref="AN88:AN89"/>
    <mergeCell ref="AO88:AO89"/>
    <mergeCell ref="AP88:AP89"/>
    <mergeCell ref="AQ88:AQ89"/>
    <mergeCell ref="AR88:AR89"/>
    <mergeCell ref="AS88:AS89"/>
    <mergeCell ref="AT88:AT89"/>
    <mergeCell ref="AU88:AU89"/>
    <mergeCell ref="AV88:AV89"/>
    <mergeCell ref="AW88:AW89"/>
    <mergeCell ref="AX88:AX89"/>
    <mergeCell ref="AR90:AR91"/>
    <mergeCell ref="AS90:AS91"/>
    <mergeCell ref="AT90:AT91"/>
    <mergeCell ref="AU90:AU91"/>
    <mergeCell ref="AV90:AV91"/>
    <mergeCell ref="G93:G94"/>
    <mergeCell ref="H93:H94"/>
    <mergeCell ref="I93:I94"/>
    <mergeCell ref="J93:J94"/>
    <mergeCell ref="N93:N94"/>
    <mergeCell ref="Q93:Q94"/>
    <mergeCell ref="AJ93:AJ94"/>
    <mergeCell ref="AK93:AK94"/>
    <mergeCell ref="U90:U91"/>
    <mergeCell ref="V90:V91"/>
    <mergeCell ref="W90:W91"/>
    <mergeCell ref="X90:X91"/>
    <mergeCell ref="AG90:AG91"/>
    <mergeCell ref="AH90:AH91"/>
    <mergeCell ref="AI90:AI91"/>
    <mergeCell ref="AJ90:AJ91"/>
    <mergeCell ref="AK90:AK91"/>
    <mergeCell ref="BE90:BE91"/>
    <mergeCell ref="AR93:AR94"/>
    <mergeCell ref="AS93:AS94"/>
    <mergeCell ref="AT93:AT94"/>
    <mergeCell ref="AU93:AU94"/>
    <mergeCell ref="R93:R94"/>
    <mergeCell ref="S93:S94"/>
    <mergeCell ref="T93:T94"/>
    <mergeCell ref="BE93:BE94"/>
    <mergeCell ref="AB93:AB94"/>
    <mergeCell ref="AC93:AC94"/>
    <mergeCell ref="BB93:BB94"/>
    <mergeCell ref="BC93:BC94"/>
    <mergeCell ref="AD93:AD94"/>
    <mergeCell ref="AE93:AE94"/>
    <mergeCell ref="AF93:AF94"/>
    <mergeCell ref="AG93:AG94"/>
    <mergeCell ref="AH93:AH94"/>
    <mergeCell ref="AI93:AI94"/>
    <mergeCell ref="AF90:AF91"/>
    <mergeCell ref="AN90:AN91"/>
    <mergeCell ref="AO90:AO91"/>
    <mergeCell ref="AP90:AP91"/>
    <mergeCell ref="BB90:BB91"/>
    <mergeCell ref="AQ90:AQ91"/>
    <mergeCell ref="BD93:BD94"/>
    <mergeCell ref="W93:W94"/>
    <mergeCell ref="BA93:BA94"/>
    <mergeCell ref="AL93:AL94"/>
    <mergeCell ref="AM93:AM94"/>
    <mergeCell ref="AN93:AN94"/>
    <mergeCell ref="AO93:AO94"/>
    <mergeCell ref="BF93:BF94"/>
    <mergeCell ref="U93:U94"/>
    <mergeCell ref="V93:V94"/>
    <mergeCell ref="BF90:BF91"/>
    <mergeCell ref="BG90:BG91"/>
    <mergeCell ref="A92:I92"/>
    <mergeCell ref="AW90:AW91"/>
    <mergeCell ref="AX90:AX91"/>
    <mergeCell ref="AY90:AY91"/>
    <mergeCell ref="AZ90:AZ91"/>
    <mergeCell ref="BA90:BA91"/>
    <mergeCell ref="H90:H91"/>
    <mergeCell ref="I90:I91"/>
    <mergeCell ref="J90:J91"/>
    <mergeCell ref="N90:N91"/>
    <mergeCell ref="Q90:Q91"/>
    <mergeCell ref="R90:R91"/>
    <mergeCell ref="BC90:BC91"/>
    <mergeCell ref="BD90:BD91"/>
    <mergeCell ref="AC90:AC91"/>
    <mergeCell ref="AD90:AD91"/>
    <mergeCell ref="S90:S91"/>
    <mergeCell ref="T90:T91"/>
    <mergeCell ref="BG93:BG94"/>
    <mergeCell ref="AV93:AV94"/>
    <mergeCell ref="AW93:AW94"/>
    <mergeCell ref="AX93:AX94"/>
    <mergeCell ref="AY93:AY94"/>
    <mergeCell ref="X93:X94"/>
    <mergeCell ref="Y93:Y94"/>
    <mergeCell ref="Z93:Z94"/>
    <mergeCell ref="AA93:AA94"/>
    <mergeCell ref="A95:A96"/>
    <mergeCell ref="B95:B96"/>
    <mergeCell ref="C95:C96"/>
    <mergeCell ref="D95:D96"/>
    <mergeCell ref="E95:E96"/>
    <mergeCell ref="F95:F96"/>
    <mergeCell ref="U95:U96"/>
    <mergeCell ref="V95:V96"/>
    <mergeCell ref="W95:W96"/>
    <mergeCell ref="G95:G96"/>
    <mergeCell ref="H95:H96"/>
    <mergeCell ref="I95:I96"/>
    <mergeCell ref="J95:J96"/>
    <mergeCell ref="N95:N96"/>
    <mergeCell ref="Q95:Q96"/>
    <mergeCell ref="AJ95:AJ96"/>
    <mergeCell ref="AK95:AK96"/>
    <mergeCell ref="AG95:AG96"/>
    <mergeCell ref="AH95:AH96"/>
    <mergeCell ref="AI95:AI96"/>
    <mergeCell ref="AB95:AB96"/>
    <mergeCell ref="AC95:AC96"/>
    <mergeCell ref="AL95:AL96"/>
    <mergeCell ref="AM95:AM96"/>
    <mergeCell ref="AN95:AN96"/>
    <mergeCell ref="AO95:AO96"/>
    <mergeCell ref="A93:A94"/>
    <mergeCell ref="B93:B94"/>
    <mergeCell ref="C93:C94"/>
    <mergeCell ref="D93:D94"/>
    <mergeCell ref="E93:E94"/>
    <mergeCell ref="F93:F94"/>
    <mergeCell ref="AZ93:AZ94"/>
    <mergeCell ref="BG95:BG96"/>
    <mergeCell ref="AV95:AV96"/>
    <mergeCell ref="AW95:AW96"/>
    <mergeCell ref="AX95:AX96"/>
    <mergeCell ref="AY95:AY96"/>
    <mergeCell ref="AZ95:AZ96"/>
    <mergeCell ref="BA95:BA96"/>
    <mergeCell ref="R95:R96"/>
    <mergeCell ref="S95:S96"/>
    <mergeCell ref="T95:T96"/>
    <mergeCell ref="BD95:BD96"/>
    <mergeCell ref="BE95:BE96"/>
    <mergeCell ref="BF95:BF96"/>
    <mergeCell ref="AP95:AP96"/>
    <mergeCell ref="AQ95:AQ96"/>
    <mergeCell ref="AR95:AR96"/>
    <mergeCell ref="AS95:AS96"/>
    <mergeCell ref="X95:X96"/>
    <mergeCell ref="Y95:Y96"/>
    <mergeCell ref="Z95:Z96"/>
    <mergeCell ref="AA95:AA96"/>
    <mergeCell ref="BB95:BB96"/>
    <mergeCell ref="BC95:BC96"/>
    <mergeCell ref="AD95:AD96"/>
    <mergeCell ref="AE95:AE96"/>
    <mergeCell ref="AF95:AF96"/>
    <mergeCell ref="AT95:AT96"/>
    <mergeCell ref="AU95:AU96"/>
    <mergeCell ref="A97:A98"/>
    <mergeCell ref="B97:B98"/>
    <mergeCell ref="C97:C98"/>
    <mergeCell ref="D97:D98"/>
    <mergeCell ref="E97:E98"/>
    <mergeCell ref="F97:F98"/>
    <mergeCell ref="U97:U98"/>
    <mergeCell ref="V97:V98"/>
    <mergeCell ref="W97:W98"/>
    <mergeCell ref="G97:G98"/>
    <mergeCell ref="H97:H98"/>
    <mergeCell ref="I97:I98"/>
    <mergeCell ref="J97:J98"/>
    <mergeCell ref="N97:N98"/>
    <mergeCell ref="Q97:Q98"/>
    <mergeCell ref="AJ97:AJ98"/>
    <mergeCell ref="AK97:AK98"/>
    <mergeCell ref="AD97:AD98"/>
    <mergeCell ref="AE97:AE98"/>
    <mergeCell ref="AF97:AF98"/>
    <mergeCell ref="AG97:AG98"/>
    <mergeCell ref="AH97:AH98"/>
    <mergeCell ref="AL97:AL98"/>
    <mergeCell ref="AM97:AM98"/>
    <mergeCell ref="AN97:AN98"/>
    <mergeCell ref="AO97:AO98"/>
    <mergeCell ref="AP97:AP98"/>
    <mergeCell ref="AQ97:AQ98"/>
    <mergeCell ref="AR97:AR98"/>
    <mergeCell ref="AS97:AS98"/>
    <mergeCell ref="AT97:AT98"/>
    <mergeCell ref="AU97:AU98"/>
    <mergeCell ref="R97:R98"/>
    <mergeCell ref="S97:S98"/>
    <mergeCell ref="T97:T98"/>
    <mergeCell ref="BG97:BG98"/>
    <mergeCell ref="AV97:AV98"/>
    <mergeCell ref="AW97:AW98"/>
    <mergeCell ref="AX97:AX98"/>
    <mergeCell ref="AY97:AY98"/>
    <mergeCell ref="AZ97:AZ98"/>
    <mergeCell ref="BA97:BA98"/>
    <mergeCell ref="AI97:AI98"/>
    <mergeCell ref="X97:X98"/>
    <mergeCell ref="Y97:Y98"/>
    <mergeCell ref="Z97:Z98"/>
    <mergeCell ref="AA97:AA98"/>
    <mergeCell ref="AB97:AB98"/>
    <mergeCell ref="AC97:AC98"/>
    <mergeCell ref="BB97:BB98"/>
    <mergeCell ref="BC97:BC98"/>
    <mergeCell ref="BD97:BD98"/>
    <mergeCell ref="BE97:BE98"/>
    <mergeCell ref="BF97:BF98"/>
    <mergeCell ref="A99:A100"/>
    <mergeCell ref="B99:B100"/>
    <mergeCell ref="C99:C100"/>
    <mergeCell ref="D99:D100"/>
    <mergeCell ref="E99:E100"/>
    <mergeCell ref="F99:F100"/>
    <mergeCell ref="G99:G100"/>
    <mergeCell ref="H99:H100"/>
    <mergeCell ref="I99:I100"/>
    <mergeCell ref="J99:J100"/>
    <mergeCell ref="N99:N100"/>
    <mergeCell ref="Q99:Q100"/>
    <mergeCell ref="R99:R100"/>
    <mergeCell ref="S99:S100"/>
    <mergeCell ref="T99:T100"/>
    <mergeCell ref="U99:U100"/>
    <mergeCell ref="V99:V100"/>
    <mergeCell ref="W99:W100"/>
    <mergeCell ref="X99:X100"/>
    <mergeCell ref="Y99:Y100"/>
    <mergeCell ref="Z99:Z100"/>
    <mergeCell ref="AA99:AA100"/>
    <mergeCell ref="AB99:AB100"/>
    <mergeCell ref="AC99:AC100"/>
    <mergeCell ref="AD99:AD100"/>
    <mergeCell ref="AE99:AE100"/>
    <mergeCell ref="AF99:AF100"/>
    <mergeCell ref="AG99:AG100"/>
    <mergeCell ref="AH99:AH100"/>
    <mergeCell ref="AI99:AI100"/>
    <mergeCell ref="AJ99:AJ100"/>
    <mergeCell ref="AK99:AK100"/>
    <mergeCell ref="AL99:AL100"/>
    <mergeCell ref="AM99:AM100"/>
    <mergeCell ref="AN99:AN100"/>
    <mergeCell ref="AO99:AO100"/>
    <mergeCell ref="AP99:AP100"/>
    <mergeCell ref="AQ99:AQ100"/>
    <mergeCell ref="AR99:AR100"/>
    <mergeCell ref="AS99:AS100"/>
    <mergeCell ref="AT99:AT100"/>
    <mergeCell ref="AU99:AU100"/>
    <mergeCell ref="AV99:AV100"/>
    <mergeCell ref="AW99:AW100"/>
    <mergeCell ref="AX99:AX100"/>
    <mergeCell ref="AY99:AY100"/>
    <mergeCell ref="AZ99:AZ100"/>
    <mergeCell ref="BA99:BA100"/>
    <mergeCell ref="BB99:BB100"/>
    <mergeCell ref="BC99:BC100"/>
    <mergeCell ref="BD99:BD100"/>
    <mergeCell ref="BE99:BE100"/>
    <mergeCell ref="BF99:BF100"/>
    <mergeCell ref="BG99:BG100"/>
    <mergeCell ref="A101:I101"/>
    <mergeCell ref="A102:A103"/>
    <mergeCell ref="B102:B103"/>
    <mergeCell ref="C102:C103"/>
    <mergeCell ref="D102:D103"/>
    <mergeCell ref="E102:E103"/>
    <mergeCell ref="F102:F103"/>
    <mergeCell ref="G102:G103"/>
    <mergeCell ref="H102:H103"/>
    <mergeCell ref="I102:I103"/>
    <mergeCell ref="J102:J103"/>
    <mergeCell ref="N102:N103"/>
    <mergeCell ref="Q102:Q103"/>
    <mergeCell ref="R102:R103"/>
    <mergeCell ref="S102:S103"/>
    <mergeCell ref="T102:T103"/>
    <mergeCell ref="U102:U103"/>
    <mergeCell ref="V102:V103"/>
    <mergeCell ref="W102:W103"/>
    <mergeCell ref="X102:X103"/>
    <mergeCell ref="Y102:Y103"/>
    <mergeCell ref="Z102:Z103"/>
    <mergeCell ref="AL102:AL103"/>
    <mergeCell ref="AA102:AA103"/>
    <mergeCell ref="AB102:AB103"/>
    <mergeCell ref="AC102:AC103"/>
    <mergeCell ref="AD102:AD103"/>
    <mergeCell ref="AE102:AE103"/>
    <mergeCell ref="AF102:AF103"/>
    <mergeCell ref="AN102:AN103"/>
    <mergeCell ref="AO102:AO103"/>
    <mergeCell ref="AP102:AP103"/>
    <mergeCell ref="AQ102:AQ103"/>
    <mergeCell ref="AR102:AR103"/>
    <mergeCell ref="AG102:AG103"/>
    <mergeCell ref="AH102:AH103"/>
    <mergeCell ref="AI102:AI103"/>
    <mergeCell ref="AJ102:AJ103"/>
    <mergeCell ref="AK102:AK103"/>
    <mergeCell ref="G104:G105"/>
    <mergeCell ref="AY102:AY103"/>
    <mergeCell ref="AZ102:AZ103"/>
    <mergeCell ref="BA102:BA103"/>
    <mergeCell ref="BB102:BB103"/>
    <mergeCell ref="BC102:BC103"/>
    <mergeCell ref="AS102:AS103"/>
    <mergeCell ref="AT102:AT103"/>
    <mergeCell ref="AU102:AU103"/>
    <mergeCell ref="AV102:AV103"/>
    <mergeCell ref="AV104:AV105"/>
    <mergeCell ref="BC104:BC105"/>
    <mergeCell ref="A104:A105"/>
    <mergeCell ref="B104:B105"/>
    <mergeCell ref="C104:C105"/>
    <mergeCell ref="D104:D105"/>
    <mergeCell ref="E104:E105"/>
    <mergeCell ref="F104:F105"/>
    <mergeCell ref="Y104:Y105"/>
    <mergeCell ref="Z104:Z105"/>
    <mergeCell ref="AA104:AA105"/>
    <mergeCell ref="BE102:BE103"/>
    <mergeCell ref="BF102:BF103"/>
    <mergeCell ref="BG102:BG103"/>
    <mergeCell ref="BD102:BD103"/>
    <mergeCell ref="AW102:AW103"/>
    <mergeCell ref="AX102:AX103"/>
    <mergeCell ref="AM102:AM103"/>
    <mergeCell ref="AO104:AO105"/>
    <mergeCell ref="AP104:AP105"/>
    <mergeCell ref="AE104:AE105"/>
    <mergeCell ref="AF104:AF105"/>
    <mergeCell ref="AG104:AG105"/>
    <mergeCell ref="AH104:AH105"/>
    <mergeCell ref="AI104:AI105"/>
    <mergeCell ref="AJ104:AJ105"/>
    <mergeCell ref="AZ104:AZ105"/>
    <mergeCell ref="BA104:BA105"/>
    <mergeCell ref="BB104:BB105"/>
    <mergeCell ref="AQ104:AQ105"/>
    <mergeCell ref="AR104:AR105"/>
    <mergeCell ref="AS104:AS105"/>
    <mergeCell ref="AT104:AT105"/>
    <mergeCell ref="AU104:AU105"/>
    <mergeCell ref="A106:A107"/>
    <mergeCell ref="B106:B107"/>
    <mergeCell ref="C106:C107"/>
    <mergeCell ref="D106:D107"/>
    <mergeCell ref="E106:E107"/>
    <mergeCell ref="AW104:AW105"/>
    <mergeCell ref="AK104:AK105"/>
    <mergeCell ref="AL104:AL105"/>
    <mergeCell ref="AM104:AM105"/>
    <mergeCell ref="AN104:AN105"/>
    <mergeCell ref="H104:H105"/>
    <mergeCell ref="I104:I105"/>
    <mergeCell ref="J104:J105"/>
    <mergeCell ref="N104:N105"/>
    <mergeCell ref="Q104:Q105"/>
    <mergeCell ref="R104:R105"/>
    <mergeCell ref="S104:S105"/>
    <mergeCell ref="T104:T105"/>
    <mergeCell ref="U104:U105"/>
    <mergeCell ref="V104:V105"/>
    <mergeCell ref="W104:W105"/>
    <mergeCell ref="X104:X105"/>
    <mergeCell ref="AH106:AH107"/>
    <mergeCell ref="AI106:AI107"/>
    <mergeCell ref="AJ106:AJ107"/>
    <mergeCell ref="AK106:AK107"/>
    <mergeCell ref="AL106:AL107"/>
    <mergeCell ref="AM106:AM107"/>
    <mergeCell ref="AN106:AN107"/>
    <mergeCell ref="AO106:AO107"/>
    <mergeCell ref="AP106:AP107"/>
    <mergeCell ref="AQ106:AQ107"/>
    <mergeCell ref="BD104:BD105"/>
    <mergeCell ref="BE104:BE105"/>
    <mergeCell ref="BF104:BF105"/>
    <mergeCell ref="BG104:BG105"/>
    <mergeCell ref="AB104:AB105"/>
    <mergeCell ref="AC104:AC105"/>
    <mergeCell ref="AD104:AD105"/>
    <mergeCell ref="AX104:AX105"/>
    <mergeCell ref="AY104:AY105"/>
    <mergeCell ref="F106:F107"/>
    <mergeCell ref="G106:G107"/>
    <mergeCell ref="H106:H107"/>
    <mergeCell ref="I106:I107"/>
    <mergeCell ref="J106:J107"/>
    <mergeCell ref="N106:N107"/>
    <mergeCell ref="Q106:Q107"/>
    <mergeCell ref="R106:R107"/>
    <mergeCell ref="S106:S107"/>
    <mergeCell ref="T106:T107"/>
    <mergeCell ref="U106:U107"/>
    <mergeCell ref="V106:V107"/>
    <mergeCell ref="W106:W107"/>
    <mergeCell ref="X106:X107"/>
    <mergeCell ref="Y106:Y107"/>
    <mergeCell ref="Z106:Z107"/>
    <mergeCell ref="AA106:AA107"/>
    <mergeCell ref="AB106:AB107"/>
    <mergeCell ref="AC106:AC107"/>
    <mergeCell ref="AD106:AD107"/>
    <mergeCell ref="AE106:AE107"/>
    <mergeCell ref="AF106:AF107"/>
    <mergeCell ref="AG106:AG107"/>
    <mergeCell ref="AR106:AR107"/>
    <mergeCell ref="AS106:AS107"/>
    <mergeCell ref="AT106:AT107"/>
    <mergeCell ref="AU106:AU107"/>
    <mergeCell ref="AV106:AV107"/>
    <mergeCell ref="AW106:AW107"/>
    <mergeCell ref="AX106:AX107"/>
    <mergeCell ref="AY106:AY107"/>
    <mergeCell ref="AZ106:AZ107"/>
    <mergeCell ref="BA106:BA107"/>
    <mergeCell ref="BB106:BB107"/>
    <mergeCell ref="BC106:BC107"/>
    <mergeCell ref="BD106:BD107"/>
    <mergeCell ref="BE106:BE107"/>
    <mergeCell ref="BF106:BF107"/>
    <mergeCell ref="BG106:BG107"/>
    <mergeCell ref="A108:A109"/>
    <mergeCell ref="B108:B109"/>
    <mergeCell ref="C108:C109"/>
    <mergeCell ref="D108:D109"/>
    <mergeCell ref="E108:E109"/>
    <mergeCell ref="F108:F109"/>
    <mergeCell ref="G108:G109"/>
    <mergeCell ref="H108:H109"/>
    <mergeCell ref="I108:I109"/>
    <mergeCell ref="J108:J109"/>
    <mergeCell ref="N108:N109"/>
    <mergeCell ref="Q108:Q109"/>
    <mergeCell ref="R108:R109"/>
    <mergeCell ref="S108:S109"/>
    <mergeCell ref="T108:T109"/>
    <mergeCell ref="U108:U109"/>
    <mergeCell ref="V108:V109"/>
    <mergeCell ref="W108:W109"/>
    <mergeCell ref="X108:X109"/>
    <mergeCell ref="Y108:Y109"/>
    <mergeCell ref="Z108:Z109"/>
    <mergeCell ref="AA108:AA109"/>
    <mergeCell ref="AB108:AB109"/>
    <mergeCell ref="AC108:AC109"/>
    <mergeCell ref="AD108:AD109"/>
    <mergeCell ref="AE108:AE109"/>
    <mergeCell ref="AF108:AF109"/>
    <mergeCell ref="AG108:AG109"/>
    <mergeCell ref="AH108:AH109"/>
    <mergeCell ref="AI108:AI109"/>
    <mergeCell ref="AJ108:AJ109"/>
    <mergeCell ref="AK108:AK109"/>
    <mergeCell ref="AL108:AL109"/>
    <mergeCell ref="AM108:AM109"/>
    <mergeCell ref="AN108:AN109"/>
    <mergeCell ref="AO108:AO109"/>
    <mergeCell ref="AP108:AP109"/>
    <mergeCell ref="AQ108:AQ109"/>
    <mergeCell ref="AR108:AR109"/>
    <mergeCell ref="AS108:AS109"/>
    <mergeCell ref="AT108:AT109"/>
    <mergeCell ref="AU108:AU109"/>
    <mergeCell ref="AV108:AV109"/>
    <mergeCell ref="AW108:AW109"/>
    <mergeCell ref="AX108:AX109"/>
    <mergeCell ref="AY108:AY109"/>
    <mergeCell ref="AZ108:AZ109"/>
    <mergeCell ref="BA108:BA109"/>
    <mergeCell ref="BB108:BB109"/>
    <mergeCell ref="BC108:BC109"/>
    <mergeCell ref="BD108:BD109"/>
    <mergeCell ref="BE108:BE109"/>
    <mergeCell ref="BF108:BF109"/>
    <mergeCell ref="BG108:BG109"/>
    <mergeCell ref="A110:I110"/>
    <mergeCell ref="A111:I111"/>
    <mergeCell ref="A77:A78"/>
    <mergeCell ref="B77:B78"/>
    <mergeCell ref="C77:C78"/>
    <mergeCell ref="D77:D78"/>
    <mergeCell ref="E77:E78"/>
    <mergeCell ref="F77:F78"/>
    <mergeCell ref="G77:G78"/>
    <mergeCell ref="H77:H78"/>
    <mergeCell ref="I77:I78"/>
    <mergeCell ref="J77:J78"/>
    <mergeCell ref="N77:N78"/>
    <mergeCell ref="Q77:Q78"/>
    <mergeCell ref="R77:R78"/>
    <mergeCell ref="S77:S78"/>
    <mergeCell ref="T77:T78"/>
    <mergeCell ref="U77:U78"/>
    <mergeCell ref="V77:V78"/>
    <mergeCell ref="W77:W78"/>
    <mergeCell ref="X77:X78"/>
    <mergeCell ref="Y77:Y78"/>
    <mergeCell ref="Z77:Z78"/>
    <mergeCell ref="AA77:AA78"/>
    <mergeCell ref="AB77:AB78"/>
    <mergeCell ref="AC77:AC78"/>
    <mergeCell ref="AD77:AD78"/>
    <mergeCell ref="AE77:AE78"/>
    <mergeCell ref="BG77:BG78"/>
    <mergeCell ref="A25:A26"/>
    <mergeCell ref="B25:B26"/>
    <mergeCell ref="C25:C26"/>
    <mergeCell ref="D25:D26"/>
    <mergeCell ref="E25:E26"/>
    <mergeCell ref="F25:F26"/>
    <mergeCell ref="G25:G26"/>
    <mergeCell ref="H25:H26"/>
    <mergeCell ref="I25:I26"/>
    <mergeCell ref="J25:J26"/>
    <mergeCell ref="N25:N26"/>
    <mergeCell ref="Q25:Q26"/>
    <mergeCell ref="R25:R26"/>
    <mergeCell ref="S25:S26"/>
    <mergeCell ref="T25:T26"/>
    <mergeCell ref="U25:U26"/>
    <mergeCell ref="V25:V26"/>
    <mergeCell ref="W25:W26"/>
    <mergeCell ref="X25:X26"/>
    <mergeCell ref="Y25:Y26"/>
    <mergeCell ref="Z25:Z26"/>
    <mergeCell ref="AF77:AF78"/>
    <mergeCell ref="AG77:AG78"/>
    <mergeCell ref="AH77:AH78"/>
    <mergeCell ref="AI77:AI78"/>
    <mergeCell ref="AJ77:AJ78"/>
    <mergeCell ref="AK77:AK78"/>
    <mergeCell ref="AL77:AL78"/>
    <mergeCell ref="AM77:AM78"/>
    <mergeCell ref="AN77:AN78"/>
    <mergeCell ref="AO77:AO78"/>
    <mergeCell ref="AX25:AX26"/>
    <mergeCell ref="AM25:AM26"/>
    <mergeCell ref="AN25:AN26"/>
    <mergeCell ref="AO25:AO26"/>
    <mergeCell ref="AP25:AP26"/>
    <mergeCell ref="AQ25:AQ26"/>
    <mergeCell ref="AR25:AR26"/>
    <mergeCell ref="AW77:AW78"/>
    <mergeCell ref="AX77:AX78"/>
    <mergeCell ref="AY77:AY78"/>
    <mergeCell ref="AZ77:AZ78"/>
    <mergeCell ref="BA77:BA78"/>
    <mergeCell ref="BB77:BB78"/>
    <mergeCell ref="BC77:BC78"/>
    <mergeCell ref="BD77:BD78"/>
    <mergeCell ref="BE77:BE78"/>
    <mergeCell ref="BF77:BF78"/>
    <mergeCell ref="AP77:AP78"/>
    <mergeCell ref="AQ77:AQ78"/>
    <mergeCell ref="AR77:AR78"/>
    <mergeCell ref="AS77:AS78"/>
    <mergeCell ref="AT77:AT78"/>
    <mergeCell ref="AU77:AU78"/>
    <mergeCell ref="AV77:AV78"/>
    <mergeCell ref="AP75:AP76"/>
    <mergeCell ref="AQ75:AQ76"/>
    <mergeCell ref="AR75:AR76"/>
    <mergeCell ref="AS75:AS76"/>
    <mergeCell ref="AT75:AT76"/>
    <mergeCell ref="AU75:AU76"/>
    <mergeCell ref="AV75:AV76"/>
    <mergeCell ref="AW75:AW76"/>
    <mergeCell ref="AZ25:AZ26"/>
    <mergeCell ref="BA25:BA26"/>
    <mergeCell ref="BB25:BB26"/>
    <mergeCell ref="BC25:BC26"/>
    <mergeCell ref="BD25:BD26"/>
    <mergeCell ref="AS25:AS26"/>
    <mergeCell ref="AT25:AT26"/>
    <mergeCell ref="AU25:AU26"/>
    <mergeCell ref="AV25:AV26"/>
    <mergeCell ref="AW25:AW26"/>
    <mergeCell ref="C48:C49"/>
    <mergeCell ref="B48:B49"/>
    <mergeCell ref="A48:A49"/>
    <mergeCell ref="BE25:BE26"/>
    <mergeCell ref="BF25:BF26"/>
    <mergeCell ref="BG25:BG26"/>
    <mergeCell ref="F48:F49"/>
    <mergeCell ref="E48:E49"/>
    <mergeCell ref="D48:D49"/>
    <mergeCell ref="AY25:AY26"/>
    <mergeCell ref="AA25:AA26"/>
    <mergeCell ref="AB25:AB26"/>
    <mergeCell ref="AC25:AC26"/>
    <mergeCell ref="AD25:AD26"/>
    <mergeCell ref="AE25:AE26"/>
    <mergeCell ref="AF25:AF26"/>
    <mergeCell ref="AG25:AG26"/>
    <mergeCell ref="AH25:AH26"/>
    <mergeCell ref="AI25:AI26"/>
    <mergeCell ref="AJ25:AJ26"/>
    <mergeCell ref="AK25:AK26"/>
    <mergeCell ref="AL25:AL26"/>
  </mergeCells>
  <phoneticPr fontId="61" type="noConversion"/>
  <pageMargins left="0" right="0" top="0" bottom="0" header="0" footer="0"/>
  <pageSetup paperSize="9" scale="65"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5"/>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45281</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4" si="0">L5-M5</f>
        <v>0</v>
      </c>
      <c r="P5" s="27">
        <v>0</v>
      </c>
      <c r="Q5" s="99">
        <f>+L6-P6</f>
        <v>1</v>
      </c>
      <c r="R5" s="85" t="s">
        <v>87</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2194+35</f>
        <v>2229</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6.5" customHeight="1">
      <c r="A7" s="108">
        <v>45281</v>
      </c>
      <c r="B7" s="87" t="s">
        <v>37</v>
      </c>
      <c r="C7" s="89">
        <v>1</v>
      </c>
      <c r="D7" s="91" t="s">
        <v>38</v>
      </c>
      <c r="E7" s="89">
        <v>84217</v>
      </c>
      <c r="F7" s="89" t="s">
        <v>49</v>
      </c>
      <c r="G7" s="93" t="s">
        <v>71</v>
      </c>
      <c r="H7" s="90" t="s">
        <v>47</v>
      </c>
      <c r="I7" s="90">
        <v>2804</v>
      </c>
      <c r="J7" s="90">
        <v>2804</v>
      </c>
      <c r="K7" s="20">
        <v>365</v>
      </c>
      <c r="L7" s="20">
        <v>300</v>
      </c>
      <c r="M7" s="20">
        <v>139</v>
      </c>
      <c r="N7" s="97">
        <f>O8/L8</f>
        <v>0.52306489444878812</v>
      </c>
      <c r="O7" s="21">
        <f t="shared" si="0"/>
        <v>161</v>
      </c>
      <c r="P7" s="27">
        <v>264</v>
      </c>
      <c r="Q7" s="99">
        <f>+L8-P8</f>
        <v>420</v>
      </c>
      <c r="R7" s="85"/>
      <c r="S7" s="96">
        <v>79</v>
      </c>
      <c r="T7" s="96">
        <v>1</v>
      </c>
      <c r="U7" s="96"/>
      <c r="V7" s="96"/>
      <c r="W7" s="96"/>
      <c r="X7" s="96">
        <v>1</v>
      </c>
      <c r="Y7" s="96"/>
      <c r="Z7" s="96"/>
      <c r="AA7" s="96"/>
      <c r="AB7" s="96"/>
      <c r="AC7" s="96">
        <v>13</v>
      </c>
      <c r="AD7" s="96"/>
      <c r="AE7" s="96">
        <v>5</v>
      </c>
      <c r="AF7" s="96">
        <v>12</v>
      </c>
      <c r="AG7" s="96">
        <v>7</v>
      </c>
      <c r="AH7" s="96">
        <v>16</v>
      </c>
      <c r="AI7" s="96"/>
      <c r="AJ7" s="96"/>
      <c r="AK7" s="96"/>
      <c r="AL7" s="96">
        <v>27</v>
      </c>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380+305+280+275+155+323+260+280+365</f>
        <v>2623</v>
      </c>
      <c r="L8" s="18">
        <f>270+420+350+255+363+280+320+300</f>
        <v>2558</v>
      </c>
      <c r="M8" s="18">
        <f>75+240+191+116+194+124+141+139</f>
        <v>1220</v>
      </c>
      <c r="N8" s="98"/>
      <c r="O8" s="19">
        <f t="shared" si="0"/>
        <v>1338</v>
      </c>
      <c r="P8" s="22">
        <f>75+240+269+187+501+328+274+264</f>
        <v>2138</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45281</v>
      </c>
      <c r="B9" s="87" t="s">
        <v>37</v>
      </c>
      <c r="C9" s="89">
        <v>1</v>
      </c>
      <c r="D9" s="91" t="s">
        <v>38</v>
      </c>
      <c r="E9" s="89">
        <v>84217</v>
      </c>
      <c r="F9" s="89" t="s">
        <v>76</v>
      </c>
      <c r="G9" s="93" t="s">
        <v>71</v>
      </c>
      <c r="H9" s="90" t="s">
        <v>80</v>
      </c>
      <c r="I9" s="90">
        <v>1452</v>
      </c>
      <c r="J9" s="90">
        <v>1452</v>
      </c>
      <c r="K9" s="20">
        <v>101</v>
      </c>
      <c r="L9" s="20">
        <v>94</v>
      </c>
      <c r="M9" s="20">
        <v>20</v>
      </c>
      <c r="N9" s="97">
        <f>O10/L10</f>
        <v>0.73885350318471332</v>
      </c>
      <c r="O9" s="21">
        <f t="shared" si="0"/>
        <v>74</v>
      </c>
      <c r="P9" s="27">
        <v>186</v>
      </c>
      <c r="Q9" s="99">
        <f>+L10-P10</f>
        <v>114</v>
      </c>
      <c r="R9" s="85"/>
      <c r="S9" s="96"/>
      <c r="T9" s="96">
        <v>10</v>
      </c>
      <c r="U9" s="96">
        <v>4</v>
      </c>
      <c r="V9" s="96"/>
      <c r="W9" s="96"/>
      <c r="X9" s="96">
        <v>3</v>
      </c>
      <c r="Y9" s="96"/>
      <c r="Z9" s="96"/>
      <c r="AA9" s="96"/>
      <c r="AB9" s="96"/>
      <c r="AC9" s="96">
        <v>10</v>
      </c>
      <c r="AD9" s="96">
        <v>10</v>
      </c>
      <c r="AE9" s="96"/>
      <c r="AF9" s="96">
        <v>8</v>
      </c>
      <c r="AG9" s="96">
        <v>3</v>
      </c>
      <c r="AH9" s="96">
        <v>4</v>
      </c>
      <c r="AI9" s="96"/>
      <c r="AJ9" s="96"/>
      <c r="AK9" s="96">
        <v>7</v>
      </c>
      <c r="AL9" s="96">
        <v>15</v>
      </c>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53+88+29+47+80+98+101</f>
        <v>496</v>
      </c>
      <c r="L10" s="18">
        <f>10+44+80+80+83+80+94</f>
        <v>471</v>
      </c>
      <c r="M10" s="18">
        <f>10+30+20+23+20+20</f>
        <v>123</v>
      </c>
      <c r="N10" s="98"/>
      <c r="O10" s="19">
        <f t="shared" si="0"/>
        <v>348</v>
      </c>
      <c r="P10" s="22">
        <f>10+74+20+37+30+186</f>
        <v>357</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45281</v>
      </c>
      <c r="B11" s="87" t="s">
        <v>37</v>
      </c>
      <c r="C11" s="89">
        <v>1</v>
      </c>
      <c r="D11" s="91" t="s">
        <v>38</v>
      </c>
      <c r="E11" s="89">
        <v>84217</v>
      </c>
      <c r="F11" s="89" t="s">
        <v>76</v>
      </c>
      <c r="G11" s="93" t="s">
        <v>71</v>
      </c>
      <c r="H11" s="90" t="s">
        <v>75</v>
      </c>
      <c r="I11" s="90">
        <v>2615</v>
      </c>
      <c r="J11" s="90">
        <v>2615</v>
      </c>
      <c r="K11" s="20">
        <v>122</v>
      </c>
      <c r="L11" s="20">
        <v>122</v>
      </c>
      <c r="M11" s="20">
        <v>39</v>
      </c>
      <c r="N11" s="97">
        <f>O12/L12</f>
        <v>0.68453608247422681</v>
      </c>
      <c r="O11" s="21">
        <f t="shared" si="0"/>
        <v>83</v>
      </c>
      <c r="P11" s="27">
        <v>62</v>
      </c>
      <c r="Q11" s="99">
        <f>+L12-P12</f>
        <v>114</v>
      </c>
      <c r="R11" s="85"/>
      <c r="S11" s="96"/>
      <c r="T11" s="96">
        <v>10</v>
      </c>
      <c r="U11" s="96">
        <v>10</v>
      </c>
      <c r="V11" s="96"/>
      <c r="W11" s="96"/>
      <c r="X11" s="96">
        <v>3</v>
      </c>
      <c r="Y11" s="96"/>
      <c r="Z11" s="96"/>
      <c r="AA11" s="96"/>
      <c r="AB11" s="96"/>
      <c r="AC11" s="96">
        <v>25</v>
      </c>
      <c r="AD11" s="96"/>
      <c r="AE11" s="96"/>
      <c r="AF11" s="96">
        <v>20</v>
      </c>
      <c r="AG11" s="96"/>
      <c r="AH11" s="96">
        <v>5</v>
      </c>
      <c r="AI11" s="96"/>
      <c r="AJ11" s="96"/>
      <c r="AK11" s="96"/>
      <c r="AL11" s="96">
        <v>10</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111+127+62+63+122</f>
        <v>485</v>
      </c>
      <c r="L12" s="18">
        <f>10+198+92+63+122</f>
        <v>485</v>
      </c>
      <c r="M12" s="18">
        <f>70+33+11+39</f>
        <v>153</v>
      </c>
      <c r="N12" s="98"/>
      <c r="O12" s="19">
        <f t="shared" si="0"/>
        <v>332</v>
      </c>
      <c r="P12" s="22">
        <f>80+47+182+62</f>
        <v>371</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5.75" customHeight="1">
      <c r="A13" s="108">
        <v>45281</v>
      </c>
      <c r="B13" s="87" t="s">
        <v>37</v>
      </c>
      <c r="C13" s="89">
        <v>1</v>
      </c>
      <c r="D13" s="91" t="s">
        <v>38</v>
      </c>
      <c r="E13" s="89">
        <v>84212</v>
      </c>
      <c r="F13" s="89" t="s">
        <v>49</v>
      </c>
      <c r="G13" s="93" t="s">
        <v>55</v>
      </c>
      <c r="H13" s="90" t="s">
        <v>59</v>
      </c>
      <c r="I13" s="90">
        <v>708</v>
      </c>
      <c r="J13" s="90">
        <v>708</v>
      </c>
      <c r="K13" s="20">
        <v>5</v>
      </c>
      <c r="L13" s="20">
        <v>5</v>
      </c>
      <c r="M13" s="20">
        <v>5</v>
      </c>
      <c r="N13" s="97">
        <f>O14/L14</f>
        <v>0.71892655367231639</v>
      </c>
      <c r="O13" s="21">
        <f t="shared" si="0"/>
        <v>0</v>
      </c>
      <c r="P13" s="27">
        <v>5</v>
      </c>
      <c r="Q13" s="99">
        <f>+L14-P14</f>
        <v>0</v>
      </c>
      <c r="R13" s="85"/>
      <c r="S13" s="96"/>
      <c r="T13" s="96"/>
      <c r="U13" s="96"/>
      <c r="V13" s="96"/>
      <c r="W13" s="96"/>
      <c r="X13" s="96"/>
      <c r="Y13" s="96"/>
      <c r="Z13" s="96"/>
      <c r="AA13" s="96"/>
      <c r="AB13" s="96"/>
      <c r="AC13" s="96"/>
      <c r="AD13" s="96"/>
      <c r="AE13" s="96"/>
      <c r="AF13" s="96"/>
      <c r="AG13" s="96"/>
      <c r="AH13" s="96"/>
      <c r="AI13" s="96"/>
      <c r="AJ13" s="96"/>
      <c r="AK13" s="96"/>
      <c r="AL13" s="96"/>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105+109+70+77+65+110+122+34+3+3+4+1+5</f>
        <v>708</v>
      </c>
      <c r="L14" s="18">
        <f>25+50+65+80+80+30+80+50+160+78+4+1+5</f>
        <v>708</v>
      </c>
      <c r="M14" s="18">
        <f>15+20+20+15+5+11+20+50+33+4+1+5</f>
        <v>199</v>
      </c>
      <c r="N14" s="98"/>
      <c r="O14" s="19">
        <f t="shared" si="0"/>
        <v>509</v>
      </c>
      <c r="P14" s="22">
        <f>15+20+35+15+5+11+53+50+335+120+10+13+20+1+5</f>
        <v>708</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5.75" customHeight="1">
      <c r="A15" s="108">
        <v>45281</v>
      </c>
      <c r="B15" s="87" t="s">
        <v>37</v>
      </c>
      <c r="C15" s="89">
        <v>1</v>
      </c>
      <c r="D15" s="91" t="s">
        <v>38</v>
      </c>
      <c r="E15" s="89">
        <v>84212</v>
      </c>
      <c r="F15" s="89" t="s">
        <v>49</v>
      </c>
      <c r="G15" s="93" t="s">
        <v>55</v>
      </c>
      <c r="H15" s="90" t="s">
        <v>67</v>
      </c>
      <c r="I15" s="90">
        <v>1813</v>
      </c>
      <c r="J15" s="90">
        <v>1813</v>
      </c>
      <c r="K15" s="20">
        <v>0</v>
      </c>
      <c r="L15" s="20">
        <v>0</v>
      </c>
      <c r="M15" s="20">
        <v>0</v>
      </c>
      <c r="N15" s="97">
        <f>O16/L16</f>
        <v>0.76349471341124098</v>
      </c>
      <c r="O15" s="21">
        <f t="shared" si="0"/>
        <v>0</v>
      </c>
      <c r="P15" s="27">
        <v>59</v>
      </c>
      <c r="Q15" s="99">
        <f>+L16-P16</f>
        <v>0</v>
      </c>
      <c r="R15" s="85"/>
      <c r="S15" s="96"/>
      <c r="T15" s="96"/>
      <c r="U15" s="96"/>
      <c r="V15" s="96"/>
      <c r="W15" s="96"/>
      <c r="X15" s="96"/>
      <c r="Y15" s="96"/>
      <c r="Z15" s="96"/>
      <c r="AA15" s="96"/>
      <c r="AB15" s="96"/>
      <c r="AC15" s="96"/>
      <c r="AD15" s="96"/>
      <c r="AE15" s="96"/>
      <c r="AF15" s="96"/>
      <c r="AG15" s="96"/>
      <c r="AH15" s="96"/>
      <c r="AI15" s="96"/>
      <c r="AJ15" s="96"/>
      <c r="AK15" s="96"/>
      <c r="AL15" s="96"/>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272+145+148+175+345+259+198+95+65+82+13</f>
        <v>1797</v>
      </c>
      <c r="L16" s="18">
        <f>30+110+235+150+484+100+160+348+142+38</f>
        <v>1797</v>
      </c>
      <c r="M16" s="18">
        <f>5+10+50+40+110+10+55+118+27</f>
        <v>425</v>
      </c>
      <c r="N16" s="98"/>
      <c r="O16" s="19">
        <f t="shared" si="0"/>
        <v>1372</v>
      </c>
      <c r="P16" s="22">
        <f>5+10+65+80+262+130+217+170+330+32+171+120+146+59</f>
        <v>1797</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45281</v>
      </c>
      <c r="B17" s="87" t="s">
        <v>37</v>
      </c>
      <c r="C17" s="89">
        <v>1</v>
      </c>
      <c r="D17" s="91" t="s">
        <v>38</v>
      </c>
      <c r="E17" s="89">
        <v>84212</v>
      </c>
      <c r="F17" s="89" t="s">
        <v>49</v>
      </c>
      <c r="G17" s="93" t="s">
        <v>55</v>
      </c>
      <c r="H17" s="90" t="s">
        <v>62</v>
      </c>
      <c r="I17" s="90">
        <v>2218</v>
      </c>
      <c r="J17" s="90">
        <v>1640</v>
      </c>
      <c r="K17" s="20">
        <v>11</v>
      </c>
      <c r="L17" s="20">
        <v>91</v>
      </c>
      <c r="M17" s="20">
        <v>31</v>
      </c>
      <c r="N17" s="97">
        <f>O18/L18</f>
        <v>0.6720197652872143</v>
      </c>
      <c r="O17" s="21">
        <f t="shared" si="0"/>
        <v>60</v>
      </c>
      <c r="P17" s="27">
        <v>179</v>
      </c>
      <c r="Q17" s="99">
        <f>+L18-P18</f>
        <v>258</v>
      </c>
      <c r="R17" s="85"/>
      <c r="S17" s="96"/>
      <c r="T17" s="96">
        <v>11</v>
      </c>
      <c r="U17" s="96"/>
      <c r="V17" s="96"/>
      <c r="W17" s="96"/>
      <c r="X17" s="96">
        <v>1</v>
      </c>
      <c r="Y17" s="96"/>
      <c r="Z17" s="96"/>
      <c r="AA17" s="96"/>
      <c r="AB17" s="96"/>
      <c r="AC17" s="96">
        <v>12</v>
      </c>
      <c r="AD17" s="96"/>
      <c r="AE17" s="96">
        <v>4</v>
      </c>
      <c r="AF17" s="96">
        <v>4</v>
      </c>
      <c r="AG17" s="96">
        <v>7</v>
      </c>
      <c r="AH17" s="96">
        <v>13</v>
      </c>
      <c r="AI17" s="96"/>
      <c r="AJ17" s="96"/>
      <c r="AK17" s="96"/>
      <c r="AL17" s="96">
        <v>8</v>
      </c>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22">
        <f>166+95+22+85+70+260+370+120+220+200+11</f>
        <v>1619</v>
      </c>
      <c r="L18" s="18">
        <f>40+40+160+43+115+140+230+340+210+210+91</f>
        <v>1619</v>
      </c>
      <c r="M18" s="18">
        <f>6+14+50+20+50+60+110+90+60+40+31</f>
        <v>531</v>
      </c>
      <c r="N18" s="98"/>
      <c r="O18" s="19">
        <f t="shared" si="0"/>
        <v>1088</v>
      </c>
      <c r="P18" s="22">
        <f>6+14+50+28+64+69+71+77+120+253+93+337+179</f>
        <v>1361</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45281</v>
      </c>
      <c r="B19" s="87" t="s">
        <v>37</v>
      </c>
      <c r="C19" s="89">
        <v>1</v>
      </c>
      <c r="D19" s="91" t="s">
        <v>38</v>
      </c>
      <c r="E19" s="89">
        <v>84212</v>
      </c>
      <c r="F19" s="89" t="s">
        <v>49</v>
      </c>
      <c r="G19" s="93" t="s">
        <v>55</v>
      </c>
      <c r="H19" s="90" t="s">
        <v>50</v>
      </c>
      <c r="I19" s="90">
        <v>588</v>
      </c>
      <c r="J19" s="90">
        <v>588</v>
      </c>
      <c r="K19" s="20">
        <v>60</v>
      </c>
      <c r="L19" s="20">
        <v>57</v>
      </c>
      <c r="M19" s="20">
        <v>27</v>
      </c>
      <c r="N19" s="97">
        <f>O20/L20</f>
        <v>0.54214123006833714</v>
      </c>
      <c r="O19" s="21">
        <f t="shared" si="0"/>
        <v>30</v>
      </c>
      <c r="P19" s="27">
        <v>97</v>
      </c>
      <c r="Q19" s="99">
        <f>+L20-P20</f>
        <v>30</v>
      </c>
      <c r="R19" s="85"/>
      <c r="S19" s="96"/>
      <c r="T19" s="96">
        <v>6</v>
      </c>
      <c r="U19" s="96">
        <v>2</v>
      </c>
      <c r="V19" s="96"/>
      <c r="W19" s="96"/>
      <c r="X19" s="96"/>
      <c r="Y19" s="96"/>
      <c r="Z19" s="96"/>
      <c r="AA19" s="96"/>
      <c r="AB19" s="96"/>
      <c r="AC19" s="96">
        <v>3</v>
      </c>
      <c r="AD19" s="96"/>
      <c r="AE19" s="96">
        <v>4</v>
      </c>
      <c r="AF19" s="96"/>
      <c r="AG19" s="96">
        <v>11</v>
      </c>
      <c r="AH19" s="96">
        <v>2</v>
      </c>
      <c r="AI19" s="96"/>
      <c r="AJ19" s="96"/>
      <c r="AK19" s="96"/>
      <c r="AL19" s="96">
        <v>2</v>
      </c>
      <c r="AM19" s="103"/>
      <c r="AN19" s="103"/>
      <c r="AO19" s="103"/>
      <c r="AP19" s="103"/>
      <c r="AQ19" s="103"/>
      <c r="AR19" s="103"/>
      <c r="AS19" s="103"/>
      <c r="AT19" s="103"/>
      <c r="AU19" s="103"/>
      <c r="AV19" s="103"/>
      <c r="AW19" s="103"/>
      <c r="AX19" s="103"/>
      <c r="AY19" s="106"/>
      <c r="AZ19" s="106"/>
      <c r="BA19" s="106"/>
      <c r="BB19" s="106"/>
      <c r="BC19" s="106"/>
      <c r="BD19" s="106"/>
      <c r="BE19" s="103"/>
      <c r="BF19" s="104"/>
      <c r="BG19" s="104"/>
    </row>
    <row r="20" spans="1:59" s="17" customFormat="1" ht="15.75" customHeight="1">
      <c r="A20" s="85"/>
      <c r="B20" s="88"/>
      <c r="C20" s="90"/>
      <c r="D20" s="92"/>
      <c r="E20" s="90"/>
      <c r="F20" s="90"/>
      <c r="G20" s="94"/>
      <c r="H20" s="95"/>
      <c r="I20" s="95"/>
      <c r="J20" s="95"/>
      <c r="K20" s="22">
        <f>114+135+90+80+60</f>
        <v>479</v>
      </c>
      <c r="L20" s="18">
        <f>77+105+80+120+57</f>
        <v>439</v>
      </c>
      <c r="M20" s="18">
        <f>37+57+30+50+27</f>
        <v>201</v>
      </c>
      <c r="N20" s="98"/>
      <c r="O20" s="19">
        <f t="shared" si="0"/>
        <v>238</v>
      </c>
      <c r="P20" s="22">
        <f>37+57+45+173+97</f>
        <v>409</v>
      </c>
      <c r="Q20" s="100"/>
      <c r="R20" s="86"/>
      <c r="S20" s="96"/>
      <c r="T20" s="96"/>
      <c r="U20" s="96"/>
      <c r="V20" s="96"/>
      <c r="W20" s="96"/>
      <c r="X20" s="96"/>
      <c r="Y20" s="96"/>
      <c r="Z20" s="96"/>
      <c r="AA20" s="96"/>
      <c r="AB20" s="96"/>
      <c r="AC20" s="96"/>
      <c r="AD20" s="96"/>
      <c r="AE20" s="96"/>
      <c r="AF20" s="96"/>
      <c r="AG20" s="96"/>
      <c r="AH20" s="96"/>
      <c r="AI20" s="96"/>
      <c r="AJ20" s="96"/>
      <c r="AK20" s="96"/>
      <c r="AL20" s="96"/>
      <c r="AM20" s="103"/>
      <c r="AN20" s="103"/>
      <c r="AO20" s="103"/>
      <c r="AP20" s="103"/>
      <c r="AQ20" s="103"/>
      <c r="AR20" s="103"/>
      <c r="AS20" s="103"/>
      <c r="AT20" s="103"/>
      <c r="AU20" s="103"/>
      <c r="AV20" s="103"/>
      <c r="AW20" s="103"/>
      <c r="AX20" s="103"/>
      <c r="AY20" s="107"/>
      <c r="AZ20" s="107"/>
      <c r="BA20" s="107"/>
      <c r="BB20" s="107"/>
      <c r="BC20" s="107"/>
      <c r="BD20" s="107"/>
      <c r="BE20" s="103"/>
      <c r="BF20" s="105"/>
      <c r="BG20" s="105"/>
    </row>
    <row r="21" spans="1:59" s="17" customFormat="1" ht="15.75" customHeight="1">
      <c r="A21" s="108">
        <v>45281</v>
      </c>
      <c r="B21" s="87" t="s">
        <v>37</v>
      </c>
      <c r="C21" s="89">
        <v>1</v>
      </c>
      <c r="D21" s="91" t="s">
        <v>38</v>
      </c>
      <c r="E21" s="89">
        <v>84212</v>
      </c>
      <c r="F21" s="89" t="s">
        <v>49</v>
      </c>
      <c r="G21" s="93" t="s">
        <v>61</v>
      </c>
      <c r="H21" s="89" t="s">
        <v>59</v>
      </c>
      <c r="I21" s="89">
        <v>515</v>
      </c>
      <c r="J21" s="89">
        <v>515</v>
      </c>
      <c r="K21" s="20">
        <v>0</v>
      </c>
      <c r="L21" s="20">
        <v>0</v>
      </c>
      <c r="M21" s="20">
        <v>0</v>
      </c>
      <c r="N21" s="146">
        <f>O22/L22</f>
        <v>0.62548262548262545</v>
      </c>
      <c r="O21" s="21">
        <f t="shared" si="0"/>
        <v>0</v>
      </c>
      <c r="P21" s="27">
        <v>90</v>
      </c>
      <c r="Q21" s="99">
        <f>+L22-P22</f>
        <v>10</v>
      </c>
      <c r="R21" s="108"/>
      <c r="S21" s="149"/>
      <c r="T21" s="149"/>
      <c r="U21" s="149"/>
      <c r="V21" s="149"/>
      <c r="W21" s="149"/>
      <c r="X21" s="149"/>
      <c r="Y21" s="149"/>
      <c r="Z21" s="149"/>
      <c r="AA21" s="149"/>
      <c r="AB21" s="149"/>
      <c r="AC21" s="149"/>
      <c r="AD21" s="149"/>
      <c r="AE21" s="149"/>
      <c r="AF21" s="149"/>
      <c r="AG21" s="149"/>
      <c r="AH21" s="149"/>
      <c r="AI21" s="149"/>
      <c r="AJ21" s="149"/>
      <c r="AK21" s="149"/>
      <c r="AL21" s="149"/>
      <c r="AM21" s="163"/>
      <c r="AN21" s="163"/>
      <c r="AO21" s="163"/>
      <c r="AP21" s="163"/>
      <c r="AQ21" s="163"/>
      <c r="AR21" s="163"/>
      <c r="AS21" s="163"/>
      <c r="AT21" s="163"/>
      <c r="AU21" s="163"/>
      <c r="AV21" s="163"/>
      <c r="AW21" s="163"/>
      <c r="AX21" s="163"/>
      <c r="AY21" s="167"/>
      <c r="AZ21" s="167"/>
      <c r="BA21" s="167"/>
      <c r="BB21" s="167"/>
      <c r="BC21" s="167"/>
      <c r="BD21" s="167"/>
      <c r="BE21" s="163"/>
      <c r="BF21" s="165"/>
      <c r="BG21" s="165"/>
    </row>
    <row r="22" spans="1:59" s="17" customFormat="1" ht="15.75" customHeight="1">
      <c r="A22" s="85"/>
      <c r="B22" s="88"/>
      <c r="C22" s="90"/>
      <c r="D22" s="92"/>
      <c r="E22" s="90"/>
      <c r="F22" s="90"/>
      <c r="G22" s="94"/>
      <c r="H22" s="90"/>
      <c r="I22" s="90"/>
      <c r="J22" s="90"/>
      <c r="K22" s="22">
        <f>149+124+88+81+76</f>
        <v>518</v>
      </c>
      <c r="L22" s="18">
        <f>149+138+40+115+76</f>
        <v>518</v>
      </c>
      <c r="M22" s="18">
        <f>60+50+10+39+35</f>
        <v>194</v>
      </c>
      <c r="N22" s="147"/>
      <c r="O22" s="19">
        <f t="shared" si="0"/>
        <v>324</v>
      </c>
      <c r="P22" s="22">
        <f>60+60+77+145+36+40+90</f>
        <v>508</v>
      </c>
      <c r="Q22" s="100"/>
      <c r="R22" s="85"/>
      <c r="S22" s="150"/>
      <c r="T22" s="150"/>
      <c r="U22" s="150"/>
      <c r="V22" s="150"/>
      <c r="W22" s="150"/>
      <c r="X22" s="150"/>
      <c r="Y22" s="150"/>
      <c r="Z22" s="150"/>
      <c r="AA22" s="150"/>
      <c r="AB22" s="150"/>
      <c r="AC22" s="150"/>
      <c r="AD22" s="150"/>
      <c r="AE22" s="150"/>
      <c r="AF22" s="150"/>
      <c r="AG22" s="150"/>
      <c r="AH22" s="150"/>
      <c r="AI22" s="150"/>
      <c r="AJ22" s="150"/>
      <c r="AK22" s="150"/>
      <c r="AL22" s="150"/>
      <c r="AM22" s="164"/>
      <c r="AN22" s="164"/>
      <c r="AO22" s="164"/>
      <c r="AP22" s="164"/>
      <c r="AQ22" s="164"/>
      <c r="AR22" s="164"/>
      <c r="AS22" s="164"/>
      <c r="AT22" s="164"/>
      <c r="AU22" s="164"/>
      <c r="AV22" s="164"/>
      <c r="AW22" s="164"/>
      <c r="AX22" s="164"/>
      <c r="AY22" s="168"/>
      <c r="AZ22" s="168"/>
      <c r="BA22" s="168"/>
      <c r="BB22" s="168"/>
      <c r="BC22" s="168"/>
      <c r="BD22" s="168"/>
      <c r="BE22" s="164"/>
      <c r="BF22" s="166"/>
      <c r="BG22" s="166"/>
    </row>
    <row r="23" spans="1:59" s="17" customFormat="1" ht="15.75" customHeight="1">
      <c r="A23" s="108">
        <v>45281</v>
      </c>
      <c r="B23" s="87" t="s">
        <v>37</v>
      </c>
      <c r="C23" s="89">
        <v>1</v>
      </c>
      <c r="D23" s="91" t="s">
        <v>38</v>
      </c>
      <c r="E23" s="89">
        <v>84212</v>
      </c>
      <c r="F23" s="89" t="s">
        <v>49</v>
      </c>
      <c r="G23" s="93" t="s">
        <v>61</v>
      </c>
      <c r="H23" s="89" t="s">
        <v>50</v>
      </c>
      <c r="I23" s="89">
        <v>925</v>
      </c>
      <c r="J23" s="89">
        <v>925</v>
      </c>
      <c r="K23" s="20">
        <v>70</v>
      </c>
      <c r="L23" s="20">
        <v>70</v>
      </c>
      <c r="M23" s="20">
        <v>18</v>
      </c>
      <c r="N23" s="146">
        <f>O24/L24</f>
        <v>0.68421052631578949</v>
      </c>
      <c r="O23" s="21">
        <f t="shared" si="0"/>
        <v>52</v>
      </c>
      <c r="P23" s="27">
        <v>38</v>
      </c>
      <c r="Q23" s="99">
        <f>+L24-P24</f>
        <v>71</v>
      </c>
      <c r="R23" s="108"/>
      <c r="S23" s="149"/>
      <c r="T23" s="149">
        <v>7</v>
      </c>
      <c r="U23" s="149">
        <v>4</v>
      </c>
      <c r="V23" s="149"/>
      <c r="W23" s="149"/>
      <c r="X23" s="149">
        <v>1</v>
      </c>
      <c r="Y23" s="149"/>
      <c r="Z23" s="149"/>
      <c r="AA23" s="149"/>
      <c r="AB23" s="149"/>
      <c r="AC23" s="149">
        <v>9</v>
      </c>
      <c r="AD23" s="149"/>
      <c r="AE23" s="149">
        <v>1</v>
      </c>
      <c r="AF23" s="149"/>
      <c r="AG23" s="149">
        <v>9</v>
      </c>
      <c r="AH23" s="149">
        <v>4</v>
      </c>
      <c r="AI23" s="149"/>
      <c r="AJ23" s="149"/>
      <c r="AK23" s="149"/>
      <c r="AL23" s="149">
        <v>17</v>
      </c>
      <c r="AM23" s="163"/>
      <c r="AN23" s="163"/>
      <c r="AO23" s="163"/>
      <c r="AP23" s="163"/>
      <c r="AQ23" s="163"/>
      <c r="AR23" s="163"/>
      <c r="AS23" s="163"/>
      <c r="AT23" s="163"/>
      <c r="AU23" s="163"/>
      <c r="AV23" s="163"/>
      <c r="AW23" s="163"/>
      <c r="AX23" s="163"/>
      <c r="AY23" s="167"/>
      <c r="AZ23" s="167"/>
      <c r="BA23" s="167"/>
      <c r="BB23" s="167"/>
      <c r="BC23" s="167"/>
      <c r="BD23" s="167"/>
      <c r="BE23" s="163"/>
      <c r="BF23" s="165"/>
      <c r="BG23" s="165"/>
    </row>
    <row r="24" spans="1:59" s="17" customFormat="1" ht="15.75" customHeight="1">
      <c r="A24" s="85"/>
      <c r="B24" s="88"/>
      <c r="C24" s="90"/>
      <c r="D24" s="92"/>
      <c r="E24" s="90"/>
      <c r="F24" s="90"/>
      <c r="G24" s="94"/>
      <c r="H24" s="90"/>
      <c r="I24" s="90"/>
      <c r="J24" s="90"/>
      <c r="K24" s="22">
        <f>53+10+70</f>
        <v>133</v>
      </c>
      <c r="L24" s="18">
        <f>63+70</f>
        <v>133</v>
      </c>
      <c r="M24" s="18">
        <f>24+18</f>
        <v>42</v>
      </c>
      <c r="N24" s="147"/>
      <c r="O24" s="19">
        <f t="shared" si="0"/>
        <v>91</v>
      </c>
      <c r="P24" s="22">
        <f>24+38</f>
        <v>62</v>
      </c>
      <c r="Q24" s="100"/>
      <c r="R24" s="85"/>
      <c r="S24" s="150"/>
      <c r="T24" s="150"/>
      <c r="U24" s="150"/>
      <c r="V24" s="150"/>
      <c r="W24" s="150"/>
      <c r="X24" s="150"/>
      <c r="Y24" s="150"/>
      <c r="Z24" s="150"/>
      <c r="AA24" s="150"/>
      <c r="AB24" s="150"/>
      <c r="AC24" s="150"/>
      <c r="AD24" s="150"/>
      <c r="AE24" s="150"/>
      <c r="AF24" s="150"/>
      <c r="AG24" s="150"/>
      <c r="AH24" s="150"/>
      <c r="AI24" s="150"/>
      <c r="AJ24" s="150"/>
      <c r="AK24" s="150"/>
      <c r="AL24" s="150"/>
      <c r="AM24" s="164"/>
      <c r="AN24" s="164"/>
      <c r="AO24" s="164"/>
      <c r="AP24" s="164"/>
      <c r="AQ24" s="164"/>
      <c r="AR24" s="164"/>
      <c r="AS24" s="164"/>
      <c r="AT24" s="164"/>
      <c r="AU24" s="164"/>
      <c r="AV24" s="164"/>
      <c r="AW24" s="164"/>
      <c r="AX24" s="164"/>
      <c r="AY24" s="168"/>
      <c r="AZ24" s="168"/>
      <c r="BA24" s="168"/>
      <c r="BB24" s="168"/>
      <c r="BC24" s="168"/>
      <c r="BD24" s="168"/>
      <c r="BE24" s="164"/>
      <c r="BF24" s="166"/>
      <c r="BG24" s="166"/>
    </row>
    <row r="25" spans="1:59" s="17" customFormat="1" ht="15.75" customHeight="1">
      <c r="A25" s="108">
        <v>45281</v>
      </c>
      <c r="B25" s="87" t="s">
        <v>37</v>
      </c>
      <c r="C25" s="89">
        <v>1</v>
      </c>
      <c r="D25" s="91" t="s">
        <v>38</v>
      </c>
      <c r="E25" s="89">
        <v>84212</v>
      </c>
      <c r="F25" s="89" t="s">
        <v>49</v>
      </c>
      <c r="G25" s="93" t="s">
        <v>61</v>
      </c>
      <c r="H25" s="89" t="s">
        <v>62</v>
      </c>
      <c r="I25" s="89">
        <v>1327</v>
      </c>
      <c r="J25" s="89">
        <v>1327</v>
      </c>
      <c r="K25" s="20">
        <v>35</v>
      </c>
      <c r="L25" s="20">
        <v>35</v>
      </c>
      <c r="M25" s="20">
        <v>5</v>
      </c>
      <c r="N25" s="146">
        <f>O26/L26</f>
        <v>0.88095238095238093</v>
      </c>
      <c r="O25" s="21">
        <f t="shared" si="0"/>
        <v>30</v>
      </c>
      <c r="P25" s="27">
        <v>25</v>
      </c>
      <c r="Q25" s="99">
        <f>+L26-P26</f>
        <v>54</v>
      </c>
      <c r="R25" s="108"/>
      <c r="S25" s="149"/>
      <c r="T25" s="149">
        <v>4</v>
      </c>
      <c r="U25" s="149"/>
      <c r="V25" s="149"/>
      <c r="W25" s="149"/>
      <c r="X25" s="149"/>
      <c r="Y25" s="149"/>
      <c r="Z25" s="149"/>
      <c r="AA25" s="149"/>
      <c r="AB25" s="149"/>
      <c r="AC25" s="149">
        <v>4</v>
      </c>
      <c r="AD25" s="149"/>
      <c r="AE25" s="149"/>
      <c r="AF25" s="149"/>
      <c r="AG25" s="149"/>
      <c r="AH25" s="149">
        <v>9</v>
      </c>
      <c r="AI25" s="149"/>
      <c r="AJ25" s="149"/>
      <c r="AK25" s="149"/>
      <c r="AL25" s="149">
        <v>13</v>
      </c>
      <c r="AM25" s="163"/>
      <c r="AN25" s="163"/>
      <c r="AO25" s="163"/>
      <c r="AP25" s="163"/>
      <c r="AQ25" s="163"/>
      <c r="AR25" s="163"/>
      <c r="AS25" s="163"/>
      <c r="AT25" s="163"/>
      <c r="AU25" s="163"/>
      <c r="AV25" s="163"/>
      <c r="AW25" s="163"/>
      <c r="AX25" s="163"/>
      <c r="AY25" s="167"/>
      <c r="AZ25" s="167"/>
      <c r="BA25" s="167"/>
      <c r="BB25" s="167"/>
      <c r="BC25" s="167"/>
      <c r="BD25" s="167"/>
      <c r="BE25" s="163"/>
      <c r="BF25" s="165"/>
      <c r="BG25" s="165"/>
    </row>
    <row r="26" spans="1:59" s="17" customFormat="1" ht="15.75" customHeight="1">
      <c r="A26" s="85"/>
      <c r="B26" s="88"/>
      <c r="C26" s="90"/>
      <c r="D26" s="92"/>
      <c r="E26" s="90"/>
      <c r="F26" s="90"/>
      <c r="G26" s="94"/>
      <c r="H26" s="90"/>
      <c r="I26" s="90"/>
      <c r="J26" s="90"/>
      <c r="K26" s="22">
        <f>49+35</f>
        <v>84</v>
      </c>
      <c r="L26" s="18">
        <f>49+35</f>
        <v>84</v>
      </c>
      <c r="M26" s="18">
        <f>5+5</f>
        <v>10</v>
      </c>
      <c r="N26" s="147"/>
      <c r="O26" s="19">
        <f t="shared" si="0"/>
        <v>74</v>
      </c>
      <c r="P26" s="22">
        <f>5+25</f>
        <v>30</v>
      </c>
      <c r="Q26" s="100"/>
      <c r="R26" s="85"/>
      <c r="S26" s="150"/>
      <c r="T26" s="150"/>
      <c r="U26" s="150"/>
      <c r="V26" s="150"/>
      <c r="W26" s="150"/>
      <c r="X26" s="150"/>
      <c r="Y26" s="150"/>
      <c r="Z26" s="150"/>
      <c r="AA26" s="150"/>
      <c r="AB26" s="150"/>
      <c r="AC26" s="150"/>
      <c r="AD26" s="150"/>
      <c r="AE26" s="150"/>
      <c r="AF26" s="150"/>
      <c r="AG26" s="150"/>
      <c r="AH26" s="150"/>
      <c r="AI26" s="150"/>
      <c r="AJ26" s="150"/>
      <c r="AK26" s="150"/>
      <c r="AL26" s="150"/>
      <c r="AM26" s="164"/>
      <c r="AN26" s="164"/>
      <c r="AO26" s="164"/>
      <c r="AP26" s="164"/>
      <c r="AQ26" s="164"/>
      <c r="AR26" s="164"/>
      <c r="AS26" s="164"/>
      <c r="AT26" s="164"/>
      <c r="AU26" s="164"/>
      <c r="AV26" s="164"/>
      <c r="AW26" s="164"/>
      <c r="AX26" s="164"/>
      <c r="AY26" s="168"/>
      <c r="AZ26" s="168"/>
      <c r="BA26" s="168"/>
      <c r="BB26" s="168"/>
      <c r="BC26" s="168"/>
      <c r="BD26" s="168"/>
      <c r="BE26" s="164"/>
      <c r="BF26" s="166"/>
      <c r="BG26" s="166"/>
    </row>
    <row r="27" spans="1:59" s="17" customFormat="1" ht="15.75" customHeight="1">
      <c r="A27" s="108">
        <v>45281</v>
      </c>
      <c r="B27" s="87" t="s">
        <v>37</v>
      </c>
      <c r="C27" s="89">
        <v>1</v>
      </c>
      <c r="D27" s="91" t="s">
        <v>38</v>
      </c>
      <c r="E27" s="89">
        <v>84212</v>
      </c>
      <c r="F27" s="89" t="s">
        <v>49</v>
      </c>
      <c r="G27" s="93" t="s">
        <v>63</v>
      </c>
      <c r="H27" s="89" t="s">
        <v>62</v>
      </c>
      <c r="I27" s="89">
        <v>2344</v>
      </c>
      <c r="J27" s="89">
        <v>2344</v>
      </c>
      <c r="K27" s="20">
        <v>97</v>
      </c>
      <c r="L27" s="20">
        <v>97</v>
      </c>
      <c r="M27" s="20">
        <v>17</v>
      </c>
      <c r="N27" s="146">
        <f>O28/L28</f>
        <v>0.84738041002277908</v>
      </c>
      <c r="O27" s="21">
        <f t="shared" si="0"/>
        <v>80</v>
      </c>
      <c r="P27" s="27">
        <v>76</v>
      </c>
      <c r="Q27" s="99">
        <f>+L28-P28</f>
        <v>137</v>
      </c>
      <c r="R27" s="108"/>
      <c r="S27" s="149"/>
      <c r="T27" s="149">
        <v>20</v>
      </c>
      <c r="U27" s="149"/>
      <c r="V27" s="149"/>
      <c r="W27" s="149"/>
      <c r="X27" s="149"/>
      <c r="Y27" s="149"/>
      <c r="Z27" s="149"/>
      <c r="AA27" s="149"/>
      <c r="AB27" s="149"/>
      <c r="AC27" s="149">
        <v>15</v>
      </c>
      <c r="AD27" s="149"/>
      <c r="AE27" s="149">
        <v>15</v>
      </c>
      <c r="AF27" s="149">
        <v>15</v>
      </c>
      <c r="AG27" s="149">
        <v>10</v>
      </c>
      <c r="AH27" s="149">
        <v>5</v>
      </c>
      <c r="AI27" s="149"/>
      <c r="AJ27" s="149"/>
      <c r="AK27" s="149"/>
      <c r="AL27" s="149"/>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102+90+70+80+97</f>
        <v>439</v>
      </c>
      <c r="L28" s="18">
        <f>32+110+120+80+97</f>
        <v>439</v>
      </c>
      <c r="M28" s="18">
        <f>20+20+10+17</f>
        <v>67</v>
      </c>
      <c r="N28" s="147"/>
      <c r="O28" s="19">
        <f t="shared" si="0"/>
        <v>372</v>
      </c>
      <c r="P28" s="22">
        <f>20+80+126+76</f>
        <v>302</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45281</v>
      </c>
      <c r="B29" s="87" t="s">
        <v>37</v>
      </c>
      <c r="C29" s="89">
        <v>1</v>
      </c>
      <c r="D29" s="91" t="s">
        <v>38</v>
      </c>
      <c r="E29" s="89">
        <v>84212</v>
      </c>
      <c r="F29" s="89" t="s">
        <v>49</v>
      </c>
      <c r="G29" s="93" t="s">
        <v>63</v>
      </c>
      <c r="H29" s="89" t="s">
        <v>41</v>
      </c>
      <c r="I29" s="89">
        <v>1732</v>
      </c>
      <c r="J29" s="89">
        <v>1732</v>
      </c>
      <c r="K29" s="20">
        <v>120</v>
      </c>
      <c r="L29" s="20">
        <v>40</v>
      </c>
      <c r="M29" s="20">
        <v>10</v>
      </c>
      <c r="N29" s="146">
        <f>O30/L30</f>
        <v>0.75</v>
      </c>
      <c r="O29" s="21">
        <f t="shared" si="0"/>
        <v>30</v>
      </c>
      <c r="P29" s="27">
        <v>10</v>
      </c>
      <c r="Q29" s="99">
        <f>+L30-P30</f>
        <v>30</v>
      </c>
      <c r="R29" s="108"/>
      <c r="S29" s="149"/>
      <c r="T29" s="149">
        <v>6</v>
      </c>
      <c r="U29" s="149"/>
      <c r="V29" s="149"/>
      <c r="W29" s="149"/>
      <c r="X29" s="149"/>
      <c r="Y29" s="149"/>
      <c r="Z29" s="149"/>
      <c r="AA29" s="149"/>
      <c r="AB29" s="149"/>
      <c r="AC29" s="149">
        <v>4</v>
      </c>
      <c r="AD29" s="149"/>
      <c r="AE29" s="149"/>
      <c r="AF29" s="149">
        <v>5</v>
      </c>
      <c r="AG29" s="149">
        <v>4</v>
      </c>
      <c r="AH29" s="149">
        <v>11</v>
      </c>
      <c r="AI29" s="149"/>
      <c r="AJ29" s="149"/>
      <c r="AK29" s="149"/>
      <c r="AL29" s="149"/>
      <c r="AM29" s="163"/>
      <c r="AN29" s="163"/>
      <c r="AO29" s="163"/>
      <c r="AP29" s="163"/>
      <c r="AQ29" s="163"/>
      <c r="AR29" s="163"/>
      <c r="AS29" s="163"/>
      <c r="AT29" s="163"/>
      <c r="AU29" s="163"/>
      <c r="AV29" s="163"/>
      <c r="AW29" s="163"/>
      <c r="AX29" s="163"/>
      <c r="AY29" s="167"/>
      <c r="AZ29" s="167"/>
      <c r="BA29" s="167"/>
      <c r="BB29" s="167"/>
      <c r="BC29" s="167"/>
      <c r="BD29" s="167"/>
      <c r="BE29" s="163"/>
      <c r="BF29" s="165"/>
      <c r="BG29" s="165"/>
    </row>
    <row r="30" spans="1:59" s="17" customFormat="1" ht="15.75" customHeight="1">
      <c r="A30" s="85"/>
      <c r="B30" s="88"/>
      <c r="C30" s="90"/>
      <c r="D30" s="92"/>
      <c r="E30" s="90"/>
      <c r="F30" s="90"/>
      <c r="G30" s="94"/>
      <c r="H30" s="90"/>
      <c r="I30" s="90"/>
      <c r="J30" s="90"/>
      <c r="K30" s="22">
        <f>120</f>
        <v>120</v>
      </c>
      <c r="L30" s="18">
        <f>40</f>
        <v>40</v>
      </c>
      <c r="M30" s="18">
        <f>10</f>
        <v>10</v>
      </c>
      <c r="N30" s="147"/>
      <c r="O30" s="19">
        <f t="shared" si="0"/>
        <v>30</v>
      </c>
      <c r="P30" s="22">
        <f>10</f>
        <v>10</v>
      </c>
      <c r="Q30" s="100"/>
      <c r="R30" s="85"/>
      <c r="S30" s="150"/>
      <c r="T30" s="150"/>
      <c r="U30" s="150"/>
      <c r="V30" s="150"/>
      <c r="W30" s="150"/>
      <c r="X30" s="150"/>
      <c r="Y30" s="150"/>
      <c r="Z30" s="150"/>
      <c r="AA30" s="150"/>
      <c r="AB30" s="150"/>
      <c r="AC30" s="150"/>
      <c r="AD30" s="150"/>
      <c r="AE30" s="150"/>
      <c r="AF30" s="150"/>
      <c r="AG30" s="150"/>
      <c r="AH30" s="150"/>
      <c r="AI30" s="150"/>
      <c r="AJ30" s="150"/>
      <c r="AK30" s="150"/>
      <c r="AL30" s="150"/>
      <c r="AM30" s="164"/>
      <c r="AN30" s="164"/>
      <c r="AO30" s="164"/>
      <c r="AP30" s="164"/>
      <c r="AQ30" s="164"/>
      <c r="AR30" s="164"/>
      <c r="AS30" s="164"/>
      <c r="AT30" s="164"/>
      <c r="AU30" s="164"/>
      <c r="AV30" s="164"/>
      <c r="AW30" s="164"/>
      <c r="AX30" s="164"/>
      <c r="AY30" s="168"/>
      <c r="AZ30" s="168"/>
      <c r="BA30" s="168"/>
      <c r="BB30" s="168"/>
      <c r="BC30" s="168"/>
      <c r="BD30" s="168"/>
      <c r="BE30" s="164"/>
      <c r="BF30" s="166"/>
      <c r="BG30" s="166"/>
    </row>
    <row r="31" spans="1:59" s="17" customFormat="1" ht="15.75" customHeight="1">
      <c r="A31" s="108">
        <v>45281</v>
      </c>
      <c r="B31" s="87" t="s">
        <v>37</v>
      </c>
      <c r="C31" s="89">
        <v>1</v>
      </c>
      <c r="D31" s="91" t="s">
        <v>38</v>
      </c>
      <c r="E31" s="89">
        <v>84426</v>
      </c>
      <c r="F31" s="89" t="s">
        <v>49</v>
      </c>
      <c r="G31" s="93" t="s">
        <v>55</v>
      </c>
      <c r="H31" s="90" t="s">
        <v>58</v>
      </c>
      <c r="I31" s="90">
        <v>549</v>
      </c>
      <c r="J31" s="90">
        <v>549</v>
      </c>
      <c r="K31" s="20">
        <v>0</v>
      </c>
      <c r="L31" s="20">
        <v>0</v>
      </c>
      <c r="M31" s="20">
        <v>0</v>
      </c>
      <c r="N31" s="97">
        <f>O32/L32</f>
        <v>0.81238615664845171</v>
      </c>
      <c r="O31" s="21">
        <f t="shared" si="0"/>
        <v>0</v>
      </c>
      <c r="P31" s="27">
        <v>0</v>
      </c>
      <c r="Q31" s="99">
        <f>+L32-P32</f>
        <v>3</v>
      </c>
      <c r="R31" s="108"/>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49">
        <f>483+66</f>
        <v>549</v>
      </c>
      <c r="L32" s="18">
        <f>483+66</f>
        <v>549</v>
      </c>
      <c r="M32" s="18">
        <f>86+17</f>
        <v>103</v>
      </c>
      <c r="N32" s="98"/>
      <c r="O32" s="19">
        <f t="shared" si="0"/>
        <v>446</v>
      </c>
      <c r="P32" s="22">
        <f>453+80+11+2</f>
        <v>546</v>
      </c>
      <c r="Q32" s="100"/>
      <c r="R32" s="85"/>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45281</v>
      </c>
      <c r="B33" s="87" t="s">
        <v>37</v>
      </c>
      <c r="C33" s="89">
        <v>1</v>
      </c>
      <c r="D33" s="91" t="s">
        <v>38</v>
      </c>
      <c r="E33" s="89">
        <v>84352</v>
      </c>
      <c r="F33" s="89" t="s">
        <v>49</v>
      </c>
      <c r="G33" s="93" t="s">
        <v>55</v>
      </c>
      <c r="H33" s="109" t="s">
        <v>39</v>
      </c>
      <c r="I33" s="90">
        <v>1050</v>
      </c>
      <c r="J33" s="170">
        <v>1053</v>
      </c>
      <c r="K33" s="43">
        <v>0</v>
      </c>
      <c r="L33" s="48">
        <v>0</v>
      </c>
      <c r="M33" s="20">
        <v>0</v>
      </c>
      <c r="N33" s="97">
        <f>O34/L34</f>
        <v>0.64230769230769236</v>
      </c>
      <c r="O33" s="21">
        <f t="shared" si="0"/>
        <v>0</v>
      </c>
      <c r="P33" s="27">
        <v>0</v>
      </c>
      <c r="Q33" s="99">
        <f>+L34-P34</f>
        <v>0</v>
      </c>
      <c r="R33" s="85"/>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171"/>
      <c r="K34" s="47">
        <f>320+108+237+109+43+100+35+68+20</f>
        <v>1040</v>
      </c>
      <c r="L34" s="46">
        <f>10+10+10+235+60+10+150+85+185+102+40+95+28+20</f>
        <v>1040</v>
      </c>
      <c r="M34" s="18">
        <f>75+30+45+42+80+30+8+40+13+9</f>
        <v>372</v>
      </c>
      <c r="N34" s="98"/>
      <c r="O34" s="19">
        <f t="shared" si="0"/>
        <v>668</v>
      </c>
      <c r="P34" s="22">
        <f>105+70+80+92+96+70+74+165+91+21+40+50+46+20+9+11</f>
        <v>1040</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45281</v>
      </c>
      <c r="B35" s="87" t="s">
        <v>37</v>
      </c>
      <c r="C35" s="89">
        <v>1</v>
      </c>
      <c r="D35" s="91" t="s">
        <v>38</v>
      </c>
      <c r="E35" s="89">
        <v>84031</v>
      </c>
      <c r="F35" s="89" t="s">
        <v>49</v>
      </c>
      <c r="G35" s="93" t="s">
        <v>53</v>
      </c>
      <c r="H35" s="90" t="s">
        <v>57</v>
      </c>
      <c r="I35" s="90">
        <v>563</v>
      </c>
      <c r="J35" s="90">
        <v>563</v>
      </c>
      <c r="K35" s="43">
        <v>0</v>
      </c>
      <c r="L35" s="20">
        <v>0</v>
      </c>
      <c r="M35" s="20">
        <v>0</v>
      </c>
      <c r="N35" s="97">
        <f>O36/L36</f>
        <v>0.85343228200371057</v>
      </c>
      <c r="O35" s="21">
        <f t="shared" si="0"/>
        <v>0</v>
      </c>
      <c r="P35" s="27">
        <v>0</v>
      </c>
      <c r="Q35" s="99">
        <f>+L36-P36</f>
        <v>0</v>
      </c>
      <c r="R35" s="85" t="s">
        <v>86</v>
      </c>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516+20+3</f>
        <v>539</v>
      </c>
      <c r="L36" s="18">
        <f>516+20+3</f>
        <v>539</v>
      </c>
      <c r="M36" s="18">
        <f>74+2+3</f>
        <v>79</v>
      </c>
      <c r="N36" s="98"/>
      <c r="O36" s="19">
        <f t="shared" si="0"/>
        <v>460</v>
      </c>
      <c r="P36" s="22">
        <f>516+20+3</f>
        <v>539</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45281</v>
      </c>
      <c r="B37" s="87" t="s">
        <v>37</v>
      </c>
      <c r="C37" s="89">
        <v>1</v>
      </c>
      <c r="D37" s="91" t="s">
        <v>38</v>
      </c>
      <c r="E37" s="89">
        <v>84031</v>
      </c>
      <c r="F37" s="89" t="s">
        <v>49</v>
      </c>
      <c r="G37" s="93" t="s">
        <v>53</v>
      </c>
      <c r="H37" s="90" t="s">
        <v>39</v>
      </c>
      <c r="I37" s="90">
        <v>623</v>
      </c>
      <c r="J37" s="90">
        <v>623</v>
      </c>
      <c r="K37" s="20">
        <v>0</v>
      </c>
      <c r="L37" s="20">
        <v>0</v>
      </c>
      <c r="M37" s="20">
        <v>0</v>
      </c>
      <c r="N37" s="97">
        <f>O38/L38</f>
        <v>0.79710144927536231</v>
      </c>
      <c r="O37" s="21">
        <f t="shared" si="0"/>
        <v>0</v>
      </c>
      <c r="P37" s="27">
        <v>0</v>
      </c>
      <c r="Q37" s="99">
        <f>+L38-P38</f>
        <v>0</v>
      </c>
      <c r="R37" s="85" t="s">
        <v>86</v>
      </c>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574+9+30+5+3</f>
        <v>621</v>
      </c>
      <c r="L38" s="18">
        <f>574+9+30+5+3</f>
        <v>621</v>
      </c>
      <c r="M38" s="18">
        <f>109+9+5+3</f>
        <v>126</v>
      </c>
      <c r="N38" s="98"/>
      <c r="O38" s="19">
        <f t="shared" si="0"/>
        <v>495</v>
      </c>
      <c r="P38" s="22">
        <f>574+9+30+5+3</f>
        <v>621</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45281</v>
      </c>
      <c r="B39" s="87" t="s">
        <v>37</v>
      </c>
      <c r="C39" s="89">
        <v>1</v>
      </c>
      <c r="D39" s="91" t="s">
        <v>77</v>
      </c>
      <c r="E39" s="89">
        <v>20785</v>
      </c>
      <c r="F39" s="89" t="s">
        <v>76</v>
      </c>
      <c r="G39" s="93" t="s">
        <v>71</v>
      </c>
      <c r="H39" s="90" t="s">
        <v>70</v>
      </c>
      <c r="I39" s="90">
        <v>1475</v>
      </c>
      <c r="J39" s="90">
        <v>1475</v>
      </c>
      <c r="K39" s="20">
        <v>22</v>
      </c>
      <c r="L39" s="20">
        <v>22</v>
      </c>
      <c r="M39" s="20">
        <v>6</v>
      </c>
      <c r="N39" s="97">
        <f>O40/L40</f>
        <v>0.86255924170616116</v>
      </c>
      <c r="O39" s="21">
        <f t="shared" si="0"/>
        <v>16</v>
      </c>
      <c r="P39" s="27">
        <v>20</v>
      </c>
      <c r="Q39" s="99">
        <f>+L40-P40</f>
        <v>42</v>
      </c>
      <c r="R39" s="85"/>
      <c r="S39" s="96"/>
      <c r="T39" s="96"/>
      <c r="U39" s="96"/>
      <c r="V39" s="96"/>
      <c r="W39" s="96"/>
      <c r="X39" s="96">
        <v>2</v>
      </c>
      <c r="Y39" s="96"/>
      <c r="Z39" s="96"/>
      <c r="AA39" s="96"/>
      <c r="AB39" s="96"/>
      <c r="AC39" s="96">
        <v>5</v>
      </c>
      <c r="AD39" s="96"/>
      <c r="AE39" s="96"/>
      <c r="AF39" s="96"/>
      <c r="AG39" s="96">
        <v>3</v>
      </c>
      <c r="AH39" s="96">
        <v>4</v>
      </c>
      <c r="AI39" s="96"/>
      <c r="AJ39" s="96"/>
      <c r="AK39" s="96"/>
      <c r="AL39" s="96">
        <v>2</v>
      </c>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26+20+20+15+15+29+64+22</f>
        <v>211</v>
      </c>
      <c r="L40" s="18">
        <f>26+10+30+15+15+29+64+22</f>
        <v>211</v>
      </c>
      <c r="M40" s="18">
        <f>9+14+6</f>
        <v>29</v>
      </c>
      <c r="N40" s="98"/>
      <c r="O40" s="19">
        <f t="shared" si="0"/>
        <v>182</v>
      </c>
      <c r="P40" s="22">
        <f>10+10+6+5+20+15+14+16+9+44+20</f>
        <v>169</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45281</v>
      </c>
      <c r="B41" s="87" t="s">
        <v>37</v>
      </c>
      <c r="C41" s="89">
        <v>1</v>
      </c>
      <c r="D41" s="91" t="s">
        <v>77</v>
      </c>
      <c r="E41" s="89">
        <v>20785</v>
      </c>
      <c r="F41" s="89" t="s">
        <v>76</v>
      </c>
      <c r="G41" s="93" t="s">
        <v>71</v>
      </c>
      <c r="H41" s="90" t="s">
        <v>75</v>
      </c>
      <c r="I41" s="90">
        <v>501</v>
      </c>
      <c r="J41" s="90">
        <v>501</v>
      </c>
      <c r="K41" s="20">
        <v>0</v>
      </c>
      <c r="L41" s="20">
        <v>0</v>
      </c>
      <c r="M41" s="20">
        <v>0</v>
      </c>
      <c r="N41" s="97">
        <f>O42/L42</f>
        <v>0.9358974358974359</v>
      </c>
      <c r="O41" s="21">
        <f t="shared" si="0"/>
        <v>0</v>
      </c>
      <c r="P41" s="27">
        <v>0</v>
      </c>
      <c r="Q41" s="99">
        <f>+L42-P42</f>
        <v>0</v>
      </c>
      <c r="R41" s="85"/>
      <c r="S41" s="96"/>
      <c r="T41" s="96"/>
      <c r="U41" s="96"/>
      <c r="V41" s="96"/>
      <c r="W41" s="96"/>
      <c r="X41" s="96"/>
      <c r="Y41" s="96"/>
      <c r="Z41" s="96"/>
      <c r="AA41" s="96"/>
      <c r="AB41" s="96"/>
      <c r="AC41" s="96"/>
      <c r="AD41" s="96"/>
      <c r="AE41" s="96"/>
      <c r="AF41" s="96"/>
      <c r="AG41" s="96"/>
      <c r="AH41" s="96"/>
      <c r="AI41" s="96"/>
      <c r="AJ41" s="96"/>
      <c r="AK41" s="96"/>
      <c r="AL41" s="96"/>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24+31+23</f>
        <v>78</v>
      </c>
      <c r="L42" s="18">
        <f>10+45+5+18</f>
        <v>78</v>
      </c>
      <c r="M42" s="18">
        <f>5</f>
        <v>5</v>
      </c>
      <c r="N42" s="98"/>
      <c r="O42" s="19">
        <f t="shared" si="0"/>
        <v>73</v>
      </c>
      <c r="P42" s="22">
        <f>5+15+58</f>
        <v>78</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s="17" customFormat="1" ht="15.75" customHeight="1">
      <c r="A43" s="108">
        <v>45281</v>
      </c>
      <c r="B43" s="87" t="s">
        <v>37</v>
      </c>
      <c r="C43" s="89">
        <v>1</v>
      </c>
      <c r="D43" s="91" t="s">
        <v>77</v>
      </c>
      <c r="E43" s="89">
        <v>20785</v>
      </c>
      <c r="F43" s="89" t="s">
        <v>76</v>
      </c>
      <c r="G43" s="93" t="s">
        <v>71</v>
      </c>
      <c r="H43" s="90" t="s">
        <v>79</v>
      </c>
      <c r="I43" s="90">
        <v>826</v>
      </c>
      <c r="J43" s="90">
        <v>826</v>
      </c>
      <c r="K43" s="20">
        <v>59</v>
      </c>
      <c r="L43" s="20">
        <v>90</v>
      </c>
      <c r="M43" s="20">
        <v>20</v>
      </c>
      <c r="N43" s="97">
        <f>O44/L44</f>
        <v>0.85146443514644354</v>
      </c>
      <c r="O43" s="21">
        <f t="shared" si="0"/>
        <v>70</v>
      </c>
      <c r="P43" s="27">
        <v>84</v>
      </c>
      <c r="Q43" s="99">
        <f>+L44-P44</f>
        <v>113</v>
      </c>
      <c r="R43" s="85"/>
      <c r="S43" s="96"/>
      <c r="T43" s="96">
        <v>19</v>
      </c>
      <c r="U43" s="96">
        <v>2</v>
      </c>
      <c r="V43" s="96"/>
      <c r="W43" s="96"/>
      <c r="X43" s="96">
        <v>2</v>
      </c>
      <c r="Y43" s="96"/>
      <c r="Z43" s="96"/>
      <c r="AA43" s="96"/>
      <c r="AB43" s="96"/>
      <c r="AC43" s="96">
        <v>2</v>
      </c>
      <c r="AD43" s="96"/>
      <c r="AE43" s="96"/>
      <c r="AF43" s="96">
        <v>8</v>
      </c>
      <c r="AG43" s="96">
        <v>13</v>
      </c>
      <c r="AH43" s="96">
        <v>15</v>
      </c>
      <c r="AI43" s="96"/>
      <c r="AJ43" s="96">
        <v>4</v>
      </c>
      <c r="AK43" s="96"/>
      <c r="AL43" s="96">
        <v>5</v>
      </c>
      <c r="AM43" s="103"/>
      <c r="AN43" s="103"/>
      <c r="AO43" s="103"/>
      <c r="AP43" s="103"/>
      <c r="AQ43" s="103"/>
      <c r="AR43" s="103"/>
      <c r="AS43" s="103"/>
      <c r="AT43" s="103"/>
      <c r="AU43" s="103"/>
      <c r="AV43" s="103"/>
      <c r="AW43" s="103"/>
      <c r="AX43" s="103"/>
      <c r="AY43" s="106"/>
      <c r="AZ43" s="106"/>
      <c r="BA43" s="106"/>
      <c r="BB43" s="106"/>
      <c r="BC43" s="106"/>
      <c r="BD43" s="106"/>
      <c r="BE43" s="103"/>
      <c r="BF43" s="104"/>
      <c r="BG43" s="104"/>
    </row>
    <row r="44" spans="1:59" s="17" customFormat="1" ht="15.75" customHeight="1">
      <c r="A44" s="85"/>
      <c r="B44" s="88"/>
      <c r="C44" s="90"/>
      <c r="D44" s="92"/>
      <c r="E44" s="90"/>
      <c r="F44" s="90"/>
      <c r="G44" s="94"/>
      <c r="H44" s="95"/>
      <c r="I44" s="95"/>
      <c r="J44" s="95"/>
      <c r="K44" s="22">
        <f>8+32+48+44+34+38+20+74+44+77+59</f>
        <v>478</v>
      </c>
      <c r="L44" s="18">
        <f>7+30+45+50+45+47+50+44+70+90</f>
        <v>478</v>
      </c>
      <c r="M44" s="18">
        <f>3+10+5+10+8+5+10+20</f>
        <v>71</v>
      </c>
      <c r="N44" s="98"/>
      <c r="O44" s="19">
        <f t="shared" si="0"/>
        <v>407</v>
      </c>
      <c r="P44" s="22">
        <f>3+10+12+30+25+114+20+37+30+84</f>
        <v>365</v>
      </c>
      <c r="Q44" s="100"/>
      <c r="R44" s="86"/>
      <c r="S44" s="96"/>
      <c r="T44" s="96"/>
      <c r="U44" s="96"/>
      <c r="V44" s="96"/>
      <c r="W44" s="96"/>
      <c r="X44" s="96"/>
      <c r="Y44" s="96"/>
      <c r="Z44" s="96"/>
      <c r="AA44" s="96"/>
      <c r="AB44" s="96"/>
      <c r="AC44" s="96"/>
      <c r="AD44" s="96"/>
      <c r="AE44" s="96"/>
      <c r="AF44" s="96"/>
      <c r="AG44" s="96"/>
      <c r="AH44" s="96"/>
      <c r="AI44" s="96"/>
      <c r="AJ44" s="96"/>
      <c r="AK44" s="96"/>
      <c r="AL44" s="96"/>
      <c r="AM44" s="103"/>
      <c r="AN44" s="103"/>
      <c r="AO44" s="103"/>
      <c r="AP44" s="103"/>
      <c r="AQ44" s="103"/>
      <c r="AR44" s="103"/>
      <c r="AS44" s="103"/>
      <c r="AT44" s="103"/>
      <c r="AU44" s="103"/>
      <c r="AV44" s="103"/>
      <c r="AW44" s="103"/>
      <c r="AX44" s="103"/>
      <c r="AY44" s="107"/>
      <c r="AZ44" s="107"/>
      <c r="BA44" s="107"/>
      <c r="BB44" s="107"/>
      <c r="BC44" s="107"/>
      <c r="BD44" s="107"/>
      <c r="BE44" s="103"/>
      <c r="BF44" s="105"/>
      <c r="BG44" s="105"/>
    </row>
    <row r="45" spans="1:59" ht="24.75" customHeight="1">
      <c r="A45" s="111" t="s">
        <v>15</v>
      </c>
      <c r="B45" s="112"/>
      <c r="C45" s="112"/>
      <c r="D45" s="112"/>
      <c r="E45" s="112"/>
      <c r="F45" s="112"/>
      <c r="G45" s="112"/>
      <c r="H45" s="112"/>
      <c r="I45" s="113"/>
      <c r="J45" s="5">
        <f>SUM(J5:J44)</f>
        <v>26311</v>
      </c>
      <c r="K45" s="5">
        <f>+SUMPRODUCT(((MOD(ROW(K5:K44),2)=1)*(K5:K44)))</f>
        <v>1067</v>
      </c>
      <c r="L45" s="5">
        <f>+SUMPRODUCT(((MOD(ROW(L5:L44),2)=1)*(L5:L44)))</f>
        <v>1023</v>
      </c>
      <c r="M45" s="5">
        <f>+SUMPRODUCT(((MOD(ROW(M5:M44),2)=1)*(M5:M44)))</f>
        <v>337</v>
      </c>
      <c r="N45" s="23">
        <f>O45/L45</f>
        <v>0.67057673509286408</v>
      </c>
      <c r="O45" s="5">
        <f>+SUMPRODUCT(((MOD(ROW(O5:O44),2)=1)*(O5:O44)))</f>
        <v>686</v>
      </c>
      <c r="P45" s="5">
        <f>+SUMPRODUCT(((MOD(ROW(P5:P44),2)=1)*(P5:P44)))</f>
        <v>1195</v>
      </c>
      <c r="Q45" s="5">
        <f>+SUMPRODUCT(((MOD(ROW(Q5:Q44),2)=1)*(Q5:Q44)))</f>
        <v>1397</v>
      </c>
      <c r="R45" s="69"/>
      <c r="S45" s="68">
        <f t="shared" ref="S45:BG45" si="1">SUM(S5:S44)</f>
        <v>79</v>
      </c>
      <c r="T45" s="68">
        <f t="shared" si="1"/>
        <v>94</v>
      </c>
      <c r="U45" s="68">
        <f t="shared" si="1"/>
        <v>22</v>
      </c>
      <c r="V45" s="68">
        <f t="shared" si="1"/>
        <v>0</v>
      </c>
      <c r="W45" s="68">
        <f t="shared" si="1"/>
        <v>0</v>
      </c>
      <c r="X45" s="68">
        <f t="shared" si="1"/>
        <v>13</v>
      </c>
      <c r="Y45" s="5">
        <f t="shared" si="1"/>
        <v>0</v>
      </c>
      <c r="Z45" s="5">
        <f t="shared" si="1"/>
        <v>0</v>
      </c>
      <c r="AA45" s="5">
        <f t="shared" si="1"/>
        <v>0</v>
      </c>
      <c r="AB45" s="5">
        <f t="shared" si="1"/>
        <v>0</v>
      </c>
      <c r="AC45" s="5">
        <f t="shared" si="1"/>
        <v>102</v>
      </c>
      <c r="AD45" s="5">
        <f t="shared" si="1"/>
        <v>10</v>
      </c>
      <c r="AE45" s="5">
        <f t="shared" si="1"/>
        <v>29</v>
      </c>
      <c r="AF45" s="5">
        <f t="shared" si="1"/>
        <v>72</v>
      </c>
      <c r="AG45" s="5">
        <f t="shared" si="1"/>
        <v>67</v>
      </c>
      <c r="AH45" s="5">
        <f t="shared" si="1"/>
        <v>88</v>
      </c>
      <c r="AI45" s="5">
        <f t="shared" si="1"/>
        <v>0</v>
      </c>
      <c r="AJ45" s="5">
        <f t="shared" si="1"/>
        <v>4</v>
      </c>
      <c r="AK45" s="5">
        <f t="shared" si="1"/>
        <v>7</v>
      </c>
      <c r="AL45" s="5">
        <f t="shared" si="1"/>
        <v>99</v>
      </c>
      <c r="AM45" s="5">
        <f t="shared" si="1"/>
        <v>0</v>
      </c>
      <c r="AN45" s="5">
        <f t="shared" si="1"/>
        <v>0</v>
      </c>
      <c r="AO45" s="5">
        <f t="shared" si="1"/>
        <v>0</v>
      </c>
      <c r="AP45" s="5">
        <f t="shared" si="1"/>
        <v>0</v>
      </c>
      <c r="AQ45" s="5">
        <f t="shared" si="1"/>
        <v>0</v>
      </c>
      <c r="AR45" s="5">
        <f t="shared" si="1"/>
        <v>0</v>
      </c>
      <c r="AS45" s="5">
        <f t="shared" si="1"/>
        <v>0</v>
      </c>
      <c r="AT45" s="5">
        <f t="shared" si="1"/>
        <v>0</v>
      </c>
      <c r="AU45" s="5">
        <f t="shared" si="1"/>
        <v>0</v>
      </c>
      <c r="AV45" s="5">
        <f t="shared" si="1"/>
        <v>0</v>
      </c>
      <c r="AW45" s="5">
        <f t="shared" si="1"/>
        <v>0</v>
      </c>
      <c r="AX45" s="5">
        <f t="shared" si="1"/>
        <v>0</v>
      </c>
      <c r="AY45" s="5">
        <f t="shared" si="1"/>
        <v>0</v>
      </c>
      <c r="AZ45" s="5">
        <f t="shared" si="1"/>
        <v>0</v>
      </c>
      <c r="BA45" s="5">
        <f t="shared" si="1"/>
        <v>0</v>
      </c>
      <c r="BB45" s="5">
        <f t="shared" si="1"/>
        <v>0</v>
      </c>
      <c r="BC45" s="5">
        <f t="shared" si="1"/>
        <v>0</v>
      </c>
      <c r="BD45" s="5">
        <f t="shared" si="1"/>
        <v>0</v>
      </c>
      <c r="BE45" s="5">
        <f t="shared" si="1"/>
        <v>0</v>
      </c>
      <c r="BF45" s="5">
        <f t="shared" si="1"/>
        <v>0</v>
      </c>
      <c r="BG45" s="5">
        <f t="shared" si="1"/>
        <v>0</v>
      </c>
    </row>
    <row r="46" spans="1:59" s="17" customFormat="1" ht="15.75" hidden="1" customHeight="1">
      <c r="A46" s="108"/>
      <c r="B46" s="87"/>
      <c r="C46" s="89"/>
      <c r="D46" s="91"/>
      <c r="E46" s="91"/>
      <c r="F46" s="89"/>
      <c r="G46" s="93"/>
      <c r="H46" s="89"/>
      <c r="I46" s="89"/>
      <c r="J46" s="89"/>
      <c r="K46" s="20"/>
      <c r="L46" s="20"/>
      <c r="M46" s="20"/>
      <c r="N46" s="146"/>
      <c r="O46" s="21"/>
      <c r="P46" s="27"/>
      <c r="Q46" s="99"/>
      <c r="R46" s="175"/>
      <c r="S46" s="96"/>
      <c r="T46" s="96"/>
      <c r="U46" s="96"/>
      <c r="V46" s="96"/>
      <c r="W46" s="96"/>
      <c r="X46" s="96"/>
      <c r="Y46" s="149"/>
      <c r="Z46" s="149"/>
      <c r="AA46" s="149"/>
      <c r="AB46" s="149"/>
      <c r="AC46" s="149"/>
      <c r="AD46" s="149"/>
      <c r="AE46" s="149"/>
      <c r="AF46" s="149"/>
      <c r="AG46" s="149"/>
      <c r="AH46" s="149"/>
      <c r="AI46" s="149"/>
      <c r="AJ46" s="149"/>
      <c r="AK46" s="149"/>
      <c r="AL46" s="149"/>
      <c r="AM46" s="163"/>
      <c r="AN46" s="163"/>
      <c r="AO46" s="163"/>
      <c r="AP46" s="163"/>
      <c r="AQ46" s="163"/>
      <c r="AR46" s="163"/>
      <c r="AS46" s="163"/>
      <c r="AT46" s="163"/>
      <c r="AU46" s="163"/>
      <c r="AV46" s="163"/>
      <c r="AW46" s="163"/>
      <c r="AX46" s="163"/>
      <c r="AY46" s="167"/>
      <c r="AZ46" s="167"/>
      <c r="BA46" s="167"/>
      <c r="BB46" s="167"/>
      <c r="BC46" s="167"/>
      <c r="BD46" s="167"/>
      <c r="BE46" s="163"/>
      <c r="BF46" s="165"/>
      <c r="BG46" s="165"/>
    </row>
    <row r="47" spans="1:59" s="17" customFormat="1" ht="15.75" hidden="1" customHeight="1">
      <c r="A47" s="85"/>
      <c r="B47" s="88"/>
      <c r="C47" s="90"/>
      <c r="D47" s="92"/>
      <c r="E47" s="92"/>
      <c r="F47" s="90"/>
      <c r="G47" s="94"/>
      <c r="H47" s="90"/>
      <c r="I47" s="90"/>
      <c r="J47" s="90"/>
      <c r="K47" s="22"/>
      <c r="L47" s="18"/>
      <c r="M47" s="18"/>
      <c r="N47" s="147"/>
      <c r="O47" s="19"/>
      <c r="P47" s="22"/>
      <c r="Q47" s="100"/>
      <c r="R47" s="175"/>
      <c r="S47" s="96"/>
      <c r="T47" s="96"/>
      <c r="U47" s="96"/>
      <c r="V47" s="96"/>
      <c r="W47" s="96"/>
      <c r="X47" s="96"/>
      <c r="Y47" s="150"/>
      <c r="Z47" s="150"/>
      <c r="AA47" s="150"/>
      <c r="AB47" s="150"/>
      <c r="AC47" s="150"/>
      <c r="AD47" s="150"/>
      <c r="AE47" s="150"/>
      <c r="AF47" s="150"/>
      <c r="AG47" s="150"/>
      <c r="AH47" s="150"/>
      <c r="AI47" s="150"/>
      <c r="AJ47" s="150"/>
      <c r="AK47" s="150"/>
      <c r="AL47" s="150"/>
      <c r="AM47" s="164"/>
      <c r="AN47" s="164"/>
      <c r="AO47" s="164"/>
      <c r="AP47" s="164"/>
      <c r="AQ47" s="164"/>
      <c r="AR47" s="164"/>
      <c r="AS47" s="164"/>
      <c r="AT47" s="164"/>
      <c r="AU47" s="164"/>
      <c r="AV47" s="164"/>
      <c r="AW47" s="164"/>
      <c r="AX47" s="164"/>
      <c r="AY47" s="168"/>
      <c r="AZ47" s="168"/>
      <c r="BA47" s="168"/>
      <c r="BB47" s="168"/>
      <c r="BC47" s="168"/>
      <c r="BD47" s="168"/>
      <c r="BE47" s="164"/>
      <c r="BF47" s="166"/>
      <c r="BG47" s="166"/>
    </row>
    <row r="48" spans="1:59" s="17" customFormat="1" ht="15.75" hidden="1" customHeight="1">
      <c r="A48" s="154"/>
      <c r="B48" s="114"/>
      <c r="C48" s="116"/>
      <c r="D48" s="118"/>
      <c r="E48" s="116"/>
      <c r="F48" s="116"/>
      <c r="G48" s="120"/>
      <c r="H48" s="89"/>
      <c r="I48" s="89"/>
      <c r="J48" s="89"/>
      <c r="K48" s="20"/>
      <c r="L48" s="20"/>
      <c r="M48" s="20"/>
      <c r="N48" s="146"/>
      <c r="O48" s="21"/>
      <c r="P48" s="27"/>
      <c r="Q48" s="99"/>
      <c r="R48" s="174"/>
      <c r="S48" s="96"/>
      <c r="T48" s="96"/>
      <c r="U48" s="96"/>
      <c r="V48" s="96"/>
      <c r="W48" s="96"/>
      <c r="X48" s="96"/>
      <c r="Y48" s="149"/>
      <c r="Z48" s="149"/>
      <c r="AA48" s="149"/>
      <c r="AB48" s="149"/>
      <c r="AC48" s="149"/>
      <c r="AD48" s="149"/>
      <c r="AE48" s="149"/>
      <c r="AF48" s="149"/>
      <c r="AG48" s="149"/>
      <c r="AH48" s="149"/>
      <c r="AI48" s="149"/>
      <c r="AJ48" s="149"/>
      <c r="AK48" s="149"/>
      <c r="AL48" s="149"/>
      <c r="AM48" s="163"/>
      <c r="AN48" s="163"/>
      <c r="AO48" s="163"/>
      <c r="AP48" s="163"/>
      <c r="AQ48" s="163"/>
      <c r="AR48" s="163"/>
      <c r="AS48" s="163"/>
      <c r="AT48" s="163"/>
      <c r="AU48" s="163"/>
      <c r="AV48" s="163"/>
      <c r="AW48" s="163"/>
      <c r="AX48" s="163"/>
      <c r="AY48" s="167"/>
      <c r="AZ48" s="167"/>
      <c r="BA48" s="167"/>
      <c r="BB48" s="167"/>
      <c r="BC48" s="167"/>
      <c r="BD48" s="167"/>
      <c r="BE48" s="163"/>
      <c r="BF48" s="165"/>
      <c r="BG48" s="165"/>
    </row>
    <row r="49" spans="1:59" s="17" customFormat="1" ht="15.75" hidden="1" customHeight="1">
      <c r="A49" s="101"/>
      <c r="B49" s="115"/>
      <c r="C49" s="117"/>
      <c r="D49" s="119"/>
      <c r="E49" s="117"/>
      <c r="F49" s="117"/>
      <c r="G49" s="121"/>
      <c r="H49" s="90"/>
      <c r="I49" s="90"/>
      <c r="J49" s="90"/>
      <c r="K49" s="22"/>
      <c r="L49" s="18"/>
      <c r="M49" s="18"/>
      <c r="N49" s="147"/>
      <c r="O49" s="19"/>
      <c r="P49" s="22"/>
      <c r="Q49" s="100"/>
      <c r="R49" s="174"/>
      <c r="S49" s="96"/>
      <c r="T49" s="96"/>
      <c r="U49" s="96"/>
      <c r="V49" s="96"/>
      <c r="W49" s="96"/>
      <c r="X49" s="96"/>
      <c r="Y49" s="150"/>
      <c r="Z49" s="150"/>
      <c r="AA49" s="150"/>
      <c r="AB49" s="150"/>
      <c r="AC49" s="150"/>
      <c r="AD49" s="150"/>
      <c r="AE49" s="150"/>
      <c r="AF49" s="150"/>
      <c r="AG49" s="150"/>
      <c r="AH49" s="150"/>
      <c r="AI49" s="150"/>
      <c r="AJ49" s="150"/>
      <c r="AK49" s="150"/>
      <c r="AL49" s="150"/>
      <c r="AM49" s="164"/>
      <c r="AN49" s="164"/>
      <c r="AO49" s="164"/>
      <c r="AP49" s="164"/>
      <c r="AQ49" s="164"/>
      <c r="AR49" s="164"/>
      <c r="AS49" s="164"/>
      <c r="AT49" s="164"/>
      <c r="AU49" s="164"/>
      <c r="AV49" s="164"/>
      <c r="AW49" s="164"/>
      <c r="AX49" s="164"/>
      <c r="AY49" s="168"/>
      <c r="AZ49" s="168"/>
      <c r="BA49" s="168"/>
      <c r="BB49" s="168"/>
      <c r="BC49" s="168"/>
      <c r="BD49" s="168"/>
      <c r="BE49" s="164"/>
      <c r="BF49" s="166"/>
      <c r="BG49" s="166"/>
    </row>
    <row r="50" spans="1:59" s="17" customFormat="1" ht="15.75" hidden="1" customHeight="1">
      <c r="A50" s="154"/>
      <c r="B50" s="114"/>
      <c r="C50" s="116"/>
      <c r="D50" s="118"/>
      <c r="E50" s="116"/>
      <c r="F50" s="116"/>
      <c r="G50" s="120"/>
      <c r="H50" s="89"/>
      <c r="I50" s="89"/>
      <c r="J50" s="89"/>
      <c r="K50" s="20"/>
      <c r="L50" s="20"/>
      <c r="M50" s="20"/>
      <c r="N50" s="146"/>
      <c r="O50" s="21"/>
      <c r="P50" s="27"/>
      <c r="Q50" s="99"/>
      <c r="R50" s="174"/>
      <c r="S50" s="96"/>
      <c r="T50" s="96"/>
      <c r="U50" s="96"/>
      <c r="V50" s="96"/>
      <c r="W50" s="96"/>
      <c r="X50" s="96"/>
      <c r="Y50" s="149"/>
      <c r="Z50" s="149"/>
      <c r="AA50" s="149"/>
      <c r="AB50" s="149"/>
      <c r="AC50" s="149"/>
      <c r="AD50" s="149"/>
      <c r="AE50" s="149"/>
      <c r="AF50" s="149"/>
      <c r="AG50" s="149"/>
      <c r="AH50" s="149"/>
      <c r="AI50" s="149"/>
      <c r="AJ50" s="149"/>
      <c r="AK50" s="149"/>
      <c r="AL50" s="149"/>
      <c r="AM50" s="163"/>
      <c r="AN50" s="163"/>
      <c r="AO50" s="163"/>
      <c r="AP50" s="163"/>
      <c r="AQ50" s="163"/>
      <c r="AR50" s="163"/>
      <c r="AS50" s="163"/>
      <c r="AT50" s="163"/>
      <c r="AU50" s="163"/>
      <c r="AV50" s="163"/>
      <c r="AW50" s="163"/>
      <c r="AX50" s="163"/>
      <c r="AY50" s="167"/>
      <c r="AZ50" s="167"/>
      <c r="BA50" s="167"/>
      <c r="BB50" s="167"/>
      <c r="BC50" s="167"/>
      <c r="BD50" s="167"/>
      <c r="BE50" s="163"/>
      <c r="BF50" s="165"/>
      <c r="BG50" s="165"/>
    </row>
    <row r="51" spans="1:59" s="17" customFormat="1" ht="15.75" hidden="1" customHeight="1">
      <c r="A51" s="101"/>
      <c r="B51" s="115"/>
      <c r="C51" s="117"/>
      <c r="D51" s="119"/>
      <c r="E51" s="117"/>
      <c r="F51" s="117"/>
      <c r="G51" s="121"/>
      <c r="H51" s="90"/>
      <c r="I51" s="90"/>
      <c r="J51" s="90"/>
      <c r="K51" s="22"/>
      <c r="L51" s="18"/>
      <c r="M51" s="18"/>
      <c r="N51" s="147"/>
      <c r="O51" s="19"/>
      <c r="P51" s="22"/>
      <c r="Q51" s="100"/>
      <c r="R51" s="174"/>
      <c r="S51" s="96"/>
      <c r="T51" s="96"/>
      <c r="U51" s="96"/>
      <c r="V51" s="96"/>
      <c r="W51" s="96"/>
      <c r="X51" s="96"/>
      <c r="Y51" s="150"/>
      <c r="Z51" s="150"/>
      <c r="AA51" s="150"/>
      <c r="AB51" s="150"/>
      <c r="AC51" s="150"/>
      <c r="AD51" s="150"/>
      <c r="AE51" s="150"/>
      <c r="AF51" s="150"/>
      <c r="AG51" s="150"/>
      <c r="AH51" s="150"/>
      <c r="AI51" s="150"/>
      <c r="AJ51" s="150"/>
      <c r="AK51" s="150"/>
      <c r="AL51" s="150"/>
      <c r="AM51" s="164"/>
      <c r="AN51" s="164"/>
      <c r="AO51" s="164"/>
      <c r="AP51" s="164"/>
      <c r="AQ51" s="164"/>
      <c r="AR51" s="164"/>
      <c r="AS51" s="164"/>
      <c r="AT51" s="164"/>
      <c r="AU51" s="164"/>
      <c r="AV51" s="164"/>
      <c r="AW51" s="164"/>
      <c r="AX51" s="164"/>
      <c r="AY51" s="168"/>
      <c r="AZ51" s="168"/>
      <c r="BA51" s="168"/>
      <c r="BB51" s="168"/>
      <c r="BC51" s="168"/>
      <c r="BD51" s="168"/>
      <c r="BE51" s="164"/>
      <c r="BF51" s="166"/>
      <c r="BG51" s="166"/>
    </row>
    <row r="52" spans="1:59" ht="24.75" hidden="1" customHeight="1">
      <c r="A52" s="111" t="s">
        <v>46</v>
      </c>
      <c r="B52" s="112"/>
      <c r="C52" s="112"/>
      <c r="D52" s="112"/>
      <c r="E52" s="112"/>
      <c r="F52" s="112"/>
      <c r="G52" s="112"/>
      <c r="H52" s="112"/>
      <c r="I52" s="113"/>
      <c r="J52" s="5">
        <f>SUM(J46:J51)</f>
        <v>0</v>
      </c>
      <c r="K52" s="5">
        <f>+SUMPRODUCT(((MOD(ROW(K46:K51),2)=0)*(K46:K51)))</f>
        <v>0</v>
      </c>
      <c r="L52" s="5">
        <f>+SUMPRODUCT(((MOD(ROW(L46:L51),2)=0)*(L46:L51)))</f>
        <v>0</v>
      </c>
      <c r="M52" s="5">
        <f>+SUMPRODUCT(((MOD(ROW(M46:M51),2)=0)*(M46:M51)))</f>
        <v>0</v>
      </c>
      <c r="N52" s="23" t="e">
        <f>O52/L52</f>
        <v>#DIV/0!</v>
      </c>
      <c r="O52" s="5">
        <f>+SUMPRODUCT(((MOD(ROW(O46:O51),2)=0)*(O46:O51)))</f>
        <v>0</v>
      </c>
      <c r="P52" s="5">
        <f>+SUMPRODUCT(((MOD(ROW(P46:P51),2)=0)*(P46:P51)))</f>
        <v>0</v>
      </c>
      <c r="Q52" s="29">
        <f>SUM(Q46:Q51)</f>
        <v>0</v>
      </c>
      <c r="R52" s="69"/>
      <c r="S52" s="68">
        <f t="shared" ref="S52:BG52" si="2">SUM(S46:S51)</f>
        <v>0</v>
      </c>
      <c r="T52" s="68">
        <f t="shared" si="2"/>
        <v>0</v>
      </c>
      <c r="U52" s="68">
        <f t="shared" si="2"/>
        <v>0</v>
      </c>
      <c r="V52" s="68">
        <f t="shared" si="2"/>
        <v>0</v>
      </c>
      <c r="W52" s="68">
        <f t="shared" si="2"/>
        <v>0</v>
      </c>
      <c r="X52" s="68">
        <f t="shared" si="2"/>
        <v>0</v>
      </c>
      <c r="Y52" s="5">
        <f t="shared" si="2"/>
        <v>0</v>
      </c>
      <c r="Z52" s="5">
        <f t="shared" si="2"/>
        <v>0</v>
      </c>
      <c r="AA52" s="5">
        <f t="shared" si="2"/>
        <v>0</v>
      </c>
      <c r="AB52" s="5">
        <f t="shared" si="2"/>
        <v>0</v>
      </c>
      <c r="AC52" s="5">
        <f t="shared" si="2"/>
        <v>0</v>
      </c>
      <c r="AD52" s="5">
        <f t="shared" si="2"/>
        <v>0</v>
      </c>
      <c r="AE52" s="5">
        <f t="shared" si="2"/>
        <v>0</v>
      </c>
      <c r="AF52" s="5">
        <f t="shared" si="2"/>
        <v>0</v>
      </c>
      <c r="AG52" s="5">
        <f t="shared" si="2"/>
        <v>0</v>
      </c>
      <c r="AH52" s="5">
        <f t="shared" si="2"/>
        <v>0</v>
      </c>
      <c r="AI52" s="5">
        <f t="shared" si="2"/>
        <v>0</v>
      </c>
      <c r="AJ52" s="5">
        <f t="shared" si="2"/>
        <v>0</v>
      </c>
      <c r="AK52" s="5">
        <f t="shared" si="2"/>
        <v>0</v>
      </c>
      <c r="AL52" s="5">
        <f t="shared" si="2"/>
        <v>0</v>
      </c>
      <c r="AM52" s="5">
        <f t="shared" si="2"/>
        <v>0</v>
      </c>
      <c r="AN52" s="5">
        <f t="shared" si="2"/>
        <v>0</v>
      </c>
      <c r="AO52" s="5">
        <f t="shared" si="2"/>
        <v>0</v>
      </c>
      <c r="AP52" s="5">
        <f t="shared" si="2"/>
        <v>0</v>
      </c>
      <c r="AQ52" s="5">
        <f t="shared" si="2"/>
        <v>0</v>
      </c>
      <c r="AR52" s="5">
        <f t="shared" si="2"/>
        <v>0</v>
      </c>
      <c r="AS52" s="5">
        <f t="shared" si="2"/>
        <v>0</v>
      </c>
      <c r="AT52" s="5">
        <f t="shared" si="2"/>
        <v>0</v>
      </c>
      <c r="AU52" s="5">
        <f t="shared" si="2"/>
        <v>0</v>
      </c>
      <c r="AV52" s="5">
        <f t="shared" si="2"/>
        <v>0</v>
      </c>
      <c r="AW52" s="5">
        <f t="shared" si="2"/>
        <v>0</v>
      </c>
      <c r="AX52" s="5">
        <f t="shared" si="2"/>
        <v>0</v>
      </c>
      <c r="AY52" s="5">
        <f t="shared" si="2"/>
        <v>0</v>
      </c>
      <c r="AZ52" s="5">
        <f t="shared" si="2"/>
        <v>0</v>
      </c>
      <c r="BA52" s="5">
        <f t="shared" si="2"/>
        <v>0</v>
      </c>
      <c r="BB52" s="5">
        <f t="shared" si="2"/>
        <v>0</v>
      </c>
      <c r="BC52" s="5">
        <f t="shared" si="2"/>
        <v>0</v>
      </c>
      <c r="BD52" s="5">
        <f t="shared" si="2"/>
        <v>0</v>
      </c>
      <c r="BE52" s="5">
        <f t="shared" si="2"/>
        <v>0</v>
      </c>
      <c r="BF52" s="5">
        <f t="shared" si="2"/>
        <v>0</v>
      </c>
      <c r="BG52" s="5">
        <f t="shared" si="2"/>
        <v>0</v>
      </c>
    </row>
    <row r="53" spans="1:59" s="17" customFormat="1" ht="15.75" hidden="1" customHeight="1">
      <c r="A53" s="85"/>
      <c r="B53" s="87"/>
      <c r="C53" s="89"/>
      <c r="D53" s="91"/>
      <c r="E53" s="89"/>
      <c r="F53" s="89"/>
      <c r="G53" s="93"/>
      <c r="H53" s="90"/>
      <c r="I53" s="90"/>
      <c r="J53" s="90"/>
      <c r="K53" s="20"/>
      <c r="L53" s="20"/>
      <c r="M53" s="20"/>
      <c r="N53" s="97"/>
      <c r="O53" s="21"/>
      <c r="P53" s="27"/>
      <c r="Q53" s="99"/>
      <c r="R53" s="174"/>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5.75" hidden="1" customHeight="1">
      <c r="A54" s="86"/>
      <c r="B54" s="88"/>
      <c r="C54" s="90"/>
      <c r="D54" s="92"/>
      <c r="E54" s="90"/>
      <c r="F54" s="90"/>
      <c r="G54" s="94"/>
      <c r="H54" s="95"/>
      <c r="I54" s="95"/>
      <c r="J54" s="95"/>
      <c r="K54" s="22"/>
      <c r="L54" s="18"/>
      <c r="M54" s="18"/>
      <c r="N54" s="98"/>
      <c r="O54" s="19"/>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5.75" hidden="1" customHeight="1">
      <c r="A55" s="101"/>
      <c r="B55" s="114"/>
      <c r="C55" s="116"/>
      <c r="D55" s="118"/>
      <c r="E55" s="118"/>
      <c r="F55" s="116"/>
      <c r="G55" s="120"/>
      <c r="H55" s="90"/>
      <c r="I55" s="90"/>
      <c r="J55" s="90"/>
      <c r="K55" s="20"/>
      <c r="L55" s="20"/>
      <c r="M55" s="20"/>
      <c r="N55" s="97" t="e">
        <f>O56/L56</f>
        <v>#DIV/0!</v>
      </c>
      <c r="O55" s="21">
        <f t="shared" ref="O55:O62" si="3">L55-M55</f>
        <v>0</v>
      </c>
      <c r="P55" s="27"/>
      <c r="Q55" s="99">
        <f>+L56-P56</f>
        <v>0</v>
      </c>
      <c r="R55" s="174"/>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102"/>
      <c r="B56" s="115"/>
      <c r="C56" s="117"/>
      <c r="D56" s="119"/>
      <c r="E56" s="119"/>
      <c r="F56" s="117"/>
      <c r="G56" s="121"/>
      <c r="H56" s="95"/>
      <c r="I56" s="95"/>
      <c r="J56" s="95"/>
      <c r="K56" s="22"/>
      <c r="L56" s="18"/>
      <c r="M56" s="18"/>
      <c r="N56" s="98"/>
      <c r="O56" s="19">
        <f t="shared" si="3"/>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si="3"/>
        <v>0</v>
      </c>
      <c r="P57" s="27"/>
      <c r="Q57" s="99">
        <f>+L58-P58</f>
        <v>0</v>
      </c>
      <c r="R57" s="174"/>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90"/>
      <c r="I59" s="90"/>
      <c r="J59" s="90"/>
      <c r="K59" s="20"/>
      <c r="L59" s="20"/>
      <c r="M59" s="20"/>
      <c r="N59" s="97" t="e">
        <f>O60/L60</f>
        <v>#DIV/0!</v>
      </c>
      <c r="O59" s="21">
        <f t="shared" si="3"/>
        <v>0</v>
      </c>
      <c r="P59" s="27"/>
      <c r="Q59" s="99">
        <f>+L60-P60</f>
        <v>0</v>
      </c>
      <c r="R59" s="174"/>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8"/>
      <c r="F61" s="116"/>
      <c r="G61" s="120"/>
      <c r="H61" s="109"/>
      <c r="I61" s="90"/>
      <c r="J61" s="90"/>
      <c r="K61" s="20"/>
      <c r="L61" s="20"/>
      <c r="M61" s="20"/>
      <c r="N61" s="97" t="e">
        <f>O62/L62</f>
        <v>#DIV/0!</v>
      </c>
      <c r="O61" s="21">
        <f t="shared" si="3"/>
        <v>0</v>
      </c>
      <c r="P61" s="27"/>
      <c r="Q61" s="99">
        <f>+L62-P62</f>
        <v>0</v>
      </c>
      <c r="R61" s="174"/>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9"/>
      <c r="F62" s="117"/>
      <c r="G62" s="121"/>
      <c r="H62" s="95"/>
      <c r="I62" s="95"/>
      <c r="J62" s="95"/>
      <c r="K62" s="22"/>
      <c r="L62" s="18"/>
      <c r="M62" s="18"/>
      <c r="N62" s="98"/>
      <c r="O62" s="19">
        <f t="shared" si="3"/>
        <v>0</v>
      </c>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s="17" customFormat="1" ht="15.75" hidden="1" customHeight="1">
      <c r="A63" s="101"/>
      <c r="B63" s="114"/>
      <c r="C63" s="116"/>
      <c r="D63" s="118"/>
      <c r="E63" s="116"/>
      <c r="F63" s="116"/>
      <c r="G63" s="120"/>
      <c r="H63" s="90"/>
      <c r="I63" s="90"/>
      <c r="J63" s="90"/>
      <c r="K63" s="20"/>
      <c r="L63" s="20"/>
      <c r="M63" s="20"/>
      <c r="N63" s="97" t="e">
        <f>O64/L64</f>
        <v>#DIV/0!</v>
      </c>
      <c r="O63" s="21"/>
      <c r="P63" s="27"/>
      <c r="Q63" s="99"/>
      <c r="R63" s="174"/>
      <c r="S63" s="96"/>
      <c r="T63" s="96"/>
      <c r="U63" s="96"/>
      <c r="V63" s="96"/>
      <c r="W63" s="96"/>
      <c r="X63" s="96"/>
      <c r="Y63" s="96"/>
      <c r="Z63" s="96"/>
      <c r="AA63" s="96"/>
      <c r="AB63" s="96"/>
      <c r="AC63" s="96"/>
      <c r="AD63" s="96"/>
      <c r="AE63" s="96"/>
      <c r="AF63" s="96"/>
      <c r="AG63" s="96"/>
      <c r="AH63" s="96"/>
      <c r="AI63" s="96"/>
      <c r="AJ63" s="96"/>
      <c r="AK63" s="96"/>
      <c r="AL63" s="96"/>
      <c r="AM63" s="103"/>
      <c r="AN63" s="103"/>
      <c r="AO63" s="103"/>
      <c r="AP63" s="103"/>
      <c r="AQ63" s="103"/>
      <c r="AR63" s="103"/>
      <c r="AS63" s="103"/>
      <c r="AT63" s="103"/>
      <c r="AU63" s="103"/>
      <c r="AV63" s="103"/>
      <c r="AW63" s="103"/>
      <c r="AX63" s="103"/>
      <c r="AY63" s="106"/>
      <c r="AZ63" s="106"/>
      <c r="BA63" s="106"/>
      <c r="BB63" s="106"/>
      <c r="BC63" s="106"/>
      <c r="BD63" s="106"/>
      <c r="BE63" s="103"/>
      <c r="BF63" s="104"/>
      <c r="BG63" s="104"/>
    </row>
    <row r="64" spans="1:59" s="17" customFormat="1" ht="15.75" hidden="1" customHeight="1">
      <c r="A64" s="102"/>
      <c r="B64" s="115"/>
      <c r="C64" s="117"/>
      <c r="D64" s="119"/>
      <c r="E64" s="117"/>
      <c r="F64" s="117"/>
      <c r="G64" s="121"/>
      <c r="H64" s="95"/>
      <c r="I64" s="95"/>
      <c r="J64" s="95"/>
      <c r="K64" s="22"/>
      <c r="L64" s="18"/>
      <c r="M64" s="18"/>
      <c r="N64" s="98"/>
      <c r="O64" s="19"/>
      <c r="P64" s="22"/>
      <c r="Q64" s="100"/>
      <c r="R64" s="102"/>
      <c r="S64" s="96"/>
      <c r="T64" s="96"/>
      <c r="U64" s="96"/>
      <c r="V64" s="96"/>
      <c r="W64" s="96"/>
      <c r="X64" s="96"/>
      <c r="Y64" s="96"/>
      <c r="Z64" s="96"/>
      <c r="AA64" s="96"/>
      <c r="AB64" s="96"/>
      <c r="AC64" s="96"/>
      <c r="AD64" s="96"/>
      <c r="AE64" s="96"/>
      <c r="AF64" s="96"/>
      <c r="AG64" s="96"/>
      <c r="AH64" s="96"/>
      <c r="AI64" s="96"/>
      <c r="AJ64" s="96"/>
      <c r="AK64" s="96"/>
      <c r="AL64" s="96"/>
      <c r="AM64" s="103"/>
      <c r="AN64" s="103"/>
      <c r="AO64" s="103"/>
      <c r="AP64" s="103"/>
      <c r="AQ64" s="103"/>
      <c r="AR64" s="103"/>
      <c r="AS64" s="103"/>
      <c r="AT64" s="103"/>
      <c r="AU64" s="103"/>
      <c r="AV64" s="103"/>
      <c r="AW64" s="103"/>
      <c r="AX64" s="103"/>
      <c r="AY64" s="107"/>
      <c r="AZ64" s="107"/>
      <c r="BA64" s="107"/>
      <c r="BB64" s="107"/>
      <c r="BC64" s="107"/>
      <c r="BD64" s="107"/>
      <c r="BE64" s="103"/>
      <c r="BF64" s="105"/>
      <c r="BG64" s="105"/>
    </row>
    <row r="65" spans="1:59" ht="24.75" hidden="1" customHeight="1">
      <c r="A65" s="111" t="s">
        <v>74</v>
      </c>
      <c r="B65" s="112"/>
      <c r="C65" s="112"/>
      <c r="D65" s="112"/>
      <c r="E65" s="112"/>
      <c r="F65" s="112"/>
      <c r="G65" s="112"/>
      <c r="H65" s="112"/>
      <c r="I65" s="113"/>
      <c r="J65" s="5">
        <f>+SUMPRODUCT(((MOD(ROW(J53:J64),2)=1)*(J53:J64)))</f>
        <v>0</v>
      </c>
      <c r="K65" s="5">
        <f>+SUMPRODUCT(((MOD(ROW(K53:K64),2)=1)*(K53:K64)))</f>
        <v>0</v>
      </c>
      <c r="L65" s="5">
        <f>+SUMPRODUCT(((MOD(ROW(L53:L64),2)=1)*(L53:L64)))</f>
        <v>0</v>
      </c>
      <c r="M65" s="5">
        <f>+SUMPRODUCT(((MOD(ROW(M53:M64),2)=1)*(M53:M64)))</f>
        <v>0</v>
      </c>
      <c r="N65" s="23" t="e">
        <f>O65/L65</f>
        <v>#DIV/0!</v>
      </c>
      <c r="O65" s="5">
        <f>+SUMPRODUCT(((MOD(ROW(O53:O64),2)=1)*(O53:O64)))</f>
        <v>0</v>
      </c>
      <c r="P65" s="5">
        <f>+SUMPRODUCT(((MOD(ROW(P53:P64),2)=1)*(P53:P64)))</f>
        <v>0</v>
      </c>
      <c r="Q65" s="29">
        <f>SUM(Q53:Q64)</f>
        <v>0</v>
      </c>
      <c r="R65" s="69"/>
      <c r="S65" s="68">
        <f t="shared" ref="S65:BG65" si="4">SUM(S53:S64)</f>
        <v>0</v>
      </c>
      <c r="T65" s="68">
        <f t="shared" si="4"/>
        <v>0</v>
      </c>
      <c r="U65" s="68">
        <f t="shared" si="4"/>
        <v>0</v>
      </c>
      <c r="V65" s="68">
        <f t="shared" si="4"/>
        <v>0</v>
      </c>
      <c r="W65" s="68">
        <f t="shared" si="4"/>
        <v>0</v>
      </c>
      <c r="X65" s="68">
        <f t="shared" si="4"/>
        <v>0</v>
      </c>
      <c r="Y65" s="5">
        <f t="shared" si="4"/>
        <v>0</v>
      </c>
      <c r="Z65" s="5">
        <f t="shared" si="4"/>
        <v>0</v>
      </c>
      <c r="AA65" s="5">
        <f t="shared" si="4"/>
        <v>0</v>
      </c>
      <c r="AB65" s="5">
        <f t="shared" si="4"/>
        <v>0</v>
      </c>
      <c r="AC65" s="5">
        <f t="shared" si="4"/>
        <v>0</v>
      </c>
      <c r="AD65" s="5">
        <f t="shared" si="4"/>
        <v>0</v>
      </c>
      <c r="AE65" s="5">
        <f t="shared" si="4"/>
        <v>0</v>
      </c>
      <c r="AF65" s="5">
        <f t="shared" si="4"/>
        <v>0</v>
      </c>
      <c r="AG65" s="5">
        <f t="shared" si="4"/>
        <v>0</v>
      </c>
      <c r="AH65" s="5">
        <f t="shared" si="4"/>
        <v>0</v>
      </c>
      <c r="AI65" s="5">
        <f t="shared" si="4"/>
        <v>0</v>
      </c>
      <c r="AJ65" s="5">
        <f t="shared" si="4"/>
        <v>0</v>
      </c>
      <c r="AK65" s="5">
        <f t="shared" si="4"/>
        <v>0</v>
      </c>
      <c r="AL65" s="5">
        <f t="shared" si="4"/>
        <v>0</v>
      </c>
      <c r="AM65" s="5">
        <f t="shared" si="4"/>
        <v>0</v>
      </c>
      <c r="AN65" s="5">
        <f t="shared" si="4"/>
        <v>0</v>
      </c>
      <c r="AO65" s="5">
        <f t="shared" si="4"/>
        <v>0</v>
      </c>
      <c r="AP65" s="5">
        <f t="shared" si="4"/>
        <v>0</v>
      </c>
      <c r="AQ65" s="5">
        <f t="shared" si="4"/>
        <v>0</v>
      </c>
      <c r="AR65" s="5">
        <f t="shared" si="4"/>
        <v>0</v>
      </c>
      <c r="AS65" s="5">
        <f t="shared" si="4"/>
        <v>0</v>
      </c>
      <c r="AT65" s="5">
        <f t="shared" si="4"/>
        <v>0</v>
      </c>
      <c r="AU65" s="5">
        <f t="shared" si="4"/>
        <v>0</v>
      </c>
      <c r="AV65" s="5">
        <f t="shared" si="4"/>
        <v>0</v>
      </c>
      <c r="AW65" s="5">
        <f t="shared" si="4"/>
        <v>0</v>
      </c>
      <c r="AX65" s="5">
        <f t="shared" si="4"/>
        <v>0</v>
      </c>
      <c r="AY65" s="5">
        <f t="shared" si="4"/>
        <v>0</v>
      </c>
      <c r="AZ65" s="5">
        <f t="shared" si="4"/>
        <v>0</v>
      </c>
      <c r="BA65" s="5">
        <f t="shared" si="4"/>
        <v>0</v>
      </c>
      <c r="BB65" s="5">
        <f t="shared" si="4"/>
        <v>0</v>
      </c>
      <c r="BC65" s="5">
        <f t="shared" si="4"/>
        <v>0</v>
      </c>
      <c r="BD65" s="5">
        <f t="shared" si="4"/>
        <v>0</v>
      </c>
      <c r="BE65" s="5">
        <f t="shared" si="4"/>
        <v>0</v>
      </c>
      <c r="BF65" s="5">
        <f t="shared" si="4"/>
        <v>0</v>
      </c>
      <c r="BG65" s="5">
        <f t="shared" si="4"/>
        <v>0</v>
      </c>
    </row>
    <row r="66" spans="1:59" ht="24.75" customHeight="1">
      <c r="A66" s="122" t="s">
        <v>5</v>
      </c>
      <c r="B66" s="122"/>
      <c r="C66" s="122"/>
      <c r="D66" s="122"/>
      <c r="E66" s="122"/>
      <c r="F66" s="122"/>
      <c r="G66" s="122"/>
      <c r="H66" s="122"/>
      <c r="I66" s="122"/>
      <c r="J66" s="30">
        <f>J45+J65+J52</f>
        <v>26311</v>
      </c>
      <c r="K66" s="58">
        <f>K45+K52+K65</f>
        <v>1067</v>
      </c>
      <c r="L66" s="58">
        <f>L45+L52+L65</f>
        <v>1023</v>
      </c>
      <c r="M66" s="58">
        <f>M45+M52+M65</f>
        <v>337</v>
      </c>
      <c r="N66" s="32">
        <f>O66/L66</f>
        <v>0.67057673509286408</v>
      </c>
      <c r="O66" s="58">
        <f>O45+O52+O65</f>
        <v>686</v>
      </c>
      <c r="P66" s="58">
        <f>P45+P52+P65</f>
        <v>1195</v>
      </c>
      <c r="Q66" s="58">
        <f>Q45+Q52+Q65</f>
        <v>1397</v>
      </c>
      <c r="R66" s="58"/>
      <c r="S66" s="58">
        <f t="shared" ref="S66:BG66" si="5">S45+S52+S65</f>
        <v>79</v>
      </c>
      <c r="T66" s="58">
        <f t="shared" si="5"/>
        <v>94</v>
      </c>
      <c r="U66" s="58">
        <f t="shared" si="5"/>
        <v>22</v>
      </c>
      <c r="V66" s="58">
        <f t="shared" si="5"/>
        <v>0</v>
      </c>
      <c r="W66" s="58">
        <f t="shared" si="5"/>
        <v>0</v>
      </c>
      <c r="X66" s="58">
        <f t="shared" si="5"/>
        <v>13</v>
      </c>
      <c r="Y66" s="58">
        <f t="shared" si="5"/>
        <v>0</v>
      </c>
      <c r="Z66" s="58">
        <f t="shared" si="5"/>
        <v>0</v>
      </c>
      <c r="AA66" s="58">
        <f t="shared" si="5"/>
        <v>0</v>
      </c>
      <c r="AB66" s="58">
        <f t="shared" si="5"/>
        <v>0</v>
      </c>
      <c r="AC66" s="58">
        <f t="shared" si="5"/>
        <v>102</v>
      </c>
      <c r="AD66" s="58">
        <f t="shared" si="5"/>
        <v>10</v>
      </c>
      <c r="AE66" s="58">
        <f t="shared" si="5"/>
        <v>29</v>
      </c>
      <c r="AF66" s="58">
        <f t="shared" si="5"/>
        <v>72</v>
      </c>
      <c r="AG66" s="58">
        <f t="shared" si="5"/>
        <v>67</v>
      </c>
      <c r="AH66" s="58">
        <f t="shared" si="5"/>
        <v>88</v>
      </c>
      <c r="AI66" s="58">
        <f t="shared" si="5"/>
        <v>0</v>
      </c>
      <c r="AJ66" s="58">
        <f t="shared" si="5"/>
        <v>4</v>
      </c>
      <c r="AK66" s="58">
        <f t="shared" si="5"/>
        <v>7</v>
      </c>
      <c r="AL66" s="58">
        <f t="shared" si="5"/>
        <v>99</v>
      </c>
      <c r="AM66" s="58">
        <f t="shared" si="5"/>
        <v>0</v>
      </c>
      <c r="AN66" s="58">
        <f t="shared" si="5"/>
        <v>0</v>
      </c>
      <c r="AO66" s="58">
        <f t="shared" si="5"/>
        <v>0</v>
      </c>
      <c r="AP66" s="58">
        <f t="shared" si="5"/>
        <v>0</v>
      </c>
      <c r="AQ66" s="58">
        <f t="shared" si="5"/>
        <v>0</v>
      </c>
      <c r="AR66" s="58">
        <f t="shared" si="5"/>
        <v>0</v>
      </c>
      <c r="AS66" s="58">
        <f t="shared" si="5"/>
        <v>0</v>
      </c>
      <c r="AT66" s="58">
        <f t="shared" si="5"/>
        <v>0</v>
      </c>
      <c r="AU66" s="58">
        <f t="shared" si="5"/>
        <v>0</v>
      </c>
      <c r="AV66" s="58">
        <f t="shared" si="5"/>
        <v>0</v>
      </c>
      <c r="AW66" s="58">
        <f t="shared" si="5"/>
        <v>0</v>
      </c>
      <c r="AX66" s="58">
        <f t="shared" si="5"/>
        <v>0</v>
      </c>
      <c r="AY66" s="58">
        <f t="shared" si="5"/>
        <v>0</v>
      </c>
      <c r="AZ66" s="58">
        <f t="shared" si="5"/>
        <v>0</v>
      </c>
      <c r="BA66" s="58">
        <f t="shared" si="5"/>
        <v>0</v>
      </c>
      <c r="BB66" s="58">
        <f t="shared" si="5"/>
        <v>0</v>
      </c>
      <c r="BC66" s="58">
        <f t="shared" si="5"/>
        <v>0</v>
      </c>
      <c r="BD66" s="58">
        <f t="shared" si="5"/>
        <v>0</v>
      </c>
      <c r="BE66" s="58">
        <f t="shared" si="5"/>
        <v>0</v>
      </c>
      <c r="BF66" s="58">
        <f t="shared" si="5"/>
        <v>0</v>
      </c>
      <c r="BG66" s="58">
        <f t="shared" si="5"/>
        <v>0</v>
      </c>
    </row>
    <row r="67" spans="1:59" ht="31.8">
      <c r="A67" s="81" t="s">
        <v>36</v>
      </c>
      <c r="B67" s="81"/>
      <c r="C67" s="81"/>
      <c r="D67" s="81"/>
      <c r="E67" s="81"/>
      <c r="F67" s="81"/>
      <c r="G67" s="81"/>
      <c r="H67" s="81"/>
      <c r="I67" s="81"/>
      <c r="J67" s="81"/>
      <c r="K67" s="81"/>
      <c r="L67" s="81"/>
      <c r="M67" s="81"/>
      <c r="N67" s="81"/>
      <c r="O67" s="81"/>
      <c r="P67" s="24"/>
      <c r="Q67" s="24"/>
      <c r="R67" s="67"/>
      <c r="S67" s="67"/>
      <c r="T67" s="67"/>
      <c r="U67" s="176"/>
      <c r="V67" s="66"/>
      <c r="W67" s="65"/>
      <c r="AM67" s="34"/>
      <c r="AN67" s="34"/>
      <c r="AO67" s="34"/>
      <c r="AP67" s="34"/>
      <c r="AQ67" s="34"/>
      <c r="AR67" s="34"/>
      <c r="AS67" s="34"/>
      <c r="AT67" s="34"/>
      <c r="AU67" s="34"/>
      <c r="AV67" s="34"/>
      <c r="AW67" s="34"/>
      <c r="AX67" s="34"/>
      <c r="AY67" s="34"/>
      <c r="AZ67" s="34"/>
      <c r="BA67" s="34"/>
      <c r="BB67" s="34"/>
      <c r="BC67" s="34"/>
      <c r="BD67" s="34"/>
      <c r="BE67" s="34"/>
      <c r="BF67" s="34"/>
      <c r="BG67" s="34"/>
    </row>
    <row r="68" spans="1:59" ht="33.75" customHeight="1">
      <c r="A68" s="82" t="s">
        <v>13</v>
      </c>
      <c r="B68" s="82"/>
      <c r="C68" s="82"/>
      <c r="D68" s="82"/>
      <c r="E68" s="82"/>
      <c r="F68" s="82"/>
      <c r="G68" s="82"/>
      <c r="H68" s="82"/>
      <c r="I68" s="82"/>
      <c r="J68" s="82"/>
      <c r="K68" s="82"/>
      <c r="L68" s="82"/>
      <c r="M68" s="82"/>
      <c r="N68" s="82"/>
      <c r="O68" s="82"/>
      <c r="R68" s="64"/>
      <c r="S68" s="64"/>
      <c r="T68" s="64"/>
      <c r="U68" s="176"/>
      <c r="V68" s="63"/>
      <c r="W68" s="62"/>
      <c r="AM68" s="34"/>
      <c r="AN68" s="34"/>
      <c r="AO68" s="34"/>
      <c r="AP68" s="34"/>
      <c r="AQ68" s="34"/>
      <c r="AR68" s="34"/>
      <c r="AS68" s="34"/>
      <c r="AT68" s="34"/>
      <c r="AU68" s="34"/>
      <c r="AV68" s="34"/>
      <c r="AW68" s="34"/>
      <c r="AX68" s="34"/>
      <c r="AY68" s="34"/>
      <c r="AZ68" s="34"/>
      <c r="BA68" s="34"/>
      <c r="BB68" s="34"/>
      <c r="BC68" s="34"/>
      <c r="BD68" s="34"/>
      <c r="BE68" s="34"/>
      <c r="BF68" s="34"/>
      <c r="BG68" s="34"/>
    </row>
    <row r="69" spans="1:59" ht="62.4">
      <c r="A69" s="9" t="s">
        <v>0</v>
      </c>
      <c r="B69" s="10" t="s">
        <v>34</v>
      </c>
      <c r="C69" s="11" t="s">
        <v>7</v>
      </c>
      <c r="D69" s="12" t="s">
        <v>1</v>
      </c>
      <c r="E69" s="13" t="s">
        <v>4</v>
      </c>
      <c r="F69" s="13" t="s">
        <v>2</v>
      </c>
      <c r="G69" s="13" t="s">
        <v>3</v>
      </c>
      <c r="H69" s="11" t="s">
        <v>6</v>
      </c>
      <c r="I69" s="14" t="s">
        <v>8</v>
      </c>
      <c r="J69" s="14" t="s">
        <v>17</v>
      </c>
      <c r="K69" s="12" t="s">
        <v>9</v>
      </c>
      <c r="L69" s="15" t="s">
        <v>10</v>
      </c>
      <c r="M69" s="15" t="s">
        <v>11</v>
      </c>
      <c r="N69" s="15" t="s">
        <v>12</v>
      </c>
      <c r="O69" s="15" t="s">
        <v>14</v>
      </c>
      <c r="P69" s="26" t="s">
        <v>16</v>
      </c>
      <c r="Q69" s="15" t="s">
        <v>42</v>
      </c>
      <c r="R69" s="15" t="s">
        <v>44</v>
      </c>
      <c r="S69" s="83">
        <v>101</v>
      </c>
      <c r="T69" s="83">
        <v>102</v>
      </c>
      <c r="U69" s="80">
        <v>106</v>
      </c>
      <c r="V69" s="80">
        <v>108</v>
      </c>
      <c r="W69" s="80">
        <v>109</v>
      </c>
      <c r="X69" s="80">
        <v>113</v>
      </c>
      <c r="Y69" s="80">
        <v>114</v>
      </c>
      <c r="Z69" s="80">
        <v>115</v>
      </c>
      <c r="AA69" s="80">
        <v>116</v>
      </c>
      <c r="AB69" s="80">
        <v>199</v>
      </c>
      <c r="AC69" s="80">
        <v>201</v>
      </c>
      <c r="AD69" s="80">
        <v>202</v>
      </c>
      <c r="AE69" s="80">
        <v>203</v>
      </c>
      <c r="AF69" s="80">
        <v>205</v>
      </c>
      <c r="AG69" s="80">
        <v>206</v>
      </c>
      <c r="AH69" s="79">
        <v>209</v>
      </c>
      <c r="AI69" s="79">
        <v>212</v>
      </c>
      <c r="AJ69" s="79">
        <v>216</v>
      </c>
      <c r="AK69" s="79">
        <v>217</v>
      </c>
      <c r="AL69" s="79">
        <v>299</v>
      </c>
      <c r="AM69" s="79">
        <v>301</v>
      </c>
      <c r="AN69" s="79">
        <v>302</v>
      </c>
      <c r="AO69" s="79">
        <v>399</v>
      </c>
      <c r="AP69" s="79">
        <v>401</v>
      </c>
      <c r="AQ69" s="79">
        <v>402</v>
      </c>
      <c r="AR69" s="79">
        <v>411</v>
      </c>
      <c r="AS69" s="79">
        <v>412</v>
      </c>
      <c r="AT69" s="79">
        <v>413</v>
      </c>
      <c r="AU69" s="79">
        <v>499</v>
      </c>
      <c r="AV69" s="79">
        <v>501</v>
      </c>
      <c r="AW69" s="79">
        <v>502</v>
      </c>
      <c r="AX69" s="79">
        <v>599</v>
      </c>
      <c r="AY69" s="79">
        <v>604</v>
      </c>
      <c r="AZ69" s="79">
        <v>605</v>
      </c>
      <c r="BA69" s="79">
        <v>699</v>
      </c>
      <c r="BB69" s="79">
        <v>701</v>
      </c>
      <c r="BC69" s="79">
        <v>702</v>
      </c>
      <c r="BD69" s="79">
        <v>703</v>
      </c>
      <c r="BE69" s="79">
        <v>704</v>
      </c>
      <c r="BF69" s="79">
        <v>799</v>
      </c>
      <c r="BG69" s="84">
        <v>999</v>
      </c>
    </row>
    <row r="70" spans="1:59" ht="62.25" customHeight="1">
      <c r="A70" s="10" t="s">
        <v>18</v>
      </c>
      <c r="B70" s="10" t="s">
        <v>19</v>
      </c>
      <c r="C70" s="13" t="s">
        <v>20</v>
      </c>
      <c r="D70" s="12" t="s">
        <v>21</v>
      </c>
      <c r="E70" s="13" t="s">
        <v>22</v>
      </c>
      <c r="F70" s="13" t="s">
        <v>23</v>
      </c>
      <c r="G70" s="13" t="s">
        <v>25</v>
      </c>
      <c r="H70" s="13" t="s">
        <v>24</v>
      </c>
      <c r="I70" s="14" t="s">
        <v>26</v>
      </c>
      <c r="J70" s="14" t="s">
        <v>27</v>
      </c>
      <c r="K70" s="15" t="s">
        <v>28</v>
      </c>
      <c r="L70" s="15" t="s">
        <v>29</v>
      </c>
      <c r="M70" s="15" t="s">
        <v>30</v>
      </c>
      <c r="N70" s="15" t="s">
        <v>32</v>
      </c>
      <c r="O70" s="15" t="s">
        <v>31</v>
      </c>
      <c r="P70" s="26" t="s">
        <v>33</v>
      </c>
      <c r="Q70" s="15" t="s">
        <v>43</v>
      </c>
      <c r="R70" s="15" t="s">
        <v>45</v>
      </c>
      <c r="S70" s="83"/>
      <c r="T70" s="83"/>
      <c r="U70" s="80"/>
      <c r="V70" s="80"/>
      <c r="W70" s="80"/>
      <c r="X70" s="80"/>
      <c r="Y70" s="80"/>
      <c r="Z70" s="80"/>
      <c r="AA70" s="80"/>
      <c r="AB70" s="80"/>
      <c r="AC70" s="80"/>
      <c r="AD70" s="80"/>
      <c r="AE70" s="80"/>
      <c r="AF70" s="80"/>
      <c r="AG70" s="80"/>
      <c r="AH70" s="79"/>
      <c r="AI70" s="79"/>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84"/>
    </row>
    <row r="71" spans="1:59" s="17" customFormat="1" ht="15.75" hidden="1" customHeight="1">
      <c r="A71" s="108"/>
      <c r="B71" s="87"/>
      <c r="C71" s="89"/>
      <c r="D71" s="91"/>
      <c r="E71" s="89"/>
      <c r="F71" s="89"/>
      <c r="G71" s="93"/>
      <c r="H71" s="89"/>
      <c r="I71" s="89"/>
      <c r="J71" s="89"/>
      <c r="K71" s="20"/>
      <c r="L71" s="20"/>
      <c r="M71" s="20"/>
      <c r="N71" s="146" t="e">
        <f>O72/L72</f>
        <v>#DIV/0!</v>
      </c>
      <c r="O71" s="21">
        <f t="shared" ref="O71:O76" si="6">L71-M71</f>
        <v>0</v>
      </c>
      <c r="P71" s="27"/>
      <c r="Q71" s="99">
        <f>+L72-P72</f>
        <v>0</v>
      </c>
      <c r="R71" s="108"/>
      <c r="S71" s="149"/>
      <c r="T71" s="149"/>
      <c r="U71" s="149"/>
      <c r="V71" s="149"/>
      <c r="W71" s="149"/>
      <c r="X71" s="149"/>
      <c r="Y71" s="149"/>
      <c r="Z71" s="149"/>
      <c r="AA71" s="149"/>
      <c r="AB71" s="149"/>
      <c r="AC71" s="149"/>
      <c r="AD71" s="149"/>
      <c r="AE71" s="149"/>
      <c r="AF71" s="149"/>
      <c r="AG71" s="149"/>
      <c r="AH71" s="149"/>
      <c r="AI71" s="149"/>
      <c r="AJ71" s="149"/>
      <c r="AK71" s="149"/>
      <c r="AL71" s="149"/>
      <c r="AM71" s="163"/>
      <c r="AN71" s="163"/>
      <c r="AO71" s="163"/>
      <c r="AP71" s="163"/>
      <c r="AQ71" s="163"/>
      <c r="AR71" s="163"/>
      <c r="AS71" s="163"/>
      <c r="AT71" s="163"/>
      <c r="AU71" s="163"/>
      <c r="AV71" s="163"/>
      <c r="AW71" s="163"/>
      <c r="AX71" s="163"/>
      <c r="AY71" s="167"/>
      <c r="AZ71" s="167"/>
      <c r="BA71" s="167"/>
      <c r="BB71" s="167"/>
      <c r="BC71" s="167"/>
      <c r="BD71" s="161"/>
      <c r="BE71" s="163"/>
      <c r="BF71" s="165"/>
      <c r="BG71" s="165"/>
    </row>
    <row r="72" spans="1:59" s="17" customFormat="1" ht="15.75" hidden="1" customHeight="1">
      <c r="A72" s="85"/>
      <c r="B72" s="88"/>
      <c r="C72" s="90"/>
      <c r="D72" s="92"/>
      <c r="E72" s="90"/>
      <c r="F72" s="90"/>
      <c r="G72" s="94"/>
      <c r="H72" s="90"/>
      <c r="I72" s="90"/>
      <c r="J72" s="90"/>
      <c r="K72" s="22"/>
      <c r="L72" s="18"/>
      <c r="M72" s="18"/>
      <c r="N72" s="147"/>
      <c r="O72" s="19">
        <f t="shared" si="6"/>
        <v>0</v>
      </c>
      <c r="P72" s="22"/>
      <c r="Q72" s="100"/>
      <c r="R72" s="85"/>
      <c r="S72" s="150"/>
      <c r="T72" s="150"/>
      <c r="U72" s="150"/>
      <c r="V72" s="150"/>
      <c r="W72" s="150"/>
      <c r="X72" s="150"/>
      <c r="Y72" s="150"/>
      <c r="Z72" s="150"/>
      <c r="AA72" s="150"/>
      <c r="AB72" s="150"/>
      <c r="AC72" s="150"/>
      <c r="AD72" s="150"/>
      <c r="AE72" s="150"/>
      <c r="AF72" s="150"/>
      <c r="AG72" s="150"/>
      <c r="AH72" s="150"/>
      <c r="AI72" s="150"/>
      <c r="AJ72" s="150"/>
      <c r="AK72" s="150"/>
      <c r="AL72" s="150"/>
      <c r="AM72" s="164"/>
      <c r="AN72" s="164"/>
      <c r="AO72" s="164"/>
      <c r="AP72" s="164"/>
      <c r="AQ72" s="164"/>
      <c r="AR72" s="164"/>
      <c r="AS72" s="164"/>
      <c r="AT72" s="164"/>
      <c r="AU72" s="164"/>
      <c r="AV72" s="164"/>
      <c r="AW72" s="164"/>
      <c r="AX72" s="164"/>
      <c r="AY72" s="168"/>
      <c r="AZ72" s="168"/>
      <c r="BA72" s="168"/>
      <c r="BB72" s="168"/>
      <c r="BC72" s="168"/>
      <c r="BD72" s="162"/>
      <c r="BE72" s="164"/>
      <c r="BF72" s="166"/>
      <c r="BG72" s="166"/>
    </row>
    <row r="73" spans="1:59" s="17" customFormat="1" ht="18" customHeight="1">
      <c r="A73" s="108">
        <v>45281</v>
      </c>
      <c r="B73" s="138" t="s">
        <v>37</v>
      </c>
      <c r="C73" s="90" t="s">
        <v>56</v>
      </c>
      <c r="D73" s="91" t="s">
        <v>38</v>
      </c>
      <c r="E73" s="89">
        <v>84217</v>
      </c>
      <c r="F73" s="89" t="s">
        <v>49</v>
      </c>
      <c r="G73" s="137" t="s">
        <v>61</v>
      </c>
      <c r="H73" s="95" t="s">
        <v>39</v>
      </c>
      <c r="I73" s="90">
        <v>4497</v>
      </c>
      <c r="J73" s="90">
        <v>4097</v>
      </c>
      <c r="K73" s="20">
        <v>0</v>
      </c>
      <c r="L73" s="20">
        <v>0</v>
      </c>
      <c r="M73" s="20">
        <v>0</v>
      </c>
      <c r="N73" s="97">
        <f>O74/L74</f>
        <v>0.61288747864290949</v>
      </c>
      <c r="O73" s="21">
        <f t="shared" si="6"/>
        <v>0</v>
      </c>
      <c r="P73" s="27">
        <v>0</v>
      </c>
      <c r="Q73" s="99">
        <f>+L74-P74</f>
        <v>26</v>
      </c>
      <c r="R73" s="85"/>
      <c r="S73" s="96"/>
      <c r="T73" s="96"/>
      <c r="U73" s="96"/>
      <c r="V73" s="96"/>
      <c r="W73" s="96"/>
      <c r="X73" s="96"/>
      <c r="Y73" s="96"/>
      <c r="Z73" s="96"/>
      <c r="AA73" s="96"/>
      <c r="AB73" s="96"/>
      <c r="AC73" s="96"/>
      <c r="AD73" s="96"/>
      <c r="AE73" s="96"/>
      <c r="AF73" s="96"/>
      <c r="AG73" s="96"/>
      <c r="AH73" s="96"/>
      <c r="AI73" s="96"/>
      <c r="AJ73" s="96"/>
      <c r="AK73" s="96"/>
      <c r="AL73" s="96"/>
      <c r="AM73" s="103"/>
      <c r="AN73" s="103"/>
      <c r="AO73" s="103"/>
      <c r="AP73" s="103"/>
      <c r="AQ73" s="103"/>
      <c r="AR73" s="103"/>
      <c r="AS73" s="103"/>
      <c r="AT73" s="103"/>
      <c r="AU73" s="103"/>
      <c r="AV73" s="103"/>
      <c r="AW73" s="103"/>
      <c r="AX73" s="103"/>
      <c r="AY73" s="106"/>
      <c r="AZ73" s="106"/>
      <c r="BA73" s="106"/>
      <c r="BB73" s="106"/>
      <c r="BC73" s="106"/>
      <c r="BD73" s="106"/>
      <c r="BE73" s="103"/>
      <c r="BF73" s="104"/>
      <c r="BG73" s="104"/>
    </row>
    <row r="74" spans="1:59" s="17" customFormat="1" ht="17.25" customHeight="1">
      <c r="A74" s="85"/>
      <c r="B74" s="139"/>
      <c r="C74" s="95"/>
      <c r="D74" s="92"/>
      <c r="E74" s="90"/>
      <c r="F74" s="90"/>
      <c r="G74" s="95"/>
      <c r="H74" s="95"/>
      <c r="I74" s="95"/>
      <c r="J74" s="95"/>
      <c r="K74" s="18">
        <f>260+160+50+100+100+240+349+166+150+60+120+30+30+230+80+125+115+200+209+115+50+371+435+245+60+40+7</f>
        <v>4097</v>
      </c>
      <c r="L74" s="18">
        <f>260+160+50+100+140+100+240+150+60+370+60+150+75+245+185+200+450+375+390+290+40+7</f>
        <v>4097</v>
      </c>
      <c r="M74" s="18">
        <f>120+55+27+40+30+60+87+45+34+74+40+100+40+75+74+73+199+146+180+50+30+7</f>
        <v>1586</v>
      </c>
      <c r="N74" s="98"/>
      <c r="O74" s="19">
        <f t="shared" si="6"/>
        <v>2511</v>
      </c>
      <c r="P74" s="49">
        <f>170+70+15+112+30+30+83+50+100+127+218+53+42+60+34+200+66+100+130+190+144+20+151+307+424+312+340+441+22+30</f>
        <v>4071</v>
      </c>
      <c r="Q74" s="100"/>
      <c r="R74" s="86"/>
      <c r="S74" s="96"/>
      <c r="T74" s="96"/>
      <c r="U74" s="96"/>
      <c r="V74" s="96"/>
      <c r="W74" s="96"/>
      <c r="X74" s="96"/>
      <c r="Y74" s="96"/>
      <c r="Z74" s="96"/>
      <c r="AA74" s="96"/>
      <c r="AB74" s="96"/>
      <c r="AC74" s="96"/>
      <c r="AD74" s="96"/>
      <c r="AE74" s="96"/>
      <c r="AF74" s="96"/>
      <c r="AG74" s="96"/>
      <c r="AH74" s="96"/>
      <c r="AI74" s="96"/>
      <c r="AJ74" s="96"/>
      <c r="AK74" s="96"/>
      <c r="AL74" s="96"/>
      <c r="AM74" s="103"/>
      <c r="AN74" s="103"/>
      <c r="AO74" s="103"/>
      <c r="AP74" s="103"/>
      <c r="AQ74" s="103"/>
      <c r="AR74" s="103"/>
      <c r="AS74" s="103"/>
      <c r="AT74" s="103"/>
      <c r="AU74" s="103"/>
      <c r="AV74" s="103"/>
      <c r="AW74" s="103"/>
      <c r="AX74" s="103"/>
      <c r="AY74" s="107"/>
      <c r="AZ74" s="107"/>
      <c r="BA74" s="107"/>
      <c r="BB74" s="107"/>
      <c r="BC74" s="107"/>
      <c r="BD74" s="107"/>
      <c r="BE74" s="103"/>
      <c r="BF74" s="105"/>
      <c r="BG74" s="105"/>
    </row>
    <row r="75" spans="1:59" s="17" customFormat="1" ht="18" customHeight="1">
      <c r="A75" s="108">
        <v>45281</v>
      </c>
      <c r="B75" s="132" t="s">
        <v>37</v>
      </c>
      <c r="C75" s="117" t="s">
        <v>56</v>
      </c>
      <c r="D75" s="118" t="s">
        <v>38</v>
      </c>
      <c r="E75" s="116">
        <v>84217</v>
      </c>
      <c r="F75" s="116" t="s">
        <v>49</v>
      </c>
      <c r="G75" s="141" t="s">
        <v>63</v>
      </c>
      <c r="H75" s="95" t="s">
        <v>39</v>
      </c>
      <c r="I75" s="90">
        <v>4970</v>
      </c>
      <c r="J75" s="90">
        <v>2149</v>
      </c>
      <c r="K75" s="20">
        <v>100</v>
      </c>
      <c r="L75" s="20">
        <v>100</v>
      </c>
      <c r="M75" s="20">
        <v>65</v>
      </c>
      <c r="N75" s="143">
        <f>O76/L76</f>
        <v>0.51777777777777778</v>
      </c>
      <c r="O75" s="21">
        <f t="shared" si="6"/>
        <v>35</v>
      </c>
      <c r="P75" s="60">
        <v>147</v>
      </c>
      <c r="Q75" s="99">
        <f>+L76-P76</f>
        <v>71</v>
      </c>
      <c r="R75" s="101"/>
      <c r="S75" s="96"/>
      <c r="T75" s="96"/>
      <c r="U75" s="96">
        <v>2</v>
      </c>
      <c r="V75" s="96"/>
      <c r="W75" s="96"/>
      <c r="X75" s="96"/>
      <c r="Y75" s="96"/>
      <c r="Z75" s="96">
        <v>3</v>
      </c>
      <c r="AA75" s="96"/>
      <c r="AB75" s="96"/>
      <c r="AC75" s="140">
        <v>17</v>
      </c>
      <c r="AD75" s="96"/>
      <c r="AE75" s="96"/>
      <c r="AF75" s="96">
        <v>4</v>
      </c>
      <c r="AG75" s="96"/>
      <c r="AH75" s="96">
        <v>5</v>
      </c>
      <c r="AI75" s="96"/>
      <c r="AJ75" s="96"/>
      <c r="AK75" s="96"/>
      <c r="AL75" s="96">
        <v>4</v>
      </c>
      <c r="AM75" s="96"/>
      <c r="AN75" s="96"/>
      <c r="AO75" s="96"/>
      <c r="AP75" s="96"/>
      <c r="AQ75" s="96"/>
      <c r="AR75" s="96"/>
      <c r="AS75" s="96"/>
      <c r="AT75" s="96"/>
      <c r="AU75" s="96"/>
      <c r="AV75" s="96"/>
      <c r="AW75" s="96"/>
      <c r="AX75" s="96"/>
      <c r="AY75" s="124"/>
      <c r="AZ75" s="123"/>
      <c r="BA75" s="123"/>
      <c r="BB75" s="123"/>
      <c r="BC75" s="123"/>
      <c r="BD75" s="123"/>
      <c r="BE75" s="123"/>
      <c r="BF75" s="123"/>
      <c r="BG75" s="123"/>
    </row>
    <row r="76" spans="1:59" s="17" customFormat="1" ht="17.25" customHeight="1">
      <c r="A76" s="85"/>
      <c r="B76" s="145"/>
      <c r="C76" s="142"/>
      <c r="D76" s="119"/>
      <c r="E76" s="117"/>
      <c r="F76" s="117"/>
      <c r="G76" s="142"/>
      <c r="H76" s="95"/>
      <c r="I76" s="95"/>
      <c r="J76" s="95"/>
      <c r="K76" s="3">
        <f>300+50+100</f>
        <v>450</v>
      </c>
      <c r="L76" s="3">
        <f>200+150+100</f>
        <v>450</v>
      </c>
      <c r="M76" s="3">
        <f>88+64+65</f>
        <v>217</v>
      </c>
      <c r="N76" s="144"/>
      <c r="O76" s="7">
        <f t="shared" si="6"/>
        <v>233</v>
      </c>
      <c r="P76" s="22">
        <f>88+144+147</f>
        <v>379</v>
      </c>
      <c r="Q76" s="100"/>
      <c r="R76" s="102"/>
      <c r="S76" s="96"/>
      <c r="T76" s="96"/>
      <c r="U76" s="96"/>
      <c r="V76" s="96"/>
      <c r="W76" s="96"/>
      <c r="X76" s="96"/>
      <c r="Y76" s="96"/>
      <c r="Z76" s="96"/>
      <c r="AA76" s="96"/>
      <c r="AB76" s="96"/>
      <c r="AC76" s="140"/>
      <c r="AD76" s="96"/>
      <c r="AE76" s="96"/>
      <c r="AF76" s="96"/>
      <c r="AG76" s="96"/>
      <c r="AH76" s="96"/>
      <c r="AI76" s="96"/>
      <c r="AJ76" s="96"/>
      <c r="AK76" s="96"/>
      <c r="AL76" s="96"/>
      <c r="AM76" s="96"/>
      <c r="AN76" s="96"/>
      <c r="AO76" s="96"/>
      <c r="AP76" s="96"/>
      <c r="AQ76" s="96"/>
      <c r="AR76" s="96"/>
      <c r="AS76" s="96"/>
      <c r="AT76" s="96"/>
      <c r="AU76" s="96"/>
      <c r="AV76" s="96"/>
      <c r="AW76" s="96"/>
      <c r="AX76" s="96"/>
      <c r="AY76" s="124"/>
      <c r="AZ76" s="124"/>
      <c r="BA76" s="124"/>
      <c r="BB76" s="124"/>
      <c r="BC76" s="124"/>
      <c r="BD76" s="124"/>
      <c r="BE76" s="124"/>
      <c r="BF76" s="124"/>
      <c r="BG76" s="124"/>
    </row>
    <row r="77" spans="1:59" s="17" customFormat="1" ht="18" hidden="1" customHeight="1">
      <c r="A77" s="108"/>
      <c r="B77" s="132"/>
      <c r="C77" s="117"/>
      <c r="D77" s="118"/>
      <c r="E77" s="116"/>
      <c r="F77" s="116"/>
      <c r="G77" s="141"/>
      <c r="H77" s="95"/>
      <c r="I77" s="90"/>
      <c r="J77" s="90"/>
      <c r="K77" s="20"/>
      <c r="L77" s="20"/>
      <c r="M77" s="20"/>
      <c r="N77" s="143"/>
      <c r="O77" s="61"/>
      <c r="P77" s="60"/>
      <c r="Q77" s="172"/>
      <c r="R77" s="101"/>
      <c r="S77" s="96"/>
      <c r="T77" s="96"/>
      <c r="U77" s="96"/>
      <c r="V77" s="96"/>
      <c r="W77" s="96"/>
      <c r="X77" s="96"/>
      <c r="Y77" s="96"/>
      <c r="Z77" s="96"/>
      <c r="AA77" s="96"/>
      <c r="AB77" s="96"/>
      <c r="AC77" s="140"/>
      <c r="AD77" s="96"/>
      <c r="AE77" s="96"/>
      <c r="AF77" s="96"/>
      <c r="AG77" s="96"/>
      <c r="AH77" s="96"/>
      <c r="AI77" s="96"/>
      <c r="AJ77" s="96"/>
      <c r="AK77" s="96"/>
      <c r="AL77" s="96"/>
      <c r="AM77" s="96"/>
      <c r="AN77" s="96"/>
      <c r="AO77" s="96"/>
      <c r="AP77" s="96"/>
      <c r="AQ77" s="96"/>
      <c r="AR77" s="96"/>
      <c r="AS77" s="96"/>
      <c r="AT77" s="96"/>
      <c r="AU77" s="96"/>
      <c r="AV77" s="96"/>
      <c r="AW77" s="96"/>
      <c r="AX77" s="96"/>
      <c r="AY77" s="124"/>
      <c r="AZ77" s="123"/>
      <c r="BA77" s="123"/>
      <c r="BB77" s="123"/>
      <c r="BC77" s="123"/>
      <c r="BD77" s="123"/>
      <c r="BE77" s="123"/>
      <c r="BF77" s="123"/>
      <c r="BG77" s="123"/>
    </row>
    <row r="78" spans="1:59" s="17" customFormat="1" ht="17.25" hidden="1" customHeight="1">
      <c r="A78" s="85"/>
      <c r="B78" s="145"/>
      <c r="C78" s="142"/>
      <c r="D78" s="119"/>
      <c r="E78" s="117"/>
      <c r="F78" s="117"/>
      <c r="G78" s="142"/>
      <c r="H78" s="95"/>
      <c r="I78" s="95"/>
      <c r="J78" s="95"/>
      <c r="K78" s="3"/>
      <c r="L78" s="3"/>
      <c r="M78" s="3"/>
      <c r="N78" s="144"/>
      <c r="O78" s="59"/>
      <c r="P78" s="22"/>
      <c r="Q78" s="173"/>
      <c r="R78" s="102"/>
      <c r="S78" s="96"/>
      <c r="T78" s="96"/>
      <c r="U78" s="96"/>
      <c r="V78" s="96"/>
      <c r="W78" s="96"/>
      <c r="X78" s="96"/>
      <c r="Y78" s="96"/>
      <c r="Z78" s="96"/>
      <c r="AA78" s="96"/>
      <c r="AB78" s="96"/>
      <c r="AC78" s="140"/>
      <c r="AD78" s="96"/>
      <c r="AE78" s="96"/>
      <c r="AF78" s="96"/>
      <c r="AG78" s="96"/>
      <c r="AH78" s="96"/>
      <c r="AI78" s="96"/>
      <c r="AJ78" s="96"/>
      <c r="AK78" s="96"/>
      <c r="AL78" s="96"/>
      <c r="AM78" s="96"/>
      <c r="AN78" s="96"/>
      <c r="AO78" s="96"/>
      <c r="AP78" s="96"/>
      <c r="AQ78" s="96"/>
      <c r="AR78" s="96"/>
      <c r="AS78" s="96"/>
      <c r="AT78" s="96"/>
      <c r="AU78" s="96"/>
      <c r="AV78" s="96"/>
      <c r="AW78" s="96"/>
      <c r="AX78" s="96"/>
      <c r="AY78" s="124"/>
      <c r="AZ78" s="124"/>
      <c r="BA78" s="124"/>
      <c r="BB78" s="124"/>
      <c r="BC78" s="124"/>
      <c r="BD78" s="124"/>
      <c r="BE78" s="124"/>
      <c r="BF78" s="124"/>
      <c r="BG78" s="124"/>
    </row>
    <row r="79" spans="1:59" ht="24.75" customHeight="1">
      <c r="A79" s="111" t="s">
        <v>15</v>
      </c>
      <c r="B79" s="112"/>
      <c r="C79" s="112"/>
      <c r="D79" s="112"/>
      <c r="E79" s="112"/>
      <c r="F79" s="112"/>
      <c r="G79" s="112"/>
      <c r="H79" s="112"/>
      <c r="I79" s="113"/>
      <c r="J79" s="5">
        <f>SUM(J71:J78)</f>
        <v>6246</v>
      </c>
      <c r="K79" s="5">
        <f>+SUMPRODUCT(((MOD(ROW(K71:K78),2)=1)*(K71:K78)))</f>
        <v>100</v>
      </c>
      <c r="L79" s="5">
        <f>+SUMPRODUCT(((MOD(ROW(L71:L78),2)=1)*(L71:L78)))</f>
        <v>100</v>
      </c>
      <c r="M79" s="5">
        <f>+SUMPRODUCT(((MOD(ROW(M71:M78),2)=1)*(M71:M78)))</f>
        <v>65</v>
      </c>
      <c r="N79" s="23">
        <f>O79/L79</f>
        <v>0.35</v>
      </c>
      <c r="O79" s="5">
        <f>+SUMPRODUCT(((MOD(ROW(O71:O78),2)=1)*(O71:O78)))</f>
        <v>35</v>
      </c>
      <c r="P79" s="5">
        <f>+SUMPRODUCT(((MOD(ROW(P71:P78),2)=1)*(P71:P78)))</f>
        <v>147</v>
      </c>
      <c r="Q79" s="5">
        <f>+SUMPRODUCT(((MOD(ROW(Q71:Q78),2)=1)*(Q71:Q78)))</f>
        <v>97</v>
      </c>
      <c r="R79" s="5"/>
      <c r="S79" s="5">
        <f t="shared" ref="S79:BG79" si="7">SUM(S71:S78)</f>
        <v>0</v>
      </c>
      <c r="T79" s="5">
        <f t="shared" si="7"/>
        <v>0</v>
      </c>
      <c r="U79" s="5">
        <f t="shared" si="7"/>
        <v>2</v>
      </c>
      <c r="V79" s="5">
        <f t="shared" si="7"/>
        <v>0</v>
      </c>
      <c r="W79" s="5">
        <f t="shared" si="7"/>
        <v>0</v>
      </c>
      <c r="X79" s="5">
        <f t="shared" si="7"/>
        <v>0</v>
      </c>
      <c r="Y79" s="5">
        <f t="shared" si="7"/>
        <v>0</v>
      </c>
      <c r="Z79" s="5">
        <f t="shared" si="7"/>
        <v>3</v>
      </c>
      <c r="AA79" s="5">
        <f t="shared" si="7"/>
        <v>0</v>
      </c>
      <c r="AB79" s="5">
        <f t="shared" si="7"/>
        <v>0</v>
      </c>
      <c r="AC79" s="5">
        <f t="shared" si="7"/>
        <v>17</v>
      </c>
      <c r="AD79" s="5">
        <f t="shared" si="7"/>
        <v>0</v>
      </c>
      <c r="AE79" s="5">
        <f t="shared" si="7"/>
        <v>0</v>
      </c>
      <c r="AF79" s="5">
        <f t="shared" si="7"/>
        <v>4</v>
      </c>
      <c r="AG79" s="5">
        <f t="shared" si="7"/>
        <v>0</v>
      </c>
      <c r="AH79" s="5">
        <f t="shared" si="7"/>
        <v>5</v>
      </c>
      <c r="AI79" s="5">
        <f t="shared" si="7"/>
        <v>0</v>
      </c>
      <c r="AJ79" s="5">
        <f t="shared" si="7"/>
        <v>0</v>
      </c>
      <c r="AK79" s="5">
        <f t="shared" si="7"/>
        <v>0</v>
      </c>
      <c r="AL79" s="5">
        <f t="shared" si="7"/>
        <v>4</v>
      </c>
      <c r="AM79" s="5">
        <f t="shared" si="7"/>
        <v>0</v>
      </c>
      <c r="AN79" s="5">
        <f t="shared" si="7"/>
        <v>0</v>
      </c>
      <c r="AO79" s="5">
        <f t="shared" si="7"/>
        <v>0</v>
      </c>
      <c r="AP79" s="5">
        <f t="shared" si="7"/>
        <v>0</v>
      </c>
      <c r="AQ79" s="5">
        <f t="shared" si="7"/>
        <v>0</v>
      </c>
      <c r="AR79" s="5">
        <f t="shared" si="7"/>
        <v>0</v>
      </c>
      <c r="AS79" s="5">
        <f t="shared" si="7"/>
        <v>0</v>
      </c>
      <c r="AT79" s="5">
        <f t="shared" si="7"/>
        <v>0</v>
      </c>
      <c r="AU79" s="5">
        <f t="shared" si="7"/>
        <v>0</v>
      </c>
      <c r="AV79" s="5">
        <f t="shared" si="7"/>
        <v>0</v>
      </c>
      <c r="AW79" s="5">
        <f t="shared" si="7"/>
        <v>0</v>
      </c>
      <c r="AX79" s="5">
        <f t="shared" si="7"/>
        <v>0</v>
      </c>
      <c r="AY79" s="5">
        <f t="shared" si="7"/>
        <v>0</v>
      </c>
      <c r="AZ79" s="5">
        <f t="shared" si="7"/>
        <v>0</v>
      </c>
      <c r="BA79" s="5">
        <f t="shared" si="7"/>
        <v>0</v>
      </c>
      <c r="BB79" s="5">
        <f t="shared" si="7"/>
        <v>0</v>
      </c>
      <c r="BC79" s="5">
        <f t="shared" si="7"/>
        <v>0</v>
      </c>
      <c r="BD79" s="5">
        <f t="shared" si="7"/>
        <v>0</v>
      </c>
      <c r="BE79" s="5">
        <f t="shared" si="7"/>
        <v>0</v>
      </c>
      <c r="BF79" s="5">
        <f t="shared" si="7"/>
        <v>0</v>
      </c>
      <c r="BG79" s="5">
        <f t="shared" si="7"/>
        <v>0</v>
      </c>
    </row>
    <row r="80" spans="1:59" s="17" customFormat="1" ht="15.75" hidden="1" customHeight="1">
      <c r="A80" s="101"/>
      <c r="B80" s="114"/>
      <c r="C80" s="116"/>
      <c r="D80" s="118"/>
      <c r="E80" s="116"/>
      <c r="F80" s="116"/>
      <c r="G80" s="120"/>
      <c r="H80" s="151"/>
      <c r="I80" s="89"/>
      <c r="J80" s="89"/>
      <c r="K80" s="20"/>
      <c r="L80" s="20"/>
      <c r="M80" s="20"/>
      <c r="N80" s="146"/>
      <c r="O80" s="21"/>
      <c r="P80" s="27"/>
      <c r="Q80" s="99"/>
      <c r="R80" s="148"/>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52"/>
      <c r="AZ80" s="152"/>
      <c r="BA80" s="152"/>
      <c r="BB80" s="152"/>
      <c r="BC80" s="152"/>
      <c r="BD80" s="152"/>
      <c r="BE80" s="149"/>
      <c r="BF80" s="152"/>
      <c r="BG80" s="152"/>
    </row>
    <row r="81" spans="1:61" s="17" customFormat="1" ht="15.75" hidden="1" customHeight="1">
      <c r="A81" s="102"/>
      <c r="B81" s="115"/>
      <c r="C81" s="117"/>
      <c r="D81" s="119"/>
      <c r="E81" s="117"/>
      <c r="F81" s="117"/>
      <c r="G81" s="121"/>
      <c r="H81" s="90"/>
      <c r="I81" s="90"/>
      <c r="J81" s="90"/>
      <c r="K81" s="22"/>
      <c r="L81" s="18"/>
      <c r="M81" s="18"/>
      <c r="N81" s="147"/>
      <c r="O81" s="19"/>
      <c r="P81" s="22"/>
      <c r="Q81" s="100"/>
      <c r="R81" s="101"/>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3"/>
      <c r="AZ81" s="153"/>
      <c r="BA81" s="153"/>
      <c r="BB81" s="153"/>
      <c r="BC81" s="153"/>
      <c r="BD81" s="153"/>
      <c r="BE81" s="150"/>
      <c r="BF81" s="153"/>
      <c r="BG81" s="153"/>
    </row>
    <row r="82" spans="1:61" s="17" customFormat="1" ht="15.75" hidden="1" customHeight="1">
      <c r="A82" s="101"/>
      <c r="B82" s="114"/>
      <c r="C82" s="116"/>
      <c r="D82" s="118"/>
      <c r="E82" s="116"/>
      <c r="F82" s="116"/>
      <c r="G82" s="120"/>
      <c r="H82" s="151"/>
      <c r="I82" s="89"/>
      <c r="J82" s="89"/>
      <c r="K82" s="20"/>
      <c r="L82" s="20"/>
      <c r="M82" s="20"/>
      <c r="N82" s="146"/>
      <c r="O82" s="21"/>
      <c r="P82" s="27"/>
      <c r="Q82" s="99"/>
      <c r="R82" s="148"/>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52"/>
      <c r="AZ82" s="152"/>
      <c r="BA82" s="152"/>
      <c r="BB82" s="152"/>
      <c r="BC82" s="152"/>
      <c r="BD82" s="152"/>
      <c r="BE82" s="149"/>
      <c r="BF82" s="152"/>
      <c r="BG82" s="152"/>
    </row>
    <row r="83" spans="1:61" s="17" customFormat="1" ht="15.75" hidden="1" customHeight="1">
      <c r="A83" s="102"/>
      <c r="B83" s="115"/>
      <c r="C83" s="117"/>
      <c r="D83" s="119"/>
      <c r="E83" s="117"/>
      <c r="F83" s="117"/>
      <c r="G83" s="121"/>
      <c r="H83" s="90"/>
      <c r="I83" s="90"/>
      <c r="J83" s="90"/>
      <c r="K83" s="22"/>
      <c r="L83" s="18"/>
      <c r="M83" s="18"/>
      <c r="N83" s="147"/>
      <c r="O83" s="19"/>
      <c r="P83" s="22"/>
      <c r="Q83" s="100"/>
      <c r="R83" s="101"/>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3"/>
      <c r="AZ83" s="153"/>
      <c r="BA83" s="153"/>
      <c r="BB83" s="153"/>
      <c r="BC83" s="153"/>
      <c r="BD83" s="153"/>
      <c r="BE83" s="150"/>
      <c r="BF83" s="153"/>
      <c r="BG83" s="153"/>
    </row>
    <row r="84" spans="1:61" s="17" customFormat="1" ht="15.75" hidden="1" customHeight="1">
      <c r="A84" s="101"/>
      <c r="B84" s="114"/>
      <c r="C84" s="116"/>
      <c r="D84" s="118"/>
      <c r="E84" s="116"/>
      <c r="F84" s="116"/>
      <c r="G84" s="120"/>
      <c r="H84" s="109"/>
      <c r="I84" s="90"/>
      <c r="J84" s="90"/>
      <c r="K84" s="20"/>
      <c r="L84" s="20"/>
      <c r="M84" s="20"/>
      <c r="N84" s="97"/>
      <c r="O84" s="21"/>
      <c r="P84" s="27"/>
      <c r="Q84" s="99"/>
      <c r="R84" s="154"/>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1"/>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s="17" customFormat="1" ht="15.75" hidden="1" customHeight="1">
      <c r="A86" s="101"/>
      <c r="B86" s="114"/>
      <c r="C86" s="116"/>
      <c r="D86" s="118"/>
      <c r="E86" s="116"/>
      <c r="F86" s="116"/>
      <c r="G86" s="120"/>
      <c r="H86" s="109"/>
      <c r="I86" s="90"/>
      <c r="J86" s="90"/>
      <c r="K86" s="20"/>
      <c r="L86" s="20"/>
      <c r="M86" s="20"/>
      <c r="N86" s="97"/>
      <c r="O86" s="21"/>
      <c r="P86" s="27"/>
      <c r="Q86" s="99"/>
      <c r="R86" s="148"/>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1"/>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s="17" customFormat="1" ht="15.75" hidden="1" customHeight="1">
      <c r="A88" s="101">
        <v>45084</v>
      </c>
      <c r="B88" s="114" t="s">
        <v>37</v>
      </c>
      <c r="C88" s="116"/>
      <c r="D88" s="118"/>
      <c r="E88" s="116"/>
      <c r="F88" s="116"/>
      <c r="G88" s="120"/>
      <c r="H88" s="109"/>
      <c r="I88" s="90"/>
      <c r="J88" s="90"/>
      <c r="K88" s="20"/>
      <c r="L88" s="20"/>
      <c r="M88" s="20"/>
      <c r="N88" s="97" t="e">
        <f>O89/L89</f>
        <v>#DIV/0!</v>
      </c>
      <c r="O88" s="21"/>
      <c r="P88" s="27"/>
      <c r="Q88" s="99">
        <f>+L89-P89</f>
        <v>0</v>
      </c>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5"/>
      <c r="AZ88" s="155"/>
      <c r="BA88" s="155"/>
      <c r="BB88" s="155"/>
      <c r="BC88" s="155"/>
      <c r="BD88" s="155"/>
      <c r="BE88" s="96"/>
      <c r="BF88" s="155"/>
      <c r="BG88" s="155"/>
    </row>
    <row r="89" spans="1:61" s="17" customFormat="1" ht="15.75" hidden="1" customHeight="1">
      <c r="A89" s="102"/>
      <c r="B89" s="115"/>
      <c r="C89" s="117"/>
      <c r="D89" s="119"/>
      <c r="E89" s="117"/>
      <c r="F89" s="117"/>
      <c r="G89" s="121"/>
      <c r="H89" s="95"/>
      <c r="I89" s="95"/>
      <c r="J89" s="95"/>
      <c r="K89" s="22"/>
      <c r="L89" s="18"/>
      <c r="M89" s="18"/>
      <c r="N89" s="98"/>
      <c r="O89" s="19"/>
      <c r="P89" s="22"/>
      <c r="Q89" s="100"/>
      <c r="R89" s="102"/>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6"/>
      <c r="AZ89" s="156"/>
      <c r="BA89" s="156"/>
      <c r="BB89" s="156"/>
      <c r="BC89" s="156"/>
      <c r="BD89" s="156"/>
      <c r="BE89" s="96"/>
      <c r="BF89" s="156"/>
      <c r="BG89" s="156"/>
    </row>
    <row r="90" spans="1:61" ht="24.75" hidden="1" customHeight="1">
      <c r="A90" s="111" t="s">
        <v>40</v>
      </c>
      <c r="B90" s="112"/>
      <c r="C90" s="112"/>
      <c r="D90" s="112"/>
      <c r="E90" s="112"/>
      <c r="F90" s="112"/>
      <c r="G90" s="112"/>
      <c r="H90" s="112"/>
      <c r="I90" s="113"/>
      <c r="J90" s="5">
        <f>SUM(J80:J89)</f>
        <v>0</v>
      </c>
      <c r="K90" s="5">
        <f>+SUMPRODUCT(((MOD(ROW(K80:K87),2)=0)*(K80:K87)))</f>
        <v>0</v>
      </c>
      <c r="L90" s="5">
        <f>+SUMPRODUCT(((MOD(ROW(L80:L87),2)=0)*(L80:L87)))</f>
        <v>0</v>
      </c>
      <c r="M90" s="5">
        <f>+SUMPRODUCT(((MOD(ROW(M80:M87),2)=0)*(M80:M87)))</f>
        <v>0</v>
      </c>
      <c r="N90" s="6" t="e">
        <f>O90/L90</f>
        <v>#DIV/0!</v>
      </c>
      <c r="O90" s="5">
        <f>+SUMPRODUCT(((MOD(ROW(O80:O87),2)=0)*(O80:O87)))</f>
        <v>0</v>
      </c>
      <c r="P90" s="5">
        <f>+SUMPRODUCT(((MOD(ROW(P80:P87),2)=0)*(P80:P87)))</f>
        <v>0</v>
      </c>
      <c r="Q90" s="29">
        <f>SUM(Q80:Q89)</f>
        <v>0</v>
      </c>
      <c r="R90" s="29"/>
      <c r="S90" s="29">
        <f t="shared" ref="S90:BG90" si="8">SUM(S80:S89)</f>
        <v>0</v>
      </c>
      <c r="T90" s="29">
        <f t="shared" si="8"/>
        <v>0</v>
      </c>
      <c r="U90" s="29">
        <f t="shared" si="8"/>
        <v>0</v>
      </c>
      <c r="V90" s="29">
        <f t="shared" si="8"/>
        <v>0</v>
      </c>
      <c r="W90" s="29">
        <f t="shared" si="8"/>
        <v>0</v>
      </c>
      <c r="X90" s="29">
        <f t="shared" si="8"/>
        <v>0</v>
      </c>
      <c r="Y90" s="29">
        <f t="shared" si="8"/>
        <v>0</v>
      </c>
      <c r="Z90" s="29">
        <f t="shared" si="8"/>
        <v>0</v>
      </c>
      <c r="AA90" s="29">
        <f t="shared" si="8"/>
        <v>0</v>
      </c>
      <c r="AB90" s="29">
        <f t="shared" si="8"/>
        <v>0</v>
      </c>
      <c r="AC90" s="29">
        <f t="shared" si="8"/>
        <v>0</v>
      </c>
      <c r="AD90" s="29">
        <f t="shared" si="8"/>
        <v>0</v>
      </c>
      <c r="AE90" s="29">
        <f t="shared" si="8"/>
        <v>0</v>
      </c>
      <c r="AF90" s="29">
        <f t="shared" si="8"/>
        <v>0</v>
      </c>
      <c r="AG90" s="29">
        <f t="shared" si="8"/>
        <v>0</v>
      </c>
      <c r="AH90" s="29">
        <f t="shared" si="8"/>
        <v>0</v>
      </c>
      <c r="AI90" s="29">
        <f t="shared" si="8"/>
        <v>0</v>
      </c>
      <c r="AJ90" s="29">
        <f t="shared" si="8"/>
        <v>0</v>
      </c>
      <c r="AK90" s="29">
        <f t="shared" si="8"/>
        <v>0</v>
      </c>
      <c r="AL90" s="29">
        <f t="shared" si="8"/>
        <v>0</v>
      </c>
      <c r="AM90" s="29">
        <f t="shared" si="8"/>
        <v>0</v>
      </c>
      <c r="AN90" s="29">
        <f t="shared" si="8"/>
        <v>0</v>
      </c>
      <c r="AO90" s="29">
        <f t="shared" si="8"/>
        <v>0</v>
      </c>
      <c r="AP90" s="29">
        <f t="shared" si="8"/>
        <v>0</v>
      </c>
      <c r="AQ90" s="29">
        <f t="shared" si="8"/>
        <v>0</v>
      </c>
      <c r="AR90" s="29">
        <f t="shared" si="8"/>
        <v>0</v>
      </c>
      <c r="AS90" s="29">
        <f t="shared" si="8"/>
        <v>0</v>
      </c>
      <c r="AT90" s="29">
        <f t="shared" si="8"/>
        <v>0</v>
      </c>
      <c r="AU90" s="29">
        <f t="shared" si="8"/>
        <v>0</v>
      </c>
      <c r="AV90" s="29">
        <f t="shared" si="8"/>
        <v>0</v>
      </c>
      <c r="AW90" s="29">
        <f t="shared" si="8"/>
        <v>0</v>
      </c>
      <c r="AX90" s="29">
        <f t="shared" si="8"/>
        <v>0</v>
      </c>
      <c r="AY90" s="29">
        <f t="shared" si="8"/>
        <v>0</v>
      </c>
      <c r="AZ90" s="29">
        <f t="shared" si="8"/>
        <v>0</v>
      </c>
      <c r="BA90" s="29">
        <f t="shared" si="8"/>
        <v>0</v>
      </c>
      <c r="BB90" s="29">
        <f t="shared" si="8"/>
        <v>0</v>
      </c>
      <c r="BC90" s="29">
        <f t="shared" si="8"/>
        <v>0</v>
      </c>
      <c r="BD90" s="29">
        <f t="shared" si="8"/>
        <v>0</v>
      </c>
      <c r="BE90" s="29">
        <f t="shared" si="8"/>
        <v>0</v>
      </c>
      <c r="BF90" s="29">
        <f t="shared" si="8"/>
        <v>0</v>
      </c>
      <c r="BG90" s="29">
        <f t="shared" si="8"/>
        <v>0</v>
      </c>
      <c r="BH90" s="17"/>
      <c r="BI90" s="17"/>
    </row>
    <row r="91" spans="1:61" s="17" customFormat="1" ht="15.75" hidden="1" customHeight="1">
      <c r="A91" s="101"/>
      <c r="B91" s="114"/>
      <c r="C91" s="116"/>
      <c r="D91" s="118"/>
      <c r="E91" s="116"/>
      <c r="F91" s="116"/>
      <c r="G91" s="120"/>
      <c r="H91" s="109"/>
      <c r="I91" s="90"/>
      <c r="J91" s="90"/>
      <c r="K91" s="20"/>
      <c r="L91" s="20"/>
      <c r="M91" s="20"/>
      <c r="N91" s="97"/>
      <c r="O91" s="21"/>
      <c r="P91" s="27"/>
      <c r="Q91" s="99"/>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c r="B93" s="114"/>
      <c r="C93" s="116"/>
      <c r="D93" s="118"/>
      <c r="E93" s="116"/>
      <c r="F93" s="116"/>
      <c r="G93" s="120"/>
      <c r="H93" s="90"/>
      <c r="I93" s="90"/>
      <c r="J93" s="90"/>
      <c r="K93" s="20"/>
      <c r="L93" s="20"/>
      <c r="M93" s="20"/>
      <c r="N93" s="97"/>
      <c r="O93" s="21"/>
      <c r="P93" s="27"/>
      <c r="Q93" s="99"/>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v>45163</v>
      </c>
      <c r="B95" s="114" t="s">
        <v>37</v>
      </c>
      <c r="C95" s="116"/>
      <c r="D95" s="118"/>
      <c r="E95" s="116"/>
      <c r="F95" s="116"/>
      <c r="G95" s="120"/>
      <c r="H95" s="90"/>
      <c r="I95" s="90"/>
      <c r="J95" s="90"/>
      <c r="K95" s="20"/>
      <c r="L95" s="20"/>
      <c r="M95" s="20"/>
      <c r="N95" s="97" t="e">
        <f>O96/L96</f>
        <v>#DIV/0!</v>
      </c>
      <c r="O95" s="21">
        <f>L95-M95</f>
        <v>0</v>
      </c>
      <c r="P95" s="27"/>
      <c r="Q95" s="99">
        <f>+L96-P96</f>
        <v>0</v>
      </c>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f>L96-M96</f>
        <v>0</v>
      </c>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row>
    <row r="97" spans="1:61" s="17" customFormat="1" ht="15.75" hidden="1" customHeight="1">
      <c r="A97" s="101">
        <v>45163</v>
      </c>
      <c r="B97" s="114" t="s">
        <v>37</v>
      </c>
      <c r="C97" s="116"/>
      <c r="D97" s="118"/>
      <c r="E97" s="116"/>
      <c r="F97" s="116"/>
      <c r="G97" s="120"/>
      <c r="H97" s="90"/>
      <c r="I97" s="90"/>
      <c r="J97" s="90"/>
      <c r="K97" s="20"/>
      <c r="L97" s="20"/>
      <c r="M97" s="20"/>
      <c r="N97" s="97" t="e">
        <f>O98/L98</f>
        <v>#DIV/0!</v>
      </c>
      <c r="O97" s="21">
        <f>L97-M97</f>
        <v>0</v>
      </c>
      <c r="P97" s="27"/>
      <c r="Q97" s="99">
        <f>+L98-P98</f>
        <v>0</v>
      </c>
      <c r="R97" s="154"/>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5"/>
      <c r="AZ97" s="155"/>
      <c r="BA97" s="155"/>
      <c r="BB97" s="155"/>
      <c r="BC97" s="155"/>
      <c r="BD97" s="155"/>
      <c r="BE97" s="96"/>
      <c r="BF97" s="155"/>
      <c r="BG97" s="155"/>
    </row>
    <row r="98" spans="1:61" s="17" customFormat="1" ht="15.75" hidden="1" customHeight="1">
      <c r="A98" s="102"/>
      <c r="B98" s="115"/>
      <c r="C98" s="117"/>
      <c r="D98" s="119"/>
      <c r="E98" s="117"/>
      <c r="F98" s="117"/>
      <c r="G98" s="121"/>
      <c r="H98" s="95"/>
      <c r="I98" s="95"/>
      <c r="J98" s="95"/>
      <c r="K98" s="22"/>
      <c r="L98" s="18"/>
      <c r="M98" s="18"/>
      <c r="N98" s="98"/>
      <c r="O98" s="19">
        <f>L98-M98</f>
        <v>0</v>
      </c>
      <c r="P98" s="22"/>
      <c r="Q98" s="100"/>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6"/>
      <c r="AZ98" s="156"/>
      <c r="BA98" s="156"/>
      <c r="BB98" s="156"/>
      <c r="BC98" s="156"/>
      <c r="BD98" s="156"/>
      <c r="BE98" s="96"/>
      <c r="BF98" s="156"/>
      <c r="BG98" s="156"/>
      <c r="BH98" s="1"/>
      <c r="BI98" s="1"/>
    </row>
    <row r="99" spans="1:61" ht="24.75" hidden="1" customHeight="1">
      <c r="A99" s="111" t="s">
        <v>48</v>
      </c>
      <c r="B99" s="112"/>
      <c r="C99" s="112"/>
      <c r="D99" s="112"/>
      <c r="E99" s="112"/>
      <c r="F99" s="112"/>
      <c r="G99" s="112"/>
      <c r="H99" s="112"/>
      <c r="I99" s="113"/>
      <c r="J99" s="5">
        <f>SUM(J91:J98)</f>
        <v>0</v>
      </c>
      <c r="K99" s="5">
        <f>+SUMPRODUCT(((MOD(ROW(K91:K98),2)=0)*(K91:K98)))</f>
        <v>0</v>
      </c>
      <c r="L99" s="5">
        <f>+SUMPRODUCT(((MOD(ROW(L91:L98),2)=0)*(L91:L98)))</f>
        <v>0</v>
      </c>
      <c r="M99" s="5">
        <f>+SUMPRODUCT(((MOD(ROW(M91:M98),2)=0)*(M91:M98)))</f>
        <v>0</v>
      </c>
      <c r="N99" s="6" t="e">
        <f>O99/L99</f>
        <v>#DIV/0!</v>
      </c>
      <c r="O99" s="5">
        <f>+SUMPRODUCT(((MOD(ROW(O91:O98),2)=0)*(O91:O98)))</f>
        <v>0</v>
      </c>
      <c r="P99" s="5">
        <f>+SUMPRODUCT(((MOD(ROW(P91:P98),2)=0)*(P91:P98)))</f>
        <v>0</v>
      </c>
      <c r="Q99" s="29">
        <f>SUM(Q91:Q98)</f>
        <v>0</v>
      </c>
      <c r="R99" s="29"/>
      <c r="S99" s="29">
        <f t="shared" ref="S99:BG99" si="9">SUM(S91:S98)</f>
        <v>0</v>
      </c>
      <c r="T99" s="29">
        <f t="shared" si="9"/>
        <v>0</v>
      </c>
      <c r="U99" s="29">
        <f t="shared" si="9"/>
        <v>0</v>
      </c>
      <c r="V99" s="29">
        <f t="shared" si="9"/>
        <v>0</v>
      </c>
      <c r="W99" s="29">
        <f t="shared" si="9"/>
        <v>0</v>
      </c>
      <c r="X99" s="29">
        <f t="shared" si="9"/>
        <v>0</v>
      </c>
      <c r="Y99" s="29">
        <f t="shared" si="9"/>
        <v>0</v>
      </c>
      <c r="Z99" s="29">
        <f t="shared" si="9"/>
        <v>0</v>
      </c>
      <c r="AA99" s="29">
        <f t="shared" si="9"/>
        <v>0</v>
      </c>
      <c r="AB99" s="29">
        <f t="shared" si="9"/>
        <v>0</v>
      </c>
      <c r="AC99" s="29">
        <f t="shared" si="9"/>
        <v>0</v>
      </c>
      <c r="AD99" s="29">
        <f t="shared" si="9"/>
        <v>0</v>
      </c>
      <c r="AE99" s="29">
        <f t="shared" si="9"/>
        <v>0</v>
      </c>
      <c r="AF99" s="29">
        <f t="shared" si="9"/>
        <v>0</v>
      </c>
      <c r="AG99" s="29">
        <f t="shared" si="9"/>
        <v>0</v>
      </c>
      <c r="AH99" s="29">
        <f t="shared" si="9"/>
        <v>0</v>
      </c>
      <c r="AI99" s="29">
        <f t="shared" si="9"/>
        <v>0</v>
      </c>
      <c r="AJ99" s="29">
        <f t="shared" si="9"/>
        <v>0</v>
      </c>
      <c r="AK99" s="29">
        <f t="shared" si="9"/>
        <v>0</v>
      </c>
      <c r="AL99" s="29">
        <f t="shared" si="9"/>
        <v>0</v>
      </c>
      <c r="AM99" s="29">
        <f t="shared" si="9"/>
        <v>0</v>
      </c>
      <c r="AN99" s="29">
        <f t="shared" si="9"/>
        <v>0</v>
      </c>
      <c r="AO99" s="29">
        <f t="shared" si="9"/>
        <v>0</v>
      </c>
      <c r="AP99" s="29">
        <f t="shared" si="9"/>
        <v>0</v>
      </c>
      <c r="AQ99" s="29">
        <f t="shared" si="9"/>
        <v>0</v>
      </c>
      <c r="AR99" s="29">
        <f t="shared" si="9"/>
        <v>0</v>
      </c>
      <c r="AS99" s="29">
        <f t="shared" si="9"/>
        <v>0</v>
      </c>
      <c r="AT99" s="29">
        <f t="shared" si="9"/>
        <v>0</v>
      </c>
      <c r="AU99" s="29">
        <f t="shared" si="9"/>
        <v>0</v>
      </c>
      <c r="AV99" s="29">
        <f t="shared" si="9"/>
        <v>0</v>
      </c>
      <c r="AW99" s="29">
        <f t="shared" si="9"/>
        <v>0</v>
      </c>
      <c r="AX99" s="29">
        <f t="shared" si="9"/>
        <v>0</v>
      </c>
      <c r="AY99" s="29">
        <f t="shared" si="9"/>
        <v>0</v>
      </c>
      <c r="AZ99" s="29">
        <f t="shared" si="9"/>
        <v>0</v>
      </c>
      <c r="BA99" s="29">
        <f t="shared" si="9"/>
        <v>0</v>
      </c>
      <c r="BB99" s="29">
        <f t="shared" si="9"/>
        <v>0</v>
      </c>
      <c r="BC99" s="29">
        <f t="shared" si="9"/>
        <v>0</v>
      </c>
      <c r="BD99" s="29">
        <f t="shared" si="9"/>
        <v>0</v>
      </c>
      <c r="BE99" s="29">
        <f t="shared" si="9"/>
        <v>0</v>
      </c>
      <c r="BF99" s="29">
        <f t="shared" si="9"/>
        <v>0</v>
      </c>
      <c r="BG99" s="29">
        <f t="shared" si="9"/>
        <v>0</v>
      </c>
      <c r="BH99" s="17"/>
      <c r="BI99" s="17"/>
    </row>
    <row r="100" spans="1:61" s="17" customFormat="1" ht="15.75" hidden="1" customHeight="1">
      <c r="A100" s="101"/>
      <c r="B100" s="114"/>
      <c r="C100" s="116"/>
      <c r="D100" s="118"/>
      <c r="E100" s="157"/>
      <c r="F100" s="116"/>
      <c r="G100" s="120"/>
      <c r="H100" s="109"/>
      <c r="I100" s="90"/>
      <c r="J100" s="90"/>
      <c r="K100" s="20"/>
      <c r="L100" s="20"/>
      <c r="M100" s="20"/>
      <c r="N100" s="97"/>
      <c r="O100" s="21"/>
      <c r="P100" s="27"/>
      <c r="Q100" s="99"/>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45061</v>
      </c>
      <c r="B102" s="114" t="s">
        <v>37</v>
      </c>
      <c r="C102" s="116"/>
      <c r="D102" s="118"/>
      <c r="E102" s="157"/>
      <c r="F102" s="116"/>
      <c r="G102" s="120"/>
      <c r="H102" s="90"/>
      <c r="I102" s="90"/>
      <c r="J102" s="90"/>
      <c r="K102" s="20"/>
      <c r="L102" s="20"/>
      <c r="M102" s="20"/>
      <c r="N102" s="97" t="e">
        <f>O103/L103</f>
        <v>#DIV/0!</v>
      </c>
      <c r="O102" s="21">
        <f t="shared" ref="O102:O107" si="10">L102-M102</f>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44990</v>
      </c>
      <c r="B104" s="114" t="s">
        <v>37</v>
      </c>
      <c r="C104" s="116"/>
      <c r="D104" s="118"/>
      <c r="E104" s="116"/>
      <c r="F104" s="116"/>
      <c r="G104" s="120"/>
      <c r="H104" s="90"/>
      <c r="I104" s="90"/>
      <c r="J104" s="90"/>
      <c r="K104" s="20"/>
      <c r="L104" s="20"/>
      <c r="M104" s="20"/>
      <c r="N104" s="97" t="e">
        <f>O105/L105</f>
        <v>#DIV/0!</v>
      </c>
      <c r="O104" s="21">
        <f t="shared" si="10"/>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10"/>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row>
    <row r="106" spans="1:61" s="17" customFormat="1" ht="15.75" hidden="1" customHeight="1">
      <c r="A106" s="101">
        <v>44990</v>
      </c>
      <c r="B106" s="114" t="s">
        <v>37</v>
      </c>
      <c r="C106" s="116"/>
      <c r="D106" s="118"/>
      <c r="E106" s="116"/>
      <c r="F106" s="116"/>
      <c r="G106" s="120"/>
      <c r="H106" s="90"/>
      <c r="I106" s="90"/>
      <c r="J106" s="90"/>
      <c r="K106" s="20"/>
      <c r="L106" s="20"/>
      <c r="M106" s="20"/>
      <c r="N106" s="97" t="e">
        <f>O107/L107</f>
        <v>#DIV/0!</v>
      </c>
      <c r="O106" s="21">
        <f t="shared" si="10"/>
        <v>0</v>
      </c>
      <c r="P106" s="27"/>
      <c r="Q106" s="99">
        <f>+L107-P107</f>
        <v>0</v>
      </c>
      <c r="R106" s="101"/>
      <c r="S106" s="96"/>
      <c r="T106" s="96"/>
      <c r="U106" s="96"/>
      <c r="V106" s="96"/>
      <c r="W106" s="96"/>
      <c r="X106" s="96"/>
      <c r="Y106" s="96"/>
      <c r="Z106" s="96"/>
      <c r="AA106" s="96"/>
      <c r="AB106" s="96"/>
      <c r="AC106" s="96"/>
      <c r="AD106" s="96"/>
      <c r="AE106" s="96"/>
      <c r="AF106" s="96"/>
      <c r="AG106" s="96"/>
      <c r="AH106" s="96"/>
      <c r="AI106" s="96"/>
      <c r="AJ106" s="96"/>
      <c r="AK106" s="96"/>
      <c r="AL106" s="96"/>
      <c r="AM106" s="96"/>
      <c r="AN106" s="96"/>
      <c r="AO106" s="96"/>
      <c r="AP106" s="96"/>
      <c r="AQ106" s="96"/>
      <c r="AR106" s="96"/>
      <c r="AS106" s="96"/>
      <c r="AT106" s="96"/>
      <c r="AU106" s="96"/>
      <c r="AV106" s="96"/>
      <c r="AW106" s="96"/>
      <c r="AX106" s="96"/>
      <c r="AY106" s="155"/>
      <c r="AZ106" s="155"/>
      <c r="BA106" s="155"/>
      <c r="BB106" s="155"/>
      <c r="BC106" s="155"/>
      <c r="BD106" s="155"/>
      <c r="BE106" s="96"/>
      <c r="BF106" s="155"/>
      <c r="BG106" s="155"/>
    </row>
    <row r="107" spans="1:61" s="17" customFormat="1" ht="15.75" hidden="1" customHeight="1">
      <c r="A107" s="102"/>
      <c r="B107" s="115"/>
      <c r="C107" s="117"/>
      <c r="D107" s="119"/>
      <c r="E107" s="117"/>
      <c r="F107" s="117"/>
      <c r="G107" s="121"/>
      <c r="H107" s="95"/>
      <c r="I107" s="95"/>
      <c r="J107" s="95"/>
      <c r="K107" s="22"/>
      <c r="L107" s="18"/>
      <c r="M107" s="18"/>
      <c r="N107" s="98"/>
      <c r="O107" s="19">
        <f t="shared" si="10"/>
        <v>0</v>
      </c>
      <c r="P107" s="22"/>
      <c r="Q107" s="100"/>
      <c r="R107" s="102"/>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156"/>
      <c r="AZ107" s="156"/>
      <c r="BA107" s="156"/>
      <c r="BB107" s="156"/>
      <c r="BC107" s="156"/>
      <c r="BD107" s="156"/>
      <c r="BE107" s="96"/>
      <c r="BF107" s="156"/>
      <c r="BG107" s="156"/>
      <c r="BH107" s="1"/>
      <c r="BI107" s="1"/>
    </row>
    <row r="108" spans="1:61" ht="24.75" hidden="1" customHeight="1">
      <c r="A108" s="111" t="s">
        <v>46</v>
      </c>
      <c r="B108" s="112"/>
      <c r="C108" s="112"/>
      <c r="D108" s="112"/>
      <c r="E108" s="112"/>
      <c r="F108" s="112"/>
      <c r="G108" s="112"/>
      <c r="H108" s="112"/>
      <c r="I108" s="113"/>
      <c r="J108" s="5">
        <f>SUM(J100:J107)</f>
        <v>0</v>
      </c>
      <c r="K108" s="5">
        <f>+SUMPRODUCT(((MOD(ROW(K100:K107),2)=0)*(K100:K107)))</f>
        <v>0</v>
      </c>
      <c r="L108" s="5">
        <f>+SUMPRODUCT(((MOD(ROW(L100:L107),2)=0)*(L100:L107)))</f>
        <v>0</v>
      </c>
      <c r="M108" s="5">
        <f>+SUMPRODUCT(((MOD(ROW(M100:M107),2)=0)*(M100:M107)))</f>
        <v>0</v>
      </c>
      <c r="N108" s="6" t="e">
        <f>O108/L108</f>
        <v>#DIV/0!</v>
      </c>
      <c r="O108" s="5">
        <f>+SUMPRODUCT(((MOD(ROW(O100:O107),2)=0)*(O100:O107)))</f>
        <v>0</v>
      </c>
      <c r="P108" s="5">
        <f>+SUMPRODUCT(((MOD(ROW(P100:P107),2)=0)*(P100:P107)))</f>
        <v>0</v>
      </c>
      <c r="Q108" s="29">
        <f>SUM(Q100:Q107)</f>
        <v>0</v>
      </c>
      <c r="R108" s="29"/>
      <c r="S108" s="29">
        <f t="shared" ref="S108:BG108" si="11">SUM(S100:S107)</f>
        <v>0</v>
      </c>
      <c r="T108" s="29">
        <f t="shared" si="11"/>
        <v>0</v>
      </c>
      <c r="U108" s="29">
        <f t="shared" si="11"/>
        <v>0</v>
      </c>
      <c r="V108" s="29">
        <f t="shared" si="11"/>
        <v>0</v>
      </c>
      <c r="W108" s="29">
        <f t="shared" si="11"/>
        <v>0</v>
      </c>
      <c r="X108" s="29">
        <f t="shared" si="11"/>
        <v>0</v>
      </c>
      <c r="Y108" s="29">
        <f t="shared" si="11"/>
        <v>0</v>
      </c>
      <c r="Z108" s="29">
        <f t="shared" si="11"/>
        <v>0</v>
      </c>
      <c r="AA108" s="29">
        <f t="shared" si="11"/>
        <v>0</v>
      </c>
      <c r="AB108" s="29">
        <f t="shared" si="11"/>
        <v>0</v>
      </c>
      <c r="AC108" s="29">
        <f t="shared" si="11"/>
        <v>0</v>
      </c>
      <c r="AD108" s="29">
        <f t="shared" si="11"/>
        <v>0</v>
      </c>
      <c r="AE108" s="29">
        <f t="shared" si="11"/>
        <v>0</v>
      </c>
      <c r="AF108" s="29">
        <f t="shared" si="11"/>
        <v>0</v>
      </c>
      <c r="AG108" s="29">
        <f t="shared" si="11"/>
        <v>0</v>
      </c>
      <c r="AH108" s="29">
        <f t="shared" si="11"/>
        <v>0</v>
      </c>
      <c r="AI108" s="29">
        <f t="shared" si="11"/>
        <v>0</v>
      </c>
      <c r="AJ108" s="29">
        <f t="shared" si="11"/>
        <v>0</v>
      </c>
      <c r="AK108" s="29">
        <f t="shared" si="11"/>
        <v>0</v>
      </c>
      <c r="AL108" s="29">
        <f t="shared" si="11"/>
        <v>0</v>
      </c>
      <c r="AM108" s="29">
        <f t="shared" si="11"/>
        <v>0</v>
      </c>
      <c r="AN108" s="29">
        <f t="shared" si="11"/>
        <v>0</v>
      </c>
      <c r="AO108" s="29">
        <f t="shared" si="11"/>
        <v>0</v>
      </c>
      <c r="AP108" s="29">
        <f t="shared" si="11"/>
        <v>0</v>
      </c>
      <c r="AQ108" s="29">
        <f t="shared" si="11"/>
        <v>0</v>
      </c>
      <c r="AR108" s="29">
        <f t="shared" si="11"/>
        <v>0</v>
      </c>
      <c r="AS108" s="29">
        <f t="shared" si="11"/>
        <v>0</v>
      </c>
      <c r="AT108" s="29">
        <f t="shared" si="11"/>
        <v>0</v>
      </c>
      <c r="AU108" s="29">
        <f t="shared" si="11"/>
        <v>0</v>
      </c>
      <c r="AV108" s="29">
        <f t="shared" si="11"/>
        <v>0</v>
      </c>
      <c r="AW108" s="29">
        <f t="shared" si="11"/>
        <v>0</v>
      </c>
      <c r="AX108" s="29">
        <f t="shared" si="11"/>
        <v>0</v>
      </c>
      <c r="AY108" s="29">
        <f t="shared" si="11"/>
        <v>0</v>
      </c>
      <c r="AZ108" s="29">
        <f t="shared" si="11"/>
        <v>0</v>
      </c>
      <c r="BA108" s="29">
        <f t="shared" si="11"/>
        <v>0</v>
      </c>
      <c r="BB108" s="29">
        <f t="shared" si="11"/>
        <v>0</v>
      </c>
      <c r="BC108" s="29">
        <f t="shared" si="11"/>
        <v>0</v>
      </c>
      <c r="BD108" s="29">
        <f t="shared" si="11"/>
        <v>0</v>
      </c>
      <c r="BE108" s="29">
        <f t="shared" si="11"/>
        <v>0</v>
      </c>
      <c r="BF108" s="29">
        <f t="shared" si="11"/>
        <v>0</v>
      </c>
      <c r="BG108" s="29">
        <f t="shared" si="11"/>
        <v>0</v>
      </c>
    </row>
    <row r="109" spans="1:61" ht="24.75" customHeight="1">
      <c r="A109" s="122" t="s">
        <v>5</v>
      </c>
      <c r="B109" s="122"/>
      <c r="C109" s="122"/>
      <c r="D109" s="122"/>
      <c r="E109" s="122"/>
      <c r="F109" s="122"/>
      <c r="G109" s="122"/>
      <c r="H109" s="122"/>
      <c r="I109" s="122"/>
      <c r="J109" s="4">
        <f>J79+J90+J99+J108</f>
        <v>6246</v>
      </c>
      <c r="K109" s="4">
        <f>K79+K90+K99+K108</f>
        <v>100</v>
      </c>
      <c r="L109" s="4">
        <f>L79+L90+L99+L108</f>
        <v>100</v>
      </c>
      <c r="M109" s="4">
        <f>M79+M90+M99+M108</f>
        <v>65</v>
      </c>
      <c r="N109" s="33">
        <f>O109/L109</f>
        <v>0.35</v>
      </c>
      <c r="O109" s="4">
        <f>O79+O90+O99+O108</f>
        <v>35</v>
      </c>
      <c r="P109" s="31">
        <f>P79+P90+P99+P108</f>
        <v>147</v>
      </c>
      <c r="Q109" s="31">
        <f>Q79+Q90+Q99+Q108</f>
        <v>97</v>
      </c>
      <c r="R109" s="4"/>
      <c r="S109" s="31">
        <f t="shared" ref="S109:BG109" si="12">S79+S90+S99+S108</f>
        <v>0</v>
      </c>
      <c r="T109" s="31">
        <f t="shared" si="12"/>
        <v>0</v>
      </c>
      <c r="U109" s="31">
        <f t="shared" si="12"/>
        <v>2</v>
      </c>
      <c r="V109" s="31">
        <f t="shared" si="12"/>
        <v>0</v>
      </c>
      <c r="W109" s="31">
        <f t="shared" si="12"/>
        <v>0</v>
      </c>
      <c r="X109" s="31">
        <f t="shared" si="12"/>
        <v>0</v>
      </c>
      <c r="Y109" s="31">
        <f t="shared" si="12"/>
        <v>0</v>
      </c>
      <c r="Z109" s="31">
        <f t="shared" si="12"/>
        <v>3</v>
      </c>
      <c r="AA109" s="31">
        <f t="shared" si="12"/>
        <v>0</v>
      </c>
      <c r="AB109" s="31">
        <f t="shared" si="12"/>
        <v>0</v>
      </c>
      <c r="AC109" s="31">
        <f t="shared" si="12"/>
        <v>17</v>
      </c>
      <c r="AD109" s="31">
        <f t="shared" si="12"/>
        <v>0</v>
      </c>
      <c r="AE109" s="31">
        <f t="shared" si="12"/>
        <v>0</v>
      </c>
      <c r="AF109" s="31">
        <f t="shared" si="12"/>
        <v>4</v>
      </c>
      <c r="AG109" s="31">
        <f t="shared" si="12"/>
        <v>0</v>
      </c>
      <c r="AH109" s="31">
        <f t="shared" si="12"/>
        <v>5</v>
      </c>
      <c r="AI109" s="31">
        <f t="shared" si="12"/>
        <v>0</v>
      </c>
      <c r="AJ109" s="31">
        <f t="shared" si="12"/>
        <v>0</v>
      </c>
      <c r="AK109" s="31">
        <f t="shared" si="12"/>
        <v>0</v>
      </c>
      <c r="AL109" s="31">
        <f t="shared" si="12"/>
        <v>4</v>
      </c>
      <c r="AM109" s="31">
        <f t="shared" si="12"/>
        <v>0</v>
      </c>
      <c r="AN109" s="31">
        <f t="shared" si="12"/>
        <v>0</v>
      </c>
      <c r="AO109" s="31">
        <f t="shared" si="12"/>
        <v>0</v>
      </c>
      <c r="AP109" s="31">
        <f t="shared" si="12"/>
        <v>0</v>
      </c>
      <c r="AQ109" s="31">
        <f t="shared" si="12"/>
        <v>0</v>
      </c>
      <c r="AR109" s="31">
        <f t="shared" si="12"/>
        <v>0</v>
      </c>
      <c r="AS109" s="31">
        <f t="shared" si="12"/>
        <v>0</v>
      </c>
      <c r="AT109" s="31">
        <f t="shared" si="12"/>
        <v>0</v>
      </c>
      <c r="AU109" s="31">
        <f t="shared" si="12"/>
        <v>0</v>
      </c>
      <c r="AV109" s="31">
        <f t="shared" si="12"/>
        <v>0</v>
      </c>
      <c r="AW109" s="31">
        <f t="shared" si="12"/>
        <v>0</v>
      </c>
      <c r="AX109" s="31">
        <f t="shared" si="12"/>
        <v>0</v>
      </c>
      <c r="AY109" s="31">
        <f t="shared" si="12"/>
        <v>0</v>
      </c>
      <c r="AZ109" s="31">
        <f t="shared" si="12"/>
        <v>0</v>
      </c>
      <c r="BA109" s="31">
        <f t="shared" si="12"/>
        <v>0</v>
      </c>
      <c r="BB109" s="31">
        <f t="shared" si="12"/>
        <v>0</v>
      </c>
      <c r="BC109" s="31">
        <f t="shared" si="12"/>
        <v>0</v>
      </c>
      <c r="BD109" s="31">
        <f t="shared" si="12"/>
        <v>0</v>
      </c>
      <c r="BE109" s="31">
        <f t="shared" si="12"/>
        <v>0</v>
      </c>
      <c r="BF109" s="31">
        <f t="shared" si="12"/>
        <v>0</v>
      </c>
      <c r="BG109" s="31">
        <f t="shared" si="12"/>
        <v>0</v>
      </c>
    </row>
    <row r="112" spans="1:61" s="25" customFormat="1" ht="35.25" customHeight="1">
      <c r="A112" s="2"/>
      <c r="B112" s="2"/>
      <c r="C112" s="2"/>
      <c r="D112" s="1"/>
      <c r="E112" s="1"/>
      <c r="F112" s="1"/>
      <c r="G112" s="1"/>
      <c r="H112" s="1"/>
      <c r="I112" s="1"/>
      <c r="J112" s="1"/>
      <c r="K112" s="35"/>
      <c r="L112" s="35"/>
      <c r="M112" s="35"/>
      <c r="N112" s="35"/>
      <c r="O112" s="35"/>
      <c r="P112" s="35"/>
      <c r="Q112" s="36"/>
      <c r="S112" s="8"/>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row>
    <row r="115" spans="1:61" s="25" customFormat="1" ht="33" customHeight="1">
      <c r="A115" s="2"/>
      <c r="B115" s="2"/>
      <c r="C115" s="2"/>
      <c r="D115" s="1"/>
      <c r="E115" s="1"/>
      <c r="F115" s="1"/>
      <c r="G115" s="1"/>
      <c r="H115" s="1"/>
      <c r="I115" s="1"/>
      <c r="J115" s="1"/>
      <c r="K115" s="1"/>
      <c r="L115" s="1"/>
      <c r="M115" s="1"/>
      <c r="N115" s="1"/>
      <c r="O115" s="1"/>
      <c r="S115" s="8"/>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row>
  </sheetData>
  <mergeCells count="2580">
    <mergeCell ref="W106:W107"/>
    <mergeCell ref="X106:X107"/>
    <mergeCell ref="Y106:Y107"/>
    <mergeCell ref="Z106:Z107"/>
    <mergeCell ref="A108:I108"/>
    <mergeCell ref="A109:I109"/>
    <mergeCell ref="BB106:BB107"/>
    <mergeCell ref="BC106:BC107"/>
    <mergeCell ref="BD106:BD107"/>
    <mergeCell ref="BE106:BE107"/>
    <mergeCell ref="AP106:AP107"/>
    <mergeCell ref="AQ106:AQ107"/>
    <mergeCell ref="AR106:AR107"/>
    <mergeCell ref="AS106:AS107"/>
    <mergeCell ref="AI106:AI107"/>
    <mergeCell ref="AT106:AT107"/>
    <mergeCell ref="AU106:AU107"/>
    <mergeCell ref="AJ106:AJ107"/>
    <mergeCell ref="AK106:AK107"/>
    <mergeCell ref="AL106:AL107"/>
    <mergeCell ref="AM106:AM107"/>
    <mergeCell ref="AN106:AN107"/>
    <mergeCell ref="AO106:AO107"/>
    <mergeCell ref="AA106:AA107"/>
    <mergeCell ref="AB106:AB107"/>
    <mergeCell ref="AC106:AC107"/>
    <mergeCell ref="AD106:AD107"/>
    <mergeCell ref="AE106:AE107"/>
    <mergeCell ref="AF106:AF107"/>
    <mergeCell ref="AG106:AG107"/>
    <mergeCell ref="AH106:AH107"/>
    <mergeCell ref="A106:A107"/>
    <mergeCell ref="B106:B107"/>
    <mergeCell ref="C106:C107"/>
    <mergeCell ref="D106:D107"/>
    <mergeCell ref="E106:E107"/>
    <mergeCell ref="F106:F107"/>
    <mergeCell ref="G106:G107"/>
    <mergeCell ref="H106:H107"/>
    <mergeCell ref="I106:I107"/>
    <mergeCell ref="J106:J107"/>
    <mergeCell ref="N106:N107"/>
    <mergeCell ref="Q106:Q107"/>
    <mergeCell ref="R106:R107"/>
    <mergeCell ref="S106:S107"/>
    <mergeCell ref="T106:T107"/>
    <mergeCell ref="U106:U107"/>
    <mergeCell ref="V106:V107"/>
    <mergeCell ref="AP104:AP105"/>
    <mergeCell ref="Y104:Y105"/>
    <mergeCell ref="Z104:Z105"/>
    <mergeCell ref="AA104:AA105"/>
    <mergeCell ref="AB104:AB105"/>
    <mergeCell ref="AC104:AC105"/>
    <mergeCell ref="AD104:AD105"/>
    <mergeCell ref="AE104:AE105"/>
    <mergeCell ref="AF104:AF105"/>
    <mergeCell ref="AG104:AG105"/>
    <mergeCell ref="AH104:AH105"/>
    <mergeCell ref="AI104:AI105"/>
    <mergeCell ref="AJ104:AJ105"/>
    <mergeCell ref="AK104:AK105"/>
    <mergeCell ref="AL104:AL105"/>
    <mergeCell ref="AM104:AM105"/>
    <mergeCell ref="AS104:AS105"/>
    <mergeCell ref="AT104:AT105"/>
    <mergeCell ref="AU104:AU105"/>
    <mergeCell ref="AV104:AV105"/>
    <mergeCell ref="AW104:AW105"/>
    <mergeCell ref="AX104:AX105"/>
    <mergeCell ref="AY104:AY105"/>
    <mergeCell ref="AZ104:AZ105"/>
    <mergeCell ref="BA104:BA105"/>
    <mergeCell ref="BB104:BB105"/>
    <mergeCell ref="BC104:BC105"/>
    <mergeCell ref="BD104:BD105"/>
    <mergeCell ref="BF106:BF107"/>
    <mergeCell ref="BG106:BG107"/>
    <mergeCell ref="AV106:AV107"/>
    <mergeCell ref="AW106:AW107"/>
    <mergeCell ref="AX106:AX107"/>
    <mergeCell ref="AY106:AY107"/>
    <mergeCell ref="AZ106:AZ107"/>
    <mergeCell ref="BA106:BA107"/>
    <mergeCell ref="BE104:BE105"/>
    <mergeCell ref="BF104:BF105"/>
    <mergeCell ref="BG104:BG105"/>
    <mergeCell ref="AU102:AU103"/>
    <mergeCell ref="AV102:AV103"/>
    <mergeCell ref="AW102:AW103"/>
    <mergeCell ref="AX102:AX103"/>
    <mergeCell ref="AY102:AY103"/>
    <mergeCell ref="AZ102:AZ103"/>
    <mergeCell ref="BA102:BA103"/>
    <mergeCell ref="BB102:BB103"/>
    <mergeCell ref="BC102:BC103"/>
    <mergeCell ref="BD102:BD103"/>
    <mergeCell ref="BE102:BE103"/>
    <mergeCell ref="BF102:BF103"/>
    <mergeCell ref="BG102:BG103"/>
    <mergeCell ref="A104:A105"/>
    <mergeCell ref="B104:B105"/>
    <mergeCell ref="C104:C105"/>
    <mergeCell ref="D104:D105"/>
    <mergeCell ref="E104:E105"/>
    <mergeCell ref="F104:F105"/>
    <mergeCell ref="G104:G105"/>
    <mergeCell ref="H104:H105"/>
    <mergeCell ref="I104:I105"/>
    <mergeCell ref="J104:J105"/>
    <mergeCell ref="N104:N105"/>
    <mergeCell ref="Q104:Q105"/>
    <mergeCell ref="R104:R105"/>
    <mergeCell ref="S104:S105"/>
    <mergeCell ref="T104:T105"/>
    <mergeCell ref="U104:U105"/>
    <mergeCell ref="V104:V105"/>
    <mergeCell ref="AQ104:AQ105"/>
    <mergeCell ref="AR104:AR105"/>
    <mergeCell ref="W104:W105"/>
    <mergeCell ref="X104:X105"/>
    <mergeCell ref="AD102:AD103"/>
    <mergeCell ref="AE102:AE103"/>
    <mergeCell ref="AF102:AF103"/>
    <mergeCell ref="AG102:AG103"/>
    <mergeCell ref="AH102:AH103"/>
    <mergeCell ref="AI102:AI103"/>
    <mergeCell ref="AJ102:AJ103"/>
    <mergeCell ref="AK102:AK103"/>
    <mergeCell ref="AL102:AL103"/>
    <mergeCell ref="AM102:AM103"/>
    <mergeCell ref="AN102:AN103"/>
    <mergeCell ref="AO102:AO103"/>
    <mergeCell ref="AP102:AP103"/>
    <mergeCell ref="AQ102:AQ103"/>
    <mergeCell ref="AR102:AR103"/>
    <mergeCell ref="AB102:AB103"/>
    <mergeCell ref="AC102:AC103"/>
    <mergeCell ref="AN104:AN105"/>
    <mergeCell ref="AO104:AO105"/>
    <mergeCell ref="AS102:AS103"/>
    <mergeCell ref="AT102:AT103"/>
    <mergeCell ref="AZ100:AZ101"/>
    <mergeCell ref="BA100:BA101"/>
    <mergeCell ref="BB100:BB101"/>
    <mergeCell ref="BC100:BC101"/>
    <mergeCell ref="BD100:BD101"/>
    <mergeCell ref="BE100:BE101"/>
    <mergeCell ref="BF100:BF101"/>
    <mergeCell ref="BG100:BG101"/>
    <mergeCell ref="A102:A103"/>
    <mergeCell ref="B102:B103"/>
    <mergeCell ref="C102:C103"/>
    <mergeCell ref="D102:D103"/>
    <mergeCell ref="E102:E103"/>
    <mergeCell ref="F102:F103"/>
    <mergeCell ref="G102:G103"/>
    <mergeCell ref="H102:H103"/>
    <mergeCell ref="I102:I103"/>
    <mergeCell ref="J102:J103"/>
    <mergeCell ref="N102:N103"/>
    <mergeCell ref="Q102:Q103"/>
    <mergeCell ref="R102:R103"/>
    <mergeCell ref="S102:S103"/>
    <mergeCell ref="T102:T103"/>
    <mergeCell ref="U102:U103"/>
    <mergeCell ref="V102:V103"/>
    <mergeCell ref="W102:W103"/>
    <mergeCell ref="X102:X103"/>
    <mergeCell ref="Y102:Y103"/>
    <mergeCell ref="Z102:Z103"/>
    <mergeCell ref="AA102:AA103"/>
    <mergeCell ref="AI100:AI101"/>
    <mergeCell ref="AJ100:AJ101"/>
    <mergeCell ref="AK100:AK101"/>
    <mergeCell ref="AL100:AL101"/>
    <mergeCell ref="AM100:AM101"/>
    <mergeCell ref="AN100:AN101"/>
    <mergeCell ref="AO100:AO101"/>
    <mergeCell ref="AP100:AP101"/>
    <mergeCell ref="AQ100:AQ101"/>
    <mergeCell ref="AR100:AR101"/>
    <mergeCell ref="AS100:AS101"/>
    <mergeCell ref="AT100:AT101"/>
    <mergeCell ref="AU100:AU101"/>
    <mergeCell ref="AV100:AV101"/>
    <mergeCell ref="AW100:AW101"/>
    <mergeCell ref="AX100:AX101"/>
    <mergeCell ref="AY100:AY101"/>
    <mergeCell ref="BF97:BF98"/>
    <mergeCell ref="BG97:BG98"/>
    <mergeCell ref="A99:I99"/>
    <mergeCell ref="A100:A101"/>
    <mergeCell ref="B100:B101"/>
    <mergeCell ref="C100:C101"/>
    <mergeCell ref="D100:D101"/>
    <mergeCell ref="E100:E101"/>
    <mergeCell ref="F100:F101"/>
    <mergeCell ref="G100:G101"/>
    <mergeCell ref="H100:H101"/>
    <mergeCell ref="I100:I101"/>
    <mergeCell ref="J100:J101"/>
    <mergeCell ref="N100:N101"/>
    <mergeCell ref="Q100:Q101"/>
    <mergeCell ref="R100:R101"/>
    <mergeCell ref="S100:S101"/>
    <mergeCell ref="T100:T101"/>
    <mergeCell ref="U100:U101"/>
    <mergeCell ref="V100:V101"/>
    <mergeCell ref="W100:W101"/>
    <mergeCell ref="X100:X101"/>
    <mergeCell ref="Y100:Y101"/>
    <mergeCell ref="Z100:Z101"/>
    <mergeCell ref="AA100:AA101"/>
    <mergeCell ref="AB100:AB101"/>
    <mergeCell ref="AC100:AC101"/>
    <mergeCell ref="AD100:AD101"/>
    <mergeCell ref="AE100:AE101"/>
    <mergeCell ref="AF100:AF101"/>
    <mergeCell ref="AG100:AG101"/>
    <mergeCell ref="AH100:AH101"/>
    <mergeCell ref="AO97:AO98"/>
    <mergeCell ref="AP97:AP98"/>
    <mergeCell ref="AQ97:AQ98"/>
    <mergeCell ref="AR97:AR98"/>
    <mergeCell ref="AS97:AS98"/>
    <mergeCell ref="AT97:AT98"/>
    <mergeCell ref="AU97:AU98"/>
    <mergeCell ref="AV97:AV98"/>
    <mergeCell ref="AW97:AW98"/>
    <mergeCell ref="AX97:AX98"/>
    <mergeCell ref="AY97:AY98"/>
    <mergeCell ref="AZ97:AZ98"/>
    <mergeCell ref="BA97:BA98"/>
    <mergeCell ref="BB97:BB98"/>
    <mergeCell ref="BC97:BC98"/>
    <mergeCell ref="BD97:BD98"/>
    <mergeCell ref="BE97:BE98"/>
    <mergeCell ref="X97:X98"/>
    <mergeCell ref="Y97:Y98"/>
    <mergeCell ref="Z97:Z98"/>
    <mergeCell ref="AA97:AA98"/>
    <mergeCell ref="AB97:AB98"/>
    <mergeCell ref="AC97:AC98"/>
    <mergeCell ref="AD97:AD98"/>
    <mergeCell ref="AE97:AE98"/>
    <mergeCell ref="AF97:AF98"/>
    <mergeCell ref="AG97:AG98"/>
    <mergeCell ref="AH97:AH98"/>
    <mergeCell ref="AI97:AI98"/>
    <mergeCell ref="AJ97:AJ98"/>
    <mergeCell ref="AK97:AK98"/>
    <mergeCell ref="AL97:AL98"/>
    <mergeCell ref="AM97:AM98"/>
    <mergeCell ref="AN97:AN98"/>
    <mergeCell ref="AT95:AT96"/>
    <mergeCell ref="AU95:AU96"/>
    <mergeCell ref="AV95:AV96"/>
    <mergeCell ref="AW95:AW96"/>
    <mergeCell ref="AX95:AX96"/>
    <mergeCell ref="AY95:AY96"/>
    <mergeCell ref="AZ95:AZ96"/>
    <mergeCell ref="BA95:BA96"/>
    <mergeCell ref="BB95:BB96"/>
    <mergeCell ref="BC95:BC96"/>
    <mergeCell ref="BD95:BD96"/>
    <mergeCell ref="BE95:BE96"/>
    <mergeCell ref="BF95:BF96"/>
    <mergeCell ref="BG95:BG96"/>
    <mergeCell ref="A97:A98"/>
    <mergeCell ref="B97:B98"/>
    <mergeCell ref="C97:C98"/>
    <mergeCell ref="D97:D98"/>
    <mergeCell ref="E97:E98"/>
    <mergeCell ref="F97:F98"/>
    <mergeCell ref="G97:G98"/>
    <mergeCell ref="H97:H98"/>
    <mergeCell ref="I97:I98"/>
    <mergeCell ref="J97:J98"/>
    <mergeCell ref="N97:N98"/>
    <mergeCell ref="Q97:Q98"/>
    <mergeCell ref="R97:R98"/>
    <mergeCell ref="S97:S98"/>
    <mergeCell ref="T97:T98"/>
    <mergeCell ref="U97:U98"/>
    <mergeCell ref="V97:V98"/>
    <mergeCell ref="W97:W98"/>
    <mergeCell ref="AC95:AC96"/>
    <mergeCell ref="AD95:AD96"/>
    <mergeCell ref="AE95:AE96"/>
    <mergeCell ref="AF95:AF96"/>
    <mergeCell ref="AG95:AG96"/>
    <mergeCell ref="AH95:AH96"/>
    <mergeCell ref="AI95:AI96"/>
    <mergeCell ref="AJ95:AJ96"/>
    <mergeCell ref="AK95:AK96"/>
    <mergeCell ref="AL95:AL96"/>
    <mergeCell ref="AM95:AM96"/>
    <mergeCell ref="AN95:AN96"/>
    <mergeCell ref="AO95:AO96"/>
    <mergeCell ref="AP95:AP96"/>
    <mergeCell ref="AQ95:AQ96"/>
    <mergeCell ref="AR95:AR96"/>
    <mergeCell ref="AS95:AS96"/>
    <mergeCell ref="AY93:AY94"/>
    <mergeCell ref="AZ93:AZ94"/>
    <mergeCell ref="BA93:BA94"/>
    <mergeCell ref="BB93:BB94"/>
    <mergeCell ref="BC93:BC94"/>
    <mergeCell ref="BD93:BD94"/>
    <mergeCell ref="BE93:BE94"/>
    <mergeCell ref="BF93:BF94"/>
    <mergeCell ref="BG93:BG94"/>
    <mergeCell ref="A95:A96"/>
    <mergeCell ref="B95:B96"/>
    <mergeCell ref="C95:C96"/>
    <mergeCell ref="D95:D96"/>
    <mergeCell ref="E95:E96"/>
    <mergeCell ref="F95:F96"/>
    <mergeCell ref="G95:G96"/>
    <mergeCell ref="H95:H96"/>
    <mergeCell ref="I95:I96"/>
    <mergeCell ref="J95:J96"/>
    <mergeCell ref="N95:N96"/>
    <mergeCell ref="Q95:Q96"/>
    <mergeCell ref="R95:R96"/>
    <mergeCell ref="S95:S96"/>
    <mergeCell ref="T95:T96"/>
    <mergeCell ref="U95:U96"/>
    <mergeCell ref="V95:V96"/>
    <mergeCell ref="W95:W96"/>
    <mergeCell ref="X95:X96"/>
    <mergeCell ref="Y95:Y96"/>
    <mergeCell ref="Z95:Z96"/>
    <mergeCell ref="AA95:AA96"/>
    <mergeCell ref="AB95:AB96"/>
    <mergeCell ref="AH93:AH94"/>
    <mergeCell ref="AI93:AI94"/>
    <mergeCell ref="AJ93:AJ94"/>
    <mergeCell ref="AK93:AK94"/>
    <mergeCell ref="AL93:AL94"/>
    <mergeCell ref="AM93:AM94"/>
    <mergeCell ref="AN93:AN94"/>
    <mergeCell ref="AO93:AO94"/>
    <mergeCell ref="AP93:AP94"/>
    <mergeCell ref="AQ93:AQ94"/>
    <mergeCell ref="AR93:AR94"/>
    <mergeCell ref="AS93:AS94"/>
    <mergeCell ref="AT93:AT94"/>
    <mergeCell ref="AU93:AU94"/>
    <mergeCell ref="AV93:AV94"/>
    <mergeCell ref="AW93:AW94"/>
    <mergeCell ref="AX93:AX94"/>
    <mergeCell ref="BD91:BD92"/>
    <mergeCell ref="BE91:BE92"/>
    <mergeCell ref="BF91:BF92"/>
    <mergeCell ref="BG91:BG92"/>
    <mergeCell ref="A93:A94"/>
    <mergeCell ref="B93:B94"/>
    <mergeCell ref="C93:C94"/>
    <mergeCell ref="D93:D94"/>
    <mergeCell ref="E93:E94"/>
    <mergeCell ref="F93:F94"/>
    <mergeCell ref="G93:G94"/>
    <mergeCell ref="H93:H94"/>
    <mergeCell ref="I93:I94"/>
    <mergeCell ref="J93:J94"/>
    <mergeCell ref="N93:N94"/>
    <mergeCell ref="Q93:Q94"/>
    <mergeCell ref="R93:R94"/>
    <mergeCell ref="S93:S94"/>
    <mergeCell ref="T93:T94"/>
    <mergeCell ref="U93:U94"/>
    <mergeCell ref="V93:V94"/>
    <mergeCell ref="W93:W94"/>
    <mergeCell ref="X93:X94"/>
    <mergeCell ref="Y93:Y94"/>
    <mergeCell ref="Z93:Z94"/>
    <mergeCell ref="AA93:AA94"/>
    <mergeCell ref="AB93:AB94"/>
    <mergeCell ref="AC93:AC94"/>
    <mergeCell ref="AD93:AD94"/>
    <mergeCell ref="AE93:AE94"/>
    <mergeCell ref="AF93:AF94"/>
    <mergeCell ref="AG93:AG94"/>
    <mergeCell ref="AM91:AM92"/>
    <mergeCell ref="AN91:AN92"/>
    <mergeCell ref="AO91:AO92"/>
    <mergeCell ref="AP91:AP92"/>
    <mergeCell ref="AQ91:AQ92"/>
    <mergeCell ref="AR91:AR92"/>
    <mergeCell ref="AS91:AS92"/>
    <mergeCell ref="AT91:AT92"/>
    <mergeCell ref="AU91:AU92"/>
    <mergeCell ref="AV91:AV92"/>
    <mergeCell ref="AW91:AW92"/>
    <mergeCell ref="AX91:AX92"/>
    <mergeCell ref="AY91:AY92"/>
    <mergeCell ref="AZ91:AZ92"/>
    <mergeCell ref="BA91:BA92"/>
    <mergeCell ref="BB91:BB92"/>
    <mergeCell ref="BC91:BC92"/>
    <mergeCell ref="V91:V92"/>
    <mergeCell ref="W91:W92"/>
    <mergeCell ref="X91:X92"/>
    <mergeCell ref="Y91:Y92"/>
    <mergeCell ref="Z91:Z92"/>
    <mergeCell ref="AA91:AA92"/>
    <mergeCell ref="AB91:AB92"/>
    <mergeCell ref="AC91:AC92"/>
    <mergeCell ref="AD91:AD92"/>
    <mergeCell ref="AE91:AE92"/>
    <mergeCell ref="AF91:AF92"/>
    <mergeCell ref="AG91:AG92"/>
    <mergeCell ref="AH91:AH92"/>
    <mergeCell ref="AI91:AI92"/>
    <mergeCell ref="AJ91:AJ92"/>
    <mergeCell ref="AK91:AK92"/>
    <mergeCell ref="AL91:AL92"/>
    <mergeCell ref="A90:I90"/>
    <mergeCell ref="A91:A92"/>
    <mergeCell ref="B91:B92"/>
    <mergeCell ref="C91:C92"/>
    <mergeCell ref="D91:D92"/>
    <mergeCell ref="E91:E92"/>
    <mergeCell ref="F91:F92"/>
    <mergeCell ref="G91:G92"/>
    <mergeCell ref="H91:H92"/>
    <mergeCell ref="I91:I92"/>
    <mergeCell ref="J91:J92"/>
    <mergeCell ref="N91:N92"/>
    <mergeCell ref="Q91:Q92"/>
    <mergeCell ref="R91:R92"/>
    <mergeCell ref="S91:S92"/>
    <mergeCell ref="T91:T92"/>
    <mergeCell ref="U91:U92"/>
    <mergeCell ref="Z88:Z89"/>
    <mergeCell ref="BC88:BC89"/>
    <mergeCell ref="BD88:BD89"/>
    <mergeCell ref="BE88:BE89"/>
    <mergeCell ref="AP88:AP89"/>
    <mergeCell ref="AQ88:AQ89"/>
    <mergeCell ref="AR88:AR89"/>
    <mergeCell ref="AS88:AS89"/>
    <mergeCell ref="AD88:AD89"/>
    <mergeCell ref="AE88:AE89"/>
    <mergeCell ref="AF88:AF89"/>
    <mergeCell ref="AG88:AG89"/>
    <mergeCell ref="AH88:AH89"/>
    <mergeCell ref="AI88:AI89"/>
    <mergeCell ref="BB88:BB89"/>
    <mergeCell ref="AJ88:AJ89"/>
    <mergeCell ref="AK88:AK89"/>
    <mergeCell ref="AL88:AL89"/>
    <mergeCell ref="AM88:AM89"/>
    <mergeCell ref="AN88:AN89"/>
    <mergeCell ref="AO88:AO89"/>
    <mergeCell ref="AT88:AT89"/>
    <mergeCell ref="AU88:AU89"/>
    <mergeCell ref="BG86:BG87"/>
    <mergeCell ref="A88:A89"/>
    <mergeCell ref="B88:B89"/>
    <mergeCell ref="C88:C89"/>
    <mergeCell ref="D88:D89"/>
    <mergeCell ref="E88:E89"/>
    <mergeCell ref="F88:F89"/>
    <mergeCell ref="G88:G89"/>
    <mergeCell ref="H88:H89"/>
    <mergeCell ref="I88:I89"/>
    <mergeCell ref="J88:J89"/>
    <mergeCell ref="N88:N89"/>
    <mergeCell ref="Q88:Q89"/>
    <mergeCell ref="AA88:AA89"/>
    <mergeCell ref="AB88:AB89"/>
    <mergeCell ref="AC88:AC89"/>
    <mergeCell ref="R88:R89"/>
    <mergeCell ref="S88:S89"/>
    <mergeCell ref="T88:T89"/>
    <mergeCell ref="U88:U89"/>
    <mergeCell ref="V88:V89"/>
    <mergeCell ref="W88:W89"/>
    <mergeCell ref="BF88:BF89"/>
    <mergeCell ref="BG88:BG89"/>
    <mergeCell ref="AV88:AV89"/>
    <mergeCell ref="AW88:AW89"/>
    <mergeCell ref="AX88:AX89"/>
    <mergeCell ref="AY88:AY89"/>
    <mergeCell ref="AZ88:AZ89"/>
    <mergeCell ref="BA88:BA89"/>
    <mergeCell ref="X88:X89"/>
    <mergeCell ref="Y88:Y89"/>
    <mergeCell ref="AP86:AP87"/>
    <mergeCell ref="AQ86:AQ87"/>
    <mergeCell ref="AR86:AR87"/>
    <mergeCell ref="AS86:AS87"/>
    <mergeCell ref="AT86:AT87"/>
    <mergeCell ref="AU86:AU87"/>
    <mergeCell ref="AV86:AV87"/>
    <mergeCell ref="AW86:AW87"/>
    <mergeCell ref="AX86:AX87"/>
    <mergeCell ref="AY86:AY87"/>
    <mergeCell ref="AZ86:AZ87"/>
    <mergeCell ref="BA86:BA87"/>
    <mergeCell ref="BB86:BB87"/>
    <mergeCell ref="BC86:BC87"/>
    <mergeCell ref="BD86:BD87"/>
    <mergeCell ref="BE86:BE87"/>
    <mergeCell ref="BF86:BF87"/>
    <mergeCell ref="Y86:Y87"/>
    <mergeCell ref="Z86:Z87"/>
    <mergeCell ref="AA86:AA87"/>
    <mergeCell ref="AB86:AB87"/>
    <mergeCell ref="AC86:AC87"/>
    <mergeCell ref="AD86:AD87"/>
    <mergeCell ref="AE86:AE87"/>
    <mergeCell ref="AF86:AF87"/>
    <mergeCell ref="AG86:AG87"/>
    <mergeCell ref="AH86:AH87"/>
    <mergeCell ref="AI86:AI87"/>
    <mergeCell ref="AJ86:AJ87"/>
    <mergeCell ref="AK86:AK87"/>
    <mergeCell ref="AL86:AL87"/>
    <mergeCell ref="AM86:AM87"/>
    <mergeCell ref="AN86:AN87"/>
    <mergeCell ref="AO86:AO87"/>
    <mergeCell ref="AU84:AU85"/>
    <mergeCell ref="AV84:AV85"/>
    <mergeCell ref="AW84:AW85"/>
    <mergeCell ref="AX84:AX85"/>
    <mergeCell ref="AY84:AY85"/>
    <mergeCell ref="AZ84:AZ85"/>
    <mergeCell ref="BA84:BA85"/>
    <mergeCell ref="BB84:BB85"/>
    <mergeCell ref="BC84:BC85"/>
    <mergeCell ref="BD84:BD85"/>
    <mergeCell ref="BE84:BE85"/>
    <mergeCell ref="BF84:BF85"/>
    <mergeCell ref="BG84:BG85"/>
    <mergeCell ref="A86:A87"/>
    <mergeCell ref="B86:B87"/>
    <mergeCell ref="C86:C87"/>
    <mergeCell ref="D86:D87"/>
    <mergeCell ref="E86:E87"/>
    <mergeCell ref="F86:F87"/>
    <mergeCell ref="G86:G87"/>
    <mergeCell ref="H86:H87"/>
    <mergeCell ref="I86:I87"/>
    <mergeCell ref="J86:J87"/>
    <mergeCell ref="N86:N87"/>
    <mergeCell ref="Q86:Q87"/>
    <mergeCell ref="R86:R87"/>
    <mergeCell ref="S86:S87"/>
    <mergeCell ref="T86:T87"/>
    <mergeCell ref="U86:U87"/>
    <mergeCell ref="V86:V87"/>
    <mergeCell ref="W86:W87"/>
    <mergeCell ref="X86:X87"/>
    <mergeCell ref="AD84:AD85"/>
    <mergeCell ref="AE84:AE85"/>
    <mergeCell ref="AF84:AF85"/>
    <mergeCell ref="AG84:AG85"/>
    <mergeCell ref="AH84:AH85"/>
    <mergeCell ref="AI84:AI85"/>
    <mergeCell ref="AJ84:AJ85"/>
    <mergeCell ref="AK84:AK85"/>
    <mergeCell ref="AL84:AL85"/>
    <mergeCell ref="AM84:AM85"/>
    <mergeCell ref="AN84:AN85"/>
    <mergeCell ref="AO84:AO85"/>
    <mergeCell ref="AP84:AP85"/>
    <mergeCell ref="AQ84:AQ85"/>
    <mergeCell ref="AR84:AR85"/>
    <mergeCell ref="AS84:AS85"/>
    <mergeCell ref="AT84:AT85"/>
    <mergeCell ref="AZ82:AZ83"/>
    <mergeCell ref="BA82:BA83"/>
    <mergeCell ref="BB82:BB83"/>
    <mergeCell ref="BC82:BC83"/>
    <mergeCell ref="BD82:BD83"/>
    <mergeCell ref="BE82:BE83"/>
    <mergeCell ref="BF82:BF83"/>
    <mergeCell ref="BG82:BG83"/>
    <mergeCell ref="A84:A85"/>
    <mergeCell ref="B84:B85"/>
    <mergeCell ref="C84:C85"/>
    <mergeCell ref="D84:D85"/>
    <mergeCell ref="E84:E85"/>
    <mergeCell ref="F84:F85"/>
    <mergeCell ref="G84:G85"/>
    <mergeCell ref="H84:H85"/>
    <mergeCell ref="I84:I85"/>
    <mergeCell ref="J84:J85"/>
    <mergeCell ref="N84:N85"/>
    <mergeCell ref="Q84:Q85"/>
    <mergeCell ref="R84:R85"/>
    <mergeCell ref="S84:S85"/>
    <mergeCell ref="T84:T85"/>
    <mergeCell ref="U84:U85"/>
    <mergeCell ref="V84:V85"/>
    <mergeCell ref="W84:W85"/>
    <mergeCell ref="X84:X85"/>
    <mergeCell ref="Y84:Y85"/>
    <mergeCell ref="Z84:Z85"/>
    <mergeCell ref="AA84:AA85"/>
    <mergeCell ref="AB84:AB85"/>
    <mergeCell ref="AC84:AC85"/>
    <mergeCell ref="AI82:AI83"/>
    <mergeCell ref="AJ82:AJ83"/>
    <mergeCell ref="AK82:AK83"/>
    <mergeCell ref="AL82:AL83"/>
    <mergeCell ref="AM82:AM83"/>
    <mergeCell ref="AN82:AN83"/>
    <mergeCell ref="AO82:AO83"/>
    <mergeCell ref="AP82:AP83"/>
    <mergeCell ref="AQ82:AQ83"/>
    <mergeCell ref="AR82:AR83"/>
    <mergeCell ref="AS82:AS83"/>
    <mergeCell ref="AT82:AT83"/>
    <mergeCell ref="AU82:AU83"/>
    <mergeCell ref="AV82:AV83"/>
    <mergeCell ref="AW82:AW83"/>
    <mergeCell ref="AX82:AX83"/>
    <mergeCell ref="AY82:AY83"/>
    <mergeCell ref="BE80:BE81"/>
    <mergeCell ref="BF80:BF81"/>
    <mergeCell ref="BG80:BG81"/>
    <mergeCell ref="A82:A83"/>
    <mergeCell ref="B82:B83"/>
    <mergeCell ref="C82:C83"/>
    <mergeCell ref="D82:D83"/>
    <mergeCell ref="E82:E83"/>
    <mergeCell ref="F82:F83"/>
    <mergeCell ref="G82:G83"/>
    <mergeCell ref="H82:H83"/>
    <mergeCell ref="I82:I83"/>
    <mergeCell ref="J82:J83"/>
    <mergeCell ref="N82:N83"/>
    <mergeCell ref="Q82:Q83"/>
    <mergeCell ref="R82:R83"/>
    <mergeCell ref="S82:S83"/>
    <mergeCell ref="T82:T83"/>
    <mergeCell ref="U82:U83"/>
    <mergeCell ref="V82:V83"/>
    <mergeCell ref="W82:W83"/>
    <mergeCell ref="X82:X83"/>
    <mergeCell ref="Y82:Y83"/>
    <mergeCell ref="Z82:Z83"/>
    <mergeCell ref="AA82:AA83"/>
    <mergeCell ref="AB82:AB83"/>
    <mergeCell ref="AC82:AC83"/>
    <mergeCell ref="AD82:AD83"/>
    <mergeCell ref="AE82:AE83"/>
    <mergeCell ref="AF82:AF83"/>
    <mergeCell ref="AG82:AG83"/>
    <mergeCell ref="AH82:AH83"/>
    <mergeCell ref="AN80:AN81"/>
    <mergeCell ref="AO80:AO81"/>
    <mergeCell ref="AP80:AP81"/>
    <mergeCell ref="AQ80:AQ81"/>
    <mergeCell ref="AR80:AR81"/>
    <mergeCell ref="AS80:AS81"/>
    <mergeCell ref="AT80:AT81"/>
    <mergeCell ref="AU80:AU81"/>
    <mergeCell ref="AV80:AV81"/>
    <mergeCell ref="AW80:AW81"/>
    <mergeCell ref="AX80:AX81"/>
    <mergeCell ref="AY80:AY81"/>
    <mergeCell ref="AZ80:AZ81"/>
    <mergeCell ref="BA80:BA81"/>
    <mergeCell ref="BB80:BB81"/>
    <mergeCell ref="BC80:BC81"/>
    <mergeCell ref="BD80:BD81"/>
    <mergeCell ref="W80:W81"/>
    <mergeCell ref="X80:X81"/>
    <mergeCell ref="Y80:Y81"/>
    <mergeCell ref="Z80:Z81"/>
    <mergeCell ref="AA80:AA81"/>
    <mergeCell ref="AB80:AB81"/>
    <mergeCell ref="AC80:AC81"/>
    <mergeCell ref="AD80:AD81"/>
    <mergeCell ref="AE80:AE81"/>
    <mergeCell ref="AF80:AF81"/>
    <mergeCell ref="AG80:AG81"/>
    <mergeCell ref="AH80:AH81"/>
    <mergeCell ref="AI80:AI81"/>
    <mergeCell ref="AJ80:AJ81"/>
    <mergeCell ref="AK80:AK81"/>
    <mergeCell ref="AL80:AL81"/>
    <mergeCell ref="AM80:AM81"/>
    <mergeCell ref="AT77:AT78"/>
    <mergeCell ref="AU77:AU78"/>
    <mergeCell ref="AV77:AV78"/>
    <mergeCell ref="AW77:AW78"/>
    <mergeCell ref="AX77:AX78"/>
    <mergeCell ref="AY77:AY78"/>
    <mergeCell ref="AZ77:AZ78"/>
    <mergeCell ref="BA77:BA78"/>
    <mergeCell ref="BB77:BB78"/>
    <mergeCell ref="BC77:BC78"/>
    <mergeCell ref="BD77:BD78"/>
    <mergeCell ref="BE77:BE78"/>
    <mergeCell ref="BF77:BF78"/>
    <mergeCell ref="BG77:BG78"/>
    <mergeCell ref="A79:I79"/>
    <mergeCell ref="A80:A81"/>
    <mergeCell ref="B80:B81"/>
    <mergeCell ref="C80:C81"/>
    <mergeCell ref="D80:D81"/>
    <mergeCell ref="E80:E81"/>
    <mergeCell ref="F80:F81"/>
    <mergeCell ref="G80:G81"/>
    <mergeCell ref="H80:H81"/>
    <mergeCell ref="I80:I81"/>
    <mergeCell ref="J80:J81"/>
    <mergeCell ref="N80:N81"/>
    <mergeCell ref="Q80:Q81"/>
    <mergeCell ref="R80:R81"/>
    <mergeCell ref="S80:S81"/>
    <mergeCell ref="T80:T81"/>
    <mergeCell ref="U80:U81"/>
    <mergeCell ref="V80:V81"/>
    <mergeCell ref="AC77:AC78"/>
    <mergeCell ref="AD77:AD78"/>
    <mergeCell ref="AE77:AE78"/>
    <mergeCell ref="AF77:AF78"/>
    <mergeCell ref="AG77:AG78"/>
    <mergeCell ref="AH77:AH78"/>
    <mergeCell ref="AI77:AI78"/>
    <mergeCell ref="AJ77:AJ78"/>
    <mergeCell ref="AK77:AK78"/>
    <mergeCell ref="AL77:AL78"/>
    <mergeCell ref="AM77:AM78"/>
    <mergeCell ref="AN77:AN78"/>
    <mergeCell ref="AO77:AO78"/>
    <mergeCell ref="AP77:AP78"/>
    <mergeCell ref="AQ77:AQ78"/>
    <mergeCell ref="AR77:AR78"/>
    <mergeCell ref="AS77:AS78"/>
    <mergeCell ref="AY75:AY76"/>
    <mergeCell ref="AZ75:AZ76"/>
    <mergeCell ref="BA75:BA76"/>
    <mergeCell ref="BB75:BB76"/>
    <mergeCell ref="BC75:BC76"/>
    <mergeCell ref="BD75:BD76"/>
    <mergeCell ref="BE75:BE76"/>
    <mergeCell ref="BF75:BF76"/>
    <mergeCell ref="BG75:BG76"/>
    <mergeCell ref="A77:A78"/>
    <mergeCell ref="B77:B78"/>
    <mergeCell ref="C77:C78"/>
    <mergeCell ref="D77:D78"/>
    <mergeCell ref="E77:E78"/>
    <mergeCell ref="F77:F78"/>
    <mergeCell ref="G77:G78"/>
    <mergeCell ref="H77:H78"/>
    <mergeCell ref="I77:I78"/>
    <mergeCell ref="J77:J78"/>
    <mergeCell ref="N77:N78"/>
    <mergeCell ref="Q77:Q78"/>
    <mergeCell ref="R77:R78"/>
    <mergeCell ref="S77:S78"/>
    <mergeCell ref="T77:T78"/>
    <mergeCell ref="U77:U78"/>
    <mergeCell ref="V77:V78"/>
    <mergeCell ref="W77:W78"/>
    <mergeCell ref="X77:X78"/>
    <mergeCell ref="Y77:Y78"/>
    <mergeCell ref="Z77:Z78"/>
    <mergeCell ref="AA77:AA78"/>
    <mergeCell ref="AB77:AB78"/>
    <mergeCell ref="AH75:AH76"/>
    <mergeCell ref="AI75:AI76"/>
    <mergeCell ref="AJ75:AJ76"/>
    <mergeCell ref="AK75:AK76"/>
    <mergeCell ref="AL75:AL76"/>
    <mergeCell ref="AM75:AM76"/>
    <mergeCell ref="AN75:AN76"/>
    <mergeCell ref="AO75:AO76"/>
    <mergeCell ref="AP75:AP76"/>
    <mergeCell ref="AQ75:AQ76"/>
    <mergeCell ref="AR75:AR76"/>
    <mergeCell ref="AS75:AS76"/>
    <mergeCell ref="AT75:AT76"/>
    <mergeCell ref="AU75:AU76"/>
    <mergeCell ref="AV75:AV76"/>
    <mergeCell ref="AW75:AW76"/>
    <mergeCell ref="AX75:AX76"/>
    <mergeCell ref="BD73:BD74"/>
    <mergeCell ref="BE73:BE74"/>
    <mergeCell ref="BF73:BF74"/>
    <mergeCell ref="BG73:BG74"/>
    <mergeCell ref="A75:A76"/>
    <mergeCell ref="B75:B76"/>
    <mergeCell ref="C75:C76"/>
    <mergeCell ref="D75:D76"/>
    <mergeCell ref="E75:E76"/>
    <mergeCell ref="F75:F76"/>
    <mergeCell ref="G75:G76"/>
    <mergeCell ref="H75:H76"/>
    <mergeCell ref="I75:I76"/>
    <mergeCell ref="J75:J76"/>
    <mergeCell ref="N75:N76"/>
    <mergeCell ref="Q75:Q76"/>
    <mergeCell ref="R75:R76"/>
    <mergeCell ref="S75:S76"/>
    <mergeCell ref="T75:T76"/>
    <mergeCell ref="U75:U76"/>
    <mergeCell ref="V75:V76"/>
    <mergeCell ref="W75:W76"/>
    <mergeCell ref="X75:X76"/>
    <mergeCell ref="Y75:Y76"/>
    <mergeCell ref="Z75:Z76"/>
    <mergeCell ref="AA75:AA76"/>
    <mergeCell ref="AB75:AB76"/>
    <mergeCell ref="AC75:AC76"/>
    <mergeCell ref="AD75:AD76"/>
    <mergeCell ref="AE75:AE76"/>
    <mergeCell ref="AF75:AF76"/>
    <mergeCell ref="AG75:AG76"/>
    <mergeCell ref="AM73:AM74"/>
    <mergeCell ref="AN73:AN74"/>
    <mergeCell ref="AO73:AO74"/>
    <mergeCell ref="AP73:AP74"/>
    <mergeCell ref="AQ73:AQ74"/>
    <mergeCell ref="AR73:AR74"/>
    <mergeCell ref="AS73:AS74"/>
    <mergeCell ref="AT73:AT74"/>
    <mergeCell ref="AU73:AU74"/>
    <mergeCell ref="AV73:AV74"/>
    <mergeCell ref="AW73:AW74"/>
    <mergeCell ref="AX73:AX74"/>
    <mergeCell ref="AY73:AY74"/>
    <mergeCell ref="AZ73:AZ74"/>
    <mergeCell ref="BA73:BA74"/>
    <mergeCell ref="BB73:BB74"/>
    <mergeCell ref="BC73:BC74"/>
    <mergeCell ref="V73:V74"/>
    <mergeCell ref="W73:W74"/>
    <mergeCell ref="X73:X74"/>
    <mergeCell ref="Y73:Y74"/>
    <mergeCell ref="Z73:Z74"/>
    <mergeCell ref="AA73:AA74"/>
    <mergeCell ref="AB73:AB74"/>
    <mergeCell ref="AC73:AC74"/>
    <mergeCell ref="AD73:AD74"/>
    <mergeCell ref="AE73:AE74"/>
    <mergeCell ref="AF73:AF74"/>
    <mergeCell ref="AG73:AG74"/>
    <mergeCell ref="AH73:AH74"/>
    <mergeCell ref="AI73:AI74"/>
    <mergeCell ref="AJ73:AJ74"/>
    <mergeCell ref="AK73:AK74"/>
    <mergeCell ref="AL73:AL74"/>
    <mergeCell ref="AR71:AR72"/>
    <mergeCell ref="AS71:AS72"/>
    <mergeCell ref="AT71:AT72"/>
    <mergeCell ref="AU71:AU72"/>
    <mergeCell ref="AV71:AV72"/>
    <mergeCell ref="AW71:AW72"/>
    <mergeCell ref="AX71:AX72"/>
    <mergeCell ref="AY71:AY72"/>
    <mergeCell ref="AZ71:AZ72"/>
    <mergeCell ref="BA71:BA72"/>
    <mergeCell ref="BB71:BB72"/>
    <mergeCell ref="BC71:BC72"/>
    <mergeCell ref="BD71:BD72"/>
    <mergeCell ref="BE71:BE72"/>
    <mergeCell ref="BF71:BF72"/>
    <mergeCell ref="BG71:BG72"/>
    <mergeCell ref="A73:A74"/>
    <mergeCell ref="B73:B74"/>
    <mergeCell ref="C73:C74"/>
    <mergeCell ref="D73:D74"/>
    <mergeCell ref="E73:E74"/>
    <mergeCell ref="F73:F74"/>
    <mergeCell ref="G73:G74"/>
    <mergeCell ref="H73:H74"/>
    <mergeCell ref="I73:I74"/>
    <mergeCell ref="J73:J74"/>
    <mergeCell ref="N73:N74"/>
    <mergeCell ref="Q73:Q74"/>
    <mergeCell ref="R73:R74"/>
    <mergeCell ref="S73:S74"/>
    <mergeCell ref="T73:T74"/>
    <mergeCell ref="U73:U74"/>
    <mergeCell ref="AA71:AA72"/>
    <mergeCell ref="AB71:AB72"/>
    <mergeCell ref="AC71:AC72"/>
    <mergeCell ref="AD71:AD72"/>
    <mergeCell ref="AE71:AE72"/>
    <mergeCell ref="AF71:AF72"/>
    <mergeCell ref="AG71:AG72"/>
    <mergeCell ref="AH71:AH72"/>
    <mergeCell ref="AI71:AI72"/>
    <mergeCell ref="AJ71:AJ72"/>
    <mergeCell ref="AK71:AK72"/>
    <mergeCell ref="AL71:AL72"/>
    <mergeCell ref="AM71:AM72"/>
    <mergeCell ref="AN71:AN72"/>
    <mergeCell ref="AO71:AO72"/>
    <mergeCell ref="AP71:AP72"/>
    <mergeCell ref="AQ71:AQ72"/>
    <mergeCell ref="AW69:AW70"/>
    <mergeCell ref="AX69:AX70"/>
    <mergeCell ref="AY69:AY70"/>
    <mergeCell ref="AZ69:AZ70"/>
    <mergeCell ref="BA69:BA70"/>
    <mergeCell ref="BB69:BB70"/>
    <mergeCell ref="BC69:BC70"/>
    <mergeCell ref="BD69:BD70"/>
    <mergeCell ref="BE69:BE70"/>
    <mergeCell ref="BF69:BF70"/>
    <mergeCell ref="BG69:BG70"/>
    <mergeCell ref="A71:A72"/>
    <mergeCell ref="B71:B72"/>
    <mergeCell ref="C71:C72"/>
    <mergeCell ref="D71:D72"/>
    <mergeCell ref="E71:E72"/>
    <mergeCell ref="F71:F72"/>
    <mergeCell ref="G71:G72"/>
    <mergeCell ref="H71:H72"/>
    <mergeCell ref="I71:I72"/>
    <mergeCell ref="J71:J72"/>
    <mergeCell ref="N71:N72"/>
    <mergeCell ref="Q71:Q72"/>
    <mergeCell ref="R71:R72"/>
    <mergeCell ref="S71:S72"/>
    <mergeCell ref="T71:T72"/>
    <mergeCell ref="U71:U72"/>
    <mergeCell ref="V71:V72"/>
    <mergeCell ref="W71:W72"/>
    <mergeCell ref="X71:X72"/>
    <mergeCell ref="Y71:Y72"/>
    <mergeCell ref="Z71:Z72"/>
    <mergeCell ref="AU63:AU64"/>
    <mergeCell ref="AV63:AV64"/>
    <mergeCell ref="S69:S70"/>
    <mergeCell ref="T69:T70"/>
    <mergeCell ref="U69:U70"/>
    <mergeCell ref="V69:V70"/>
    <mergeCell ref="W69:W70"/>
    <mergeCell ref="X69:X70"/>
    <mergeCell ref="Y69:Y70"/>
    <mergeCell ref="Z69:Z70"/>
    <mergeCell ref="AA69:AA70"/>
    <mergeCell ref="AB69:AB70"/>
    <mergeCell ref="AC69:AC70"/>
    <mergeCell ref="AD69:AD70"/>
    <mergeCell ref="AE69:AE70"/>
    <mergeCell ref="AF69:AF70"/>
    <mergeCell ref="AG69:AG70"/>
    <mergeCell ref="AH69:AH70"/>
    <mergeCell ref="AI69:AI70"/>
    <mergeCell ref="AJ69:AJ70"/>
    <mergeCell ref="AK69:AK70"/>
    <mergeCell ref="AL69:AL70"/>
    <mergeCell ref="AM69:AM70"/>
    <mergeCell ref="AN69:AN70"/>
    <mergeCell ref="AO69:AO70"/>
    <mergeCell ref="AP69:AP70"/>
    <mergeCell ref="AQ69:AQ70"/>
    <mergeCell ref="AR69:AR70"/>
    <mergeCell ref="AS69:AS70"/>
    <mergeCell ref="AT69:AT70"/>
    <mergeCell ref="AU69:AU70"/>
    <mergeCell ref="AV69:AV70"/>
    <mergeCell ref="BF63:BF64"/>
    <mergeCell ref="AC63:AC64"/>
    <mergeCell ref="AY63:AY64"/>
    <mergeCell ref="AZ63:AZ64"/>
    <mergeCell ref="BG63:BG64"/>
    <mergeCell ref="A65:I65"/>
    <mergeCell ref="A66:I66"/>
    <mergeCell ref="A67:O67"/>
    <mergeCell ref="U67:U68"/>
    <mergeCell ref="A68:O68"/>
    <mergeCell ref="BA63:BA64"/>
    <mergeCell ref="BB63:BB64"/>
    <mergeCell ref="BC63:BC64"/>
    <mergeCell ref="BD63:BD64"/>
    <mergeCell ref="AE63:AE64"/>
    <mergeCell ref="AF63:AF64"/>
    <mergeCell ref="AG63:AG64"/>
    <mergeCell ref="AH63:AH64"/>
    <mergeCell ref="AI63:AI64"/>
    <mergeCell ref="AJ63:AJ64"/>
    <mergeCell ref="AK63:AK64"/>
    <mergeCell ref="AL63:AL64"/>
    <mergeCell ref="AM63:AM64"/>
    <mergeCell ref="AN63:AN64"/>
    <mergeCell ref="AO63:AO64"/>
    <mergeCell ref="AP63:AP64"/>
    <mergeCell ref="AQ63:AQ64"/>
    <mergeCell ref="AR63:AR64"/>
    <mergeCell ref="AS63:AS64"/>
    <mergeCell ref="BE63:BE64"/>
    <mergeCell ref="AD63:AD64"/>
    <mergeCell ref="AT63:AT64"/>
    <mergeCell ref="AH61:AH62"/>
    <mergeCell ref="AI61:AI62"/>
    <mergeCell ref="BA61:BA62"/>
    <mergeCell ref="BB61:BB62"/>
    <mergeCell ref="BC61:BC62"/>
    <mergeCell ref="BD61:BD62"/>
    <mergeCell ref="BE61:BE62"/>
    <mergeCell ref="BF61:BF62"/>
    <mergeCell ref="BG61:BG62"/>
    <mergeCell ref="A63:A64"/>
    <mergeCell ref="B63:B64"/>
    <mergeCell ref="C63:C64"/>
    <mergeCell ref="D63:D64"/>
    <mergeCell ref="E63:E64"/>
    <mergeCell ref="F63:F64"/>
    <mergeCell ref="G63:G64"/>
    <mergeCell ref="H63:H64"/>
    <mergeCell ref="I63:I64"/>
    <mergeCell ref="J63:J64"/>
    <mergeCell ref="N63:N64"/>
    <mergeCell ref="Q63:Q64"/>
    <mergeCell ref="R63:R64"/>
    <mergeCell ref="S63:S64"/>
    <mergeCell ref="T63:T64"/>
    <mergeCell ref="U63:U64"/>
    <mergeCell ref="V63:V64"/>
    <mergeCell ref="W63:W64"/>
    <mergeCell ref="X63:X64"/>
    <mergeCell ref="Y63:Y64"/>
    <mergeCell ref="Z63:Z64"/>
    <mergeCell ref="AA63:AA64"/>
    <mergeCell ref="AB63:AB64"/>
    <mergeCell ref="AW63:AW64"/>
    <mergeCell ref="AX63:AX64"/>
    <mergeCell ref="AY61:AY62"/>
    <mergeCell ref="AZ61:AZ62"/>
    <mergeCell ref="BF59:BF60"/>
    <mergeCell ref="BG59:BG60"/>
    <mergeCell ref="A61:A62"/>
    <mergeCell ref="B61:B62"/>
    <mergeCell ref="C61:C62"/>
    <mergeCell ref="D61:D62"/>
    <mergeCell ref="E61:E62"/>
    <mergeCell ref="F61:F62"/>
    <mergeCell ref="G61:G62"/>
    <mergeCell ref="H61:H62"/>
    <mergeCell ref="I61:I62"/>
    <mergeCell ref="J61:J62"/>
    <mergeCell ref="N61:N62"/>
    <mergeCell ref="Q61:Q62"/>
    <mergeCell ref="R61:R62"/>
    <mergeCell ref="S61:S62"/>
    <mergeCell ref="T61:T62"/>
    <mergeCell ref="U61:U62"/>
    <mergeCell ref="V61:V62"/>
    <mergeCell ref="W61:W62"/>
    <mergeCell ref="X61:X62"/>
    <mergeCell ref="Y61:Y62"/>
    <mergeCell ref="Z61:Z62"/>
    <mergeCell ref="AA61:AA62"/>
    <mergeCell ref="AB61:AB62"/>
    <mergeCell ref="AC61:AC62"/>
    <mergeCell ref="AD61:AD62"/>
    <mergeCell ref="AE61:AE62"/>
    <mergeCell ref="AF61:AF62"/>
    <mergeCell ref="AG61:AG62"/>
    <mergeCell ref="AO59:AO60"/>
    <mergeCell ref="AP59:AP60"/>
    <mergeCell ref="AQ59:AQ60"/>
    <mergeCell ref="AR59:AR60"/>
    <mergeCell ref="AS59:AS60"/>
    <mergeCell ref="AT59:AT60"/>
    <mergeCell ref="AU59:AU60"/>
    <mergeCell ref="AV59:AV60"/>
    <mergeCell ref="AW59:AW60"/>
    <mergeCell ref="AX59:AX60"/>
    <mergeCell ref="AY59:AY60"/>
    <mergeCell ref="AZ59:AZ60"/>
    <mergeCell ref="BA59:BA60"/>
    <mergeCell ref="BB59:BB60"/>
    <mergeCell ref="BC59:BC60"/>
    <mergeCell ref="AJ61:AJ62"/>
    <mergeCell ref="AK61:AK62"/>
    <mergeCell ref="AL61:AL62"/>
    <mergeCell ref="AM61:AM62"/>
    <mergeCell ref="AN61:AN62"/>
    <mergeCell ref="AO61:AO62"/>
    <mergeCell ref="AP61:AP62"/>
    <mergeCell ref="AQ61:AQ62"/>
    <mergeCell ref="AR61:AR62"/>
    <mergeCell ref="AS61:AS62"/>
    <mergeCell ref="AT61:AT62"/>
    <mergeCell ref="AU61:AU62"/>
    <mergeCell ref="AV61:AV62"/>
    <mergeCell ref="AW61:AW62"/>
    <mergeCell ref="AX61:AX62"/>
    <mergeCell ref="BD59:BD60"/>
    <mergeCell ref="BE59:BE60"/>
    <mergeCell ref="X59:X60"/>
    <mergeCell ref="Y59:Y60"/>
    <mergeCell ref="Z59:Z60"/>
    <mergeCell ref="AA59:AA60"/>
    <mergeCell ref="AB59:AB60"/>
    <mergeCell ref="AC59:AC60"/>
    <mergeCell ref="AD59:AD60"/>
    <mergeCell ref="AE59:AE60"/>
    <mergeCell ref="AF59:AF60"/>
    <mergeCell ref="AG59:AG60"/>
    <mergeCell ref="AH59:AH60"/>
    <mergeCell ref="AI59:AI60"/>
    <mergeCell ref="AJ59:AJ60"/>
    <mergeCell ref="AK59:AK60"/>
    <mergeCell ref="AL59:AL60"/>
    <mergeCell ref="AM59:AM60"/>
    <mergeCell ref="AN59:AN60"/>
    <mergeCell ref="AT57:AT58"/>
    <mergeCell ref="AU57:AU58"/>
    <mergeCell ref="AV57:AV58"/>
    <mergeCell ref="AW57:AW58"/>
    <mergeCell ref="AX57:AX58"/>
    <mergeCell ref="AY57:AY58"/>
    <mergeCell ref="AZ57:AZ58"/>
    <mergeCell ref="BA57:BA58"/>
    <mergeCell ref="BB57:BB58"/>
    <mergeCell ref="BC57:BC58"/>
    <mergeCell ref="BD57:BD58"/>
    <mergeCell ref="BE57:BE58"/>
    <mergeCell ref="BF57:BF58"/>
    <mergeCell ref="BG57:BG58"/>
    <mergeCell ref="A59:A60"/>
    <mergeCell ref="B59:B60"/>
    <mergeCell ref="C59:C60"/>
    <mergeCell ref="D59:D60"/>
    <mergeCell ref="E59:E60"/>
    <mergeCell ref="F59:F60"/>
    <mergeCell ref="G59:G60"/>
    <mergeCell ref="H59:H60"/>
    <mergeCell ref="I59:I60"/>
    <mergeCell ref="J59:J60"/>
    <mergeCell ref="N59:N60"/>
    <mergeCell ref="Q59:Q60"/>
    <mergeCell ref="R59:R60"/>
    <mergeCell ref="S59:S60"/>
    <mergeCell ref="T59:T60"/>
    <mergeCell ref="U59:U60"/>
    <mergeCell ref="V59:V60"/>
    <mergeCell ref="W59:W60"/>
    <mergeCell ref="AC57:AC58"/>
    <mergeCell ref="AD57:AD58"/>
    <mergeCell ref="AE57:AE58"/>
    <mergeCell ref="AF57:AF58"/>
    <mergeCell ref="AG57:AG58"/>
    <mergeCell ref="AH57:AH58"/>
    <mergeCell ref="AI57:AI58"/>
    <mergeCell ref="AJ57:AJ58"/>
    <mergeCell ref="AK57:AK58"/>
    <mergeCell ref="AL57:AL58"/>
    <mergeCell ref="AM57:AM58"/>
    <mergeCell ref="AN57:AN58"/>
    <mergeCell ref="AO57:AO58"/>
    <mergeCell ref="AP57:AP58"/>
    <mergeCell ref="AQ57:AQ58"/>
    <mergeCell ref="AR57:AR58"/>
    <mergeCell ref="AS57:AS58"/>
    <mergeCell ref="AY55:AY56"/>
    <mergeCell ref="AZ55:AZ56"/>
    <mergeCell ref="BA55:BA56"/>
    <mergeCell ref="BB55:BB56"/>
    <mergeCell ref="BC55:BC56"/>
    <mergeCell ref="BD55:BD56"/>
    <mergeCell ref="BE55:BE56"/>
    <mergeCell ref="BF55:BF56"/>
    <mergeCell ref="BG55:BG56"/>
    <mergeCell ref="A57:A58"/>
    <mergeCell ref="B57:B58"/>
    <mergeCell ref="C57:C58"/>
    <mergeCell ref="D57:D58"/>
    <mergeCell ref="E57:E58"/>
    <mergeCell ref="F57:F58"/>
    <mergeCell ref="G57:G58"/>
    <mergeCell ref="H57:H58"/>
    <mergeCell ref="I57:I58"/>
    <mergeCell ref="J57:J58"/>
    <mergeCell ref="N57:N58"/>
    <mergeCell ref="Q57:Q58"/>
    <mergeCell ref="R57:R58"/>
    <mergeCell ref="S57:S58"/>
    <mergeCell ref="T57:T58"/>
    <mergeCell ref="U57:U58"/>
    <mergeCell ref="V57:V58"/>
    <mergeCell ref="W57:W58"/>
    <mergeCell ref="X57:X58"/>
    <mergeCell ref="Y57:Y58"/>
    <mergeCell ref="Z57:Z58"/>
    <mergeCell ref="AA57:AA58"/>
    <mergeCell ref="AB57:AB58"/>
    <mergeCell ref="AH55:AH56"/>
    <mergeCell ref="AI55:AI56"/>
    <mergeCell ref="AJ55:AJ56"/>
    <mergeCell ref="AK55:AK56"/>
    <mergeCell ref="AL55:AL56"/>
    <mergeCell ref="AM55:AM56"/>
    <mergeCell ref="AN55:AN56"/>
    <mergeCell ref="AO55:AO56"/>
    <mergeCell ref="AP55:AP56"/>
    <mergeCell ref="AQ55:AQ56"/>
    <mergeCell ref="AR55:AR56"/>
    <mergeCell ref="AS55:AS56"/>
    <mergeCell ref="AT55:AT56"/>
    <mergeCell ref="AU55:AU56"/>
    <mergeCell ref="AV55:AV56"/>
    <mergeCell ref="AW55:AW56"/>
    <mergeCell ref="AX55:AX56"/>
    <mergeCell ref="BD53:BD54"/>
    <mergeCell ref="BE53:BE54"/>
    <mergeCell ref="BF53:BF54"/>
    <mergeCell ref="BG53:BG54"/>
    <mergeCell ref="A55:A56"/>
    <mergeCell ref="B55:B56"/>
    <mergeCell ref="C55:C56"/>
    <mergeCell ref="D55:D56"/>
    <mergeCell ref="E55:E56"/>
    <mergeCell ref="F55:F56"/>
    <mergeCell ref="G55:G56"/>
    <mergeCell ref="H55:H56"/>
    <mergeCell ref="I55:I56"/>
    <mergeCell ref="J55:J56"/>
    <mergeCell ref="N55:N56"/>
    <mergeCell ref="Q55:Q56"/>
    <mergeCell ref="R55:R56"/>
    <mergeCell ref="S55:S56"/>
    <mergeCell ref="T55:T56"/>
    <mergeCell ref="U55:U56"/>
    <mergeCell ref="V55:V56"/>
    <mergeCell ref="W55:W56"/>
    <mergeCell ref="X55:X56"/>
    <mergeCell ref="Y55:Y56"/>
    <mergeCell ref="Z55:Z56"/>
    <mergeCell ref="AA55:AA56"/>
    <mergeCell ref="AB55:AB56"/>
    <mergeCell ref="AC55:AC56"/>
    <mergeCell ref="AD55:AD56"/>
    <mergeCell ref="AE55:AE56"/>
    <mergeCell ref="AF55:AF56"/>
    <mergeCell ref="AG55:AG56"/>
    <mergeCell ref="AM53:AM54"/>
    <mergeCell ref="AN53:AN54"/>
    <mergeCell ref="AO53:AO54"/>
    <mergeCell ref="AP53:AP54"/>
    <mergeCell ref="AQ53:AQ54"/>
    <mergeCell ref="AR53:AR54"/>
    <mergeCell ref="AS53:AS54"/>
    <mergeCell ref="AT53:AT54"/>
    <mergeCell ref="AU53:AU54"/>
    <mergeCell ref="AV53:AV54"/>
    <mergeCell ref="AW53:AW54"/>
    <mergeCell ref="AX53:AX54"/>
    <mergeCell ref="AY53:AY54"/>
    <mergeCell ref="AZ53:AZ54"/>
    <mergeCell ref="BA53:BA54"/>
    <mergeCell ref="BB53:BB54"/>
    <mergeCell ref="BC53:BC54"/>
    <mergeCell ref="V53:V54"/>
    <mergeCell ref="W53:W54"/>
    <mergeCell ref="X53:X54"/>
    <mergeCell ref="Y53:Y54"/>
    <mergeCell ref="Z53:Z54"/>
    <mergeCell ref="AA53:AA54"/>
    <mergeCell ref="AB53:AB54"/>
    <mergeCell ref="AC53:AC54"/>
    <mergeCell ref="AD53:AD54"/>
    <mergeCell ref="AE53:AE54"/>
    <mergeCell ref="AF53:AF54"/>
    <mergeCell ref="AG53:AG54"/>
    <mergeCell ref="AH53:AH54"/>
    <mergeCell ref="AI53:AI54"/>
    <mergeCell ref="AJ53:AJ54"/>
    <mergeCell ref="AK53:AK54"/>
    <mergeCell ref="AL53:AL54"/>
    <mergeCell ref="A52:I52"/>
    <mergeCell ref="A53:A54"/>
    <mergeCell ref="B53:B54"/>
    <mergeCell ref="C53:C54"/>
    <mergeCell ref="D53:D54"/>
    <mergeCell ref="E53:E54"/>
    <mergeCell ref="F53:F54"/>
    <mergeCell ref="G53:G54"/>
    <mergeCell ref="H53:H54"/>
    <mergeCell ref="I53:I54"/>
    <mergeCell ref="J53:J54"/>
    <mergeCell ref="N53:N54"/>
    <mergeCell ref="Q53:Q54"/>
    <mergeCell ref="R53:R54"/>
    <mergeCell ref="S53:S54"/>
    <mergeCell ref="T53:T54"/>
    <mergeCell ref="U53:U54"/>
    <mergeCell ref="AV50:AV51"/>
    <mergeCell ref="AW50:AW51"/>
    <mergeCell ref="AX50:AX51"/>
    <mergeCell ref="AY50:AY51"/>
    <mergeCell ref="AZ50:AZ51"/>
    <mergeCell ref="BA50:BA51"/>
    <mergeCell ref="X50:X51"/>
    <mergeCell ref="Y50:Y51"/>
    <mergeCell ref="Z50:Z51"/>
    <mergeCell ref="BC50:BC51"/>
    <mergeCell ref="BD50:BD51"/>
    <mergeCell ref="BE50:BE51"/>
    <mergeCell ref="AP50:AP51"/>
    <mergeCell ref="AQ50:AQ51"/>
    <mergeCell ref="AR50:AR51"/>
    <mergeCell ref="AS50:AS51"/>
    <mergeCell ref="AD50:AD51"/>
    <mergeCell ref="AE50:AE51"/>
    <mergeCell ref="AF50:AF51"/>
    <mergeCell ref="AG50:AG51"/>
    <mergeCell ref="AH50:AH51"/>
    <mergeCell ref="AI50:AI51"/>
    <mergeCell ref="BB50:BB51"/>
    <mergeCell ref="AJ50:AJ51"/>
    <mergeCell ref="AK50:AK51"/>
    <mergeCell ref="AL50:AL51"/>
    <mergeCell ref="AM50:AM51"/>
    <mergeCell ref="AN50:AN51"/>
    <mergeCell ref="AO50:AO51"/>
    <mergeCell ref="AT50:AT51"/>
    <mergeCell ref="AU50:AU51"/>
    <mergeCell ref="AY48:AY49"/>
    <mergeCell ref="AZ48:AZ49"/>
    <mergeCell ref="BA48:BA49"/>
    <mergeCell ref="BB48:BB49"/>
    <mergeCell ref="BC48:BC49"/>
    <mergeCell ref="BD48:BD49"/>
    <mergeCell ref="BE48:BE49"/>
    <mergeCell ref="BF48:BF49"/>
    <mergeCell ref="BG48:BG49"/>
    <mergeCell ref="A50:A51"/>
    <mergeCell ref="B50:B51"/>
    <mergeCell ref="C50:C51"/>
    <mergeCell ref="D50:D51"/>
    <mergeCell ref="E50:E51"/>
    <mergeCell ref="F50:F51"/>
    <mergeCell ref="G50:G51"/>
    <mergeCell ref="H50:H51"/>
    <mergeCell ref="I50:I51"/>
    <mergeCell ref="J50:J51"/>
    <mergeCell ref="N50:N51"/>
    <mergeCell ref="Q50:Q51"/>
    <mergeCell ref="AA50:AA51"/>
    <mergeCell ref="AB50:AB51"/>
    <mergeCell ref="AC50:AC51"/>
    <mergeCell ref="R50:R51"/>
    <mergeCell ref="S50:S51"/>
    <mergeCell ref="T50:T51"/>
    <mergeCell ref="U50:U51"/>
    <mergeCell ref="V50:V51"/>
    <mergeCell ref="W50:W51"/>
    <mergeCell ref="BF50:BF51"/>
    <mergeCell ref="BG50:BG51"/>
    <mergeCell ref="AH48:AH49"/>
    <mergeCell ref="AI48:AI49"/>
    <mergeCell ref="AJ48:AJ49"/>
    <mergeCell ref="AK48:AK49"/>
    <mergeCell ref="AL48:AL49"/>
    <mergeCell ref="AM48:AM49"/>
    <mergeCell ref="AN48:AN49"/>
    <mergeCell ref="AO48:AO49"/>
    <mergeCell ref="AP48:AP49"/>
    <mergeCell ref="AQ48:AQ49"/>
    <mergeCell ref="AR48:AR49"/>
    <mergeCell ref="AS48:AS49"/>
    <mergeCell ref="AT48:AT49"/>
    <mergeCell ref="AU48:AU49"/>
    <mergeCell ref="AV48:AV49"/>
    <mergeCell ref="AW48:AW49"/>
    <mergeCell ref="AX48:AX49"/>
    <mergeCell ref="BD46:BD47"/>
    <mergeCell ref="BE46:BE47"/>
    <mergeCell ref="BF46:BF47"/>
    <mergeCell ref="BG46:BG47"/>
    <mergeCell ref="A48:A49"/>
    <mergeCell ref="B48:B49"/>
    <mergeCell ref="C48:C49"/>
    <mergeCell ref="D48:D49"/>
    <mergeCell ref="E48:E49"/>
    <mergeCell ref="F48:F49"/>
    <mergeCell ref="G48:G49"/>
    <mergeCell ref="H48:H49"/>
    <mergeCell ref="I48:I49"/>
    <mergeCell ref="J48:J49"/>
    <mergeCell ref="N48:N49"/>
    <mergeCell ref="Q48:Q49"/>
    <mergeCell ref="R48:R49"/>
    <mergeCell ref="S48:S49"/>
    <mergeCell ref="T48:T49"/>
    <mergeCell ref="U48:U49"/>
    <mergeCell ref="V48:V49"/>
    <mergeCell ref="W48:W49"/>
    <mergeCell ref="X48:X49"/>
    <mergeCell ref="Y48:Y49"/>
    <mergeCell ref="Z48:Z49"/>
    <mergeCell ref="AA48:AA49"/>
    <mergeCell ref="AB48:AB49"/>
    <mergeCell ref="AC48:AC49"/>
    <mergeCell ref="AD48:AD49"/>
    <mergeCell ref="AE48:AE49"/>
    <mergeCell ref="AF48:AF49"/>
    <mergeCell ref="AG48:AG49"/>
    <mergeCell ref="AM46:AM47"/>
    <mergeCell ref="AN46:AN47"/>
    <mergeCell ref="AO46:AO47"/>
    <mergeCell ref="AP46:AP47"/>
    <mergeCell ref="AQ46:AQ47"/>
    <mergeCell ref="AR46:AR47"/>
    <mergeCell ref="AS46:AS47"/>
    <mergeCell ref="AT46:AT47"/>
    <mergeCell ref="AU46:AU47"/>
    <mergeCell ref="AV46:AV47"/>
    <mergeCell ref="AW46:AW47"/>
    <mergeCell ref="AX46:AX47"/>
    <mergeCell ref="AY46:AY47"/>
    <mergeCell ref="AZ46:AZ47"/>
    <mergeCell ref="BA46:BA47"/>
    <mergeCell ref="BB46:BB47"/>
    <mergeCell ref="BC46:BC47"/>
    <mergeCell ref="V46:V47"/>
    <mergeCell ref="W46:W47"/>
    <mergeCell ref="X46:X47"/>
    <mergeCell ref="Y46:Y47"/>
    <mergeCell ref="Z46:Z47"/>
    <mergeCell ref="AA46:AA47"/>
    <mergeCell ref="AB46:AB47"/>
    <mergeCell ref="AC46:AC47"/>
    <mergeCell ref="AD46:AD47"/>
    <mergeCell ref="AE46:AE47"/>
    <mergeCell ref="AF46:AF47"/>
    <mergeCell ref="AG46:AG47"/>
    <mergeCell ref="AH46:AH47"/>
    <mergeCell ref="AI46:AI47"/>
    <mergeCell ref="AJ46:AJ47"/>
    <mergeCell ref="AK46:AK47"/>
    <mergeCell ref="AL46:AL47"/>
    <mergeCell ref="A45:I45"/>
    <mergeCell ref="A46:A47"/>
    <mergeCell ref="B46:B47"/>
    <mergeCell ref="C46:C47"/>
    <mergeCell ref="D46:D47"/>
    <mergeCell ref="E46:E47"/>
    <mergeCell ref="F46:F47"/>
    <mergeCell ref="G46:G47"/>
    <mergeCell ref="H46:H47"/>
    <mergeCell ref="I46:I47"/>
    <mergeCell ref="J46:J47"/>
    <mergeCell ref="N46:N47"/>
    <mergeCell ref="Q46:Q47"/>
    <mergeCell ref="R46:R47"/>
    <mergeCell ref="S46:S47"/>
    <mergeCell ref="T46:T47"/>
    <mergeCell ref="U46:U47"/>
    <mergeCell ref="AQ43:AQ44"/>
    <mergeCell ref="AR43:AR44"/>
    <mergeCell ref="AS43:AS44"/>
    <mergeCell ref="AT43:AT44"/>
    <mergeCell ref="AU43:AU44"/>
    <mergeCell ref="AV43:AV44"/>
    <mergeCell ref="AW43:AW44"/>
    <mergeCell ref="AX43:AX44"/>
    <mergeCell ref="AY43:AY44"/>
    <mergeCell ref="AZ43:AZ44"/>
    <mergeCell ref="BA43:BA44"/>
    <mergeCell ref="BB43:BB44"/>
    <mergeCell ref="BC43:BC44"/>
    <mergeCell ref="BD43:BD44"/>
    <mergeCell ref="BE43:BE44"/>
    <mergeCell ref="BF43:BF44"/>
    <mergeCell ref="BG43:BG44"/>
    <mergeCell ref="Z43:Z44"/>
    <mergeCell ref="AA43:AA44"/>
    <mergeCell ref="AB43:AB44"/>
    <mergeCell ref="AC43:AC44"/>
    <mergeCell ref="AD43:AD44"/>
    <mergeCell ref="AE43:AE44"/>
    <mergeCell ref="AF43:AF44"/>
    <mergeCell ref="AG43:AG44"/>
    <mergeCell ref="AH43:AH44"/>
    <mergeCell ref="AI43:AI44"/>
    <mergeCell ref="AJ43:AJ44"/>
    <mergeCell ref="AK43:AK44"/>
    <mergeCell ref="AL43:AL44"/>
    <mergeCell ref="AM43:AM44"/>
    <mergeCell ref="AN43:AN44"/>
    <mergeCell ref="AO43:AO44"/>
    <mergeCell ref="AP43:AP44"/>
    <mergeCell ref="AV41:AV42"/>
    <mergeCell ref="AW41:AW42"/>
    <mergeCell ref="AX41:AX42"/>
    <mergeCell ref="AY41:AY42"/>
    <mergeCell ref="AZ41:AZ42"/>
    <mergeCell ref="BA41:BA42"/>
    <mergeCell ref="BB41:BB42"/>
    <mergeCell ref="BC41:BC42"/>
    <mergeCell ref="BD41:BD42"/>
    <mergeCell ref="BE41:BE42"/>
    <mergeCell ref="BF41:BF42"/>
    <mergeCell ref="BG41:BG42"/>
    <mergeCell ref="A43:A44"/>
    <mergeCell ref="B43:B44"/>
    <mergeCell ref="C43:C44"/>
    <mergeCell ref="D43:D44"/>
    <mergeCell ref="E43:E44"/>
    <mergeCell ref="F43:F44"/>
    <mergeCell ref="G43:G44"/>
    <mergeCell ref="H43:H44"/>
    <mergeCell ref="I43:I44"/>
    <mergeCell ref="J43:J44"/>
    <mergeCell ref="N43:N44"/>
    <mergeCell ref="Q43:Q44"/>
    <mergeCell ref="R43:R44"/>
    <mergeCell ref="S43:S44"/>
    <mergeCell ref="T43:T44"/>
    <mergeCell ref="U43:U44"/>
    <mergeCell ref="V43:V44"/>
    <mergeCell ref="W43:W44"/>
    <mergeCell ref="X43:X44"/>
    <mergeCell ref="Y43:Y44"/>
    <mergeCell ref="AE41:AE42"/>
    <mergeCell ref="AF41:AF42"/>
    <mergeCell ref="AG41:AG42"/>
    <mergeCell ref="AH41:AH42"/>
    <mergeCell ref="AI41:AI42"/>
    <mergeCell ref="AJ41:AJ42"/>
    <mergeCell ref="AK41:AK42"/>
    <mergeCell ref="AL41:AL42"/>
    <mergeCell ref="AM41:AM42"/>
    <mergeCell ref="AN41:AN42"/>
    <mergeCell ref="AO41:AO42"/>
    <mergeCell ref="AP41:AP42"/>
    <mergeCell ref="AQ41:AQ42"/>
    <mergeCell ref="AR41:AR42"/>
    <mergeCell ref="AS41:AS42"/>
    <mergeCell ref="AT41:AT42"/>
    <mergeCell ref="AU41:AU42"/>
    <mergeCell ref="BA39:BA40"/>
    <mergeCell ref="BB39:BB40"/>
    <mergeCell ref="BC39:BC40"/>
    <mergeCell ref="BD39:BD40"/>
    <mergeCell ref="BE39:BE40"/>
    <mergeCell ref="BF39:BF40"/>
    <mergeCell ref="BG39:BG40"/>
    <mergeCell ref="A41:A42"/>
    <mergeCell ref="B41:B42"/>
    <mergeCell ref="C41:C42"/>
    <mergeCell ref="D41:D42"/>
    <mergeCell ref="E41:E42"/>
    <mergeCell ref="F41:F42"/>
    <mergeCell ref="G41:G42"/>
    <mergeCell ref="H41:H42"/>
    <mergeCell ref="I41:I42"/>
    <mergeCell ref="J41:J42"/>
    <mergeCell ref="N41:N42"/>
    <mergeCell ref="Q41:Q42"/>
    <mergeCell ref="R41:R42"/>
    <mergeCell ref="S41:S42"/>
    <mergeCell ref="T41:T42"/>
    <mergeCell ref="U41:U42"/>
    <mergeCell ref="V41:V42"/>
    <mergeCell ref="W41:W42"/>
    <mergeCell ref="X41:X42"/>
    <mergeCell ref="Y41:Y42"/>
    <mergeCell ref="Z41:Z42"/>
    <mergeCell ref="AA41:AA42"/>
    <mergeCell ref="AB41:AB42"/>
    <mergeCell ref="AC41:AC42"/>
    <mergeCell ref="AD41:AD42"/>
    <mergeCell ref="AJ39:AJ40"/>
    <mergeCell ref="AK39:AK40"/>
    <mergeCell ref="AL39:AL40"/>
    <mergeCell ref="AM39:AM40"/>
    <mergeCell ref="AN39:AN40"/>
    <mergeCell ref="AO39:AO40"/>
    <mergeCell ref="AP39:AP40"/>
    <mergeCell ref="AQ39:AQ40"/>
    <mergeCell ref="AR39:AR40"/>
    <mergeCell ref="AS39:AS40"/>
    <mergeCell ref="AT39:AT40"/>
    <mergeCell ref="AU39:AU40"/>
    <mergeCell ref="AV39:AV40"/>
    <mergeCell ref="AW39:AW40"/>
    <mergeCell ref="AX39:AX40"/>
    <mergeCell ref="AY39:AY40"/>
    <mergeCell ref="AZ39:AZ40"/>
    <mergeCell ref="BF37:BF38"/>
    <mergeCell ref="BG37:BG38"/>
    <mergeCell ref="A39:A40"/>
    <mergeCell ref="B39:B40"/>
    <mergeCell ref="C39:C40"/>
    <mergeCell ref="D39:D40"/>
    <mergeCell ref="E39:E40"/>
    <mergeCell ref="F39:F40"/>
    <mergeCell ref="G39:G40"/>
    <mergeCell ref="H39:H40"/>
    <mergeCell ref="I39:I40"/>
    <mergeCell ref="J39:J40"/>
    <mergeCell ref="N39:N40"/>
    <mergeCell ref="Q39:Q40"/>
    <mergeCell ref="R39:R40"/>
    <mergeCell ref="S39:S40"/>
    <mergeCell ref="T39:T40"/>
    <mergeCell ref="U39:U40"/>
    <mergeCell ref="V39:V40"/>
    <mergeCell ref="W39:W40"/>
    <mergeCell ref="X39:X40"/>
    <mergeCell ref="Y39:Y40"/>
    <mergeCell ref="Z39:Z40"/>
    <mergeCell ref="AA39:AA40"/>
    <mergeCell ref="AB39:AB40"/>
    <mergeCell ref="AC39:AC40"/>
    <mergeCell ref="AD39:AD40"/>
    <mergeCell ref="AE39:AE40"/>
    <mergeCell ref="AF39:AF40"/>
    <mergeCell ref="AG39:AG40"/>
    <mergeCell ref="AH39:AH40"/>
    <mergeCell ref="AI39:AI40"/>
    <mergeCell ref="AO37:AO38"/>
    <mergeCell ref="AP37:AP38"/>
    <mergeCell ref="AQ37:AQ38"/>
    <mergeCell ref="AR37:AR38"/>
    <mergeCell ref="AS37:AS38"/>
    <mergeCell ref="AT37:AT38"/>
    <mergeCell ref="AU37:AU38"/>
    <mergeCell ref="AV37:AV38"/>
    <mergeCell ref="AW37:AW38"/>
    <mergeCell ref="AX37:AX38"/>
    <mergeCell ref="AY37:AY38"/>
    <mergeCell ref="AZ37:AZ38"/>
    <mergeCell ref="BA37:BA38"/>
    <mergeCell ref="BB37:BB38"/>
    <mergeCell ref="BC37:BC38"/>
    <mergeCell ref="BD37:BD38"/>
    <mergeCell ref="BE37:BE38"/>
    <mergeCell ref="Y37:Y38"/>
    <mergeCell ref="Z37:Z38"/>
    <mergeCell ref="AA37:AA38"/>
    <mergeCell ref="AB37:AB38"/>
    <mergeCell ref="AC37:AC38"/>
    <mergeCell ref="AD37:AD38"/>
    <mergeCell ref="AE37:AE38"/>
    <mergeCell ref="AF37:AF38"/>
    <mergeCell ref="AG37:AG38"/>
    <mergeCell ref="AH37:AH38"/>
    <mergeCell ref="AI37:AI38"/>
    <mergeCell ref="AJ37:AJ38"/>
    <mergeCell ref="AK37:AK38"/>
    <mergeCell ref="AL37:AL38"/>
    <mergeCell ref="AN35:AN36"/>
    <mergeCell ref="AM37:AM38"/>
    <mergeCell ref="AN37:AN38"/>
    <mergeCell ref="AK35:AK36"/>
    <mergeCell ref="AL35:AL36"/>
    <mergeCell ref="AM35:AM36"/>
    <mergeCell ref="A37:A38"/>
    <mergeCell ref="B37:B38"/>
    <mergeCell ref="C37:C38"/>
    <mergeCell ref="D37:D38"/>
    <mergeCell ref="E37:E38"/>
    <mergeCell ref="X35:X36"/>
    <mergeCell ref="F37:F38"/>
    <mergeCell ref="G37:G38"/>
    <mergeCell ref="H37:H38"/>
    <mergeCell ref="I37:I38"/>
    <mergeCell ref="J37:J38"/>
    <mergeCell ref="N37:N38"/>
    <mergeCell ref="H35:H36"/>
    <mergeCell ref="I35:I36"/>
    <mergeCell ref="J35:J36"/>
    <mergeCell ref="Q37:Q38"/>
    <mergeCell ref="R37:R38"/>
    <mergeCell ref="S37:S38"/>
    <mergeCell ref="T37:T38"/>
    <mergeCell ref="U37:U38"/>
    <mergeCell ref="V37:V38"/>
    <mergeCell ref="W37:W38"/>
    <mergeCell ref="X37:X38"/>
    <mergeCell ref="N35:N36"/>
    <mergeCell ref="Q35:Q36"/>
    <mergeCell ref="R35:R36"/>
    <mergeCell ref="A35:A36"/>
    <mergeCell ref="B35:B36"/>
    <mergeCell ref="C35:C36"/>
    <mergeCell ref="D35:D36"/>
    <mergeCell ref="E35:E36"/>
    <mergeCell ref="F35:F36"/>
    <mergeCell ref="G35:G36"/>
    <mergeCell ref="AQ35:AQ36"/>
    <mergeCell ref="AR35:AR36"/>
    <mergeCell ref="AS35:AS36"/>
    <mergeCell ref="AT35:AT36"/>
    <mergeCell ref="AU35:AU36"/>
    <mergeCell ref="AV35:AV36"/>
    <mergeCell ref="AW35:AW36"/>
    <mergeCell ref="BG33:BG34"/>
    <mergeCell ref="BA33:BA34"/>
    <mergeCell ref="BB33:BB34"/>
    <mergeCell ref="BC33:BC34"/>
    <mergeCell ref="BD33:BD34"/>
    <mergeCell ref="Y35:Y36"/>
    <mergeCell ref="Z35:Z36"/>
    <mergeCell ref="AA35:AA36"/>
    <mergeCell ref="AB35:AB36"/>
    <mergeCell ref="AC35:AC36"/>
    <mergeCell ref="AD35:AD36"/>
    <mergeCell ref="AO35:AO36"/>
    <mergeCell ref="AP35:AP36"/>
    <mergeCell ref="AE35:AE36"/>
    <mergeCell ref="AF35:AF36"/>
    <mergeCell ref="AG35:AG36"/>
    <mergeCell ref="AH35:AH36"/>
    <mergeCell ref="AI35:AI36"/>
    <mergeCell ref="AJ35:AJ36"/>
    <mergeCell ref="AX35:AX36"/>
    <mergeCell ref="AY35:AY36"/>
    <mergeCell ref="AZ35:AZ36"/>
    <mergeCell ref="BA35:BA36"/>
    <mergeCell ref="BB35:BB36"/>
    <mergeCell ref="BC35:BC36"/>
    <mergeCell ref="BD35:BD36"/>
    <mergeCell ref="BE35:BE36"/>
    <mergeCell ref="BF35:BF36"/>
    <mergeCell ref="BG35:BG36"/>
    <mergeCell ref="AQ33:AQ34"/>
    <mergeCell ref="AR33:AR34"/>
    <mergeCell ref="AS33:AS34"/>
    <mergeCell ref="AT33:AT34"/>
    <mergeCell ref="BE33:BE34"/>
    <mergeCell ref="BF33:BF34"/>
    <mergeCell ref="AU33:AU34"/>
    <mergeCell ref="AV33:AV34"/>
    <mergeCell ref="AW33:AW34"/>
    <mergeCell ref="AX33:AX34"/>
    <mergeCell ref="AY33:AY34"/>
    <mergeCell ref="AZ33:AZ34"/>
    <mergeCell ref="S35:S36"/>
    <mergeCell ref="T35:T36"/>
    <mergeCell ref="U35:U36"/>
    <mergeCell ref="V35:V36"/>
    <mergeCell ref="W35:W36"/>
    <mergeCell ref="BC31:BC32"/>
    <mergeCell ref="BD31:BD32"/>
    <mergeCell ref="BE31:BE32"/>
    <mergeCell ref="BF31:BF32"/>
    <mergeCell ref="BG31:BG32"/>
    <mergeCell ref="AB31:AB32"/>
    <mergeCell ref="AC31:AC32"/>
    <mergeCell ref="AD31:AD32"/>
    <mergeCell ref="AX31:AX32"/>
    <mergeCell ref="AY31:AY32"/>
    <mergeCell ref="F33:F34"/>
    <mergeCell ref="G33:G34"/>
    <mergeCell ref="H33:H34"/>
    <mergeCell ref="I33:I34"/>
    <mergeCell ref="J33:J34"/>
    <mergeCell ref="N33:N34"/>
    <mergeCell ref="Q33:Q34"/>
    <mergeCell ref="R33:R34"/>
    <mergeCell ref="S33:S34"/>
    <mergeCell ref="T33:T34"/>
    <mergeCell ref="U33:U34"/>
    <mergeCell ref="V33:V34"/>
    <mergeCell ref="W33:W34"/>
    <mergeCell ref="X33:X34"/>
    <mergeCell ref="Y33:Y34"/>
    <mergeCell ref="Z33:Z34"/>
    <mergeCell ref="AA33:AA34"/>
    <mergeCell ref="D33:D34"/>
    <mergeCell ref="E33:E34"/>
    <mergeCell ref="AW31:AW32"/>
    <mergeCell ref="AK31:AK32"/>
    <mergeCell ref="AL31:AL32"/>
    <mergeCell ref="AM31:AM32"/>
    <mergeCell ref="AN31:AN32"/>
    <mergeCell ref="H31:H32"/>
    <mergeCell ref="I31:I32"/>
    <mergeCell ref="J31:J32"/>
    <mergeCell ref="N31:N32"/>
    <mergeCell ref="Q31:Q32"/>
    <mergeCell ref="R31:R32"/>
    <mergeCell ref="S31:S32"/>
    <mergeCell ref="T31:T32"/>
    <mergeCell ref="U31:U32"/>
    <mergeCell ref="V31:V32"/>
    <mergeCell ref="W31:W32"/>
    <mergeCell ref="X31:X32"/>
    <mergeCell ref="AG33:AG34"/>
    <mergeCell ref="AH33:AH34"/>
    <mergeCell ref="AI33:AI34"/>
    <mergeCell ref="AJ33:AJ34"/>
    <mergeCell ref="AK33:AK34"/>
    <mergeCell ref="AL33:AL34"/>
    <mergeCell ref="AM33:AM34"/>
    <mergeCell ref="AN33:AN34"/>
    <mergeCell ref="AO33:AO34"/>
    <mergeCell ref="AP33:AP34"/>
    <mergeCell ref="AB33:AB34"/>
    <mergeCell ref="AC33:AC34"/>
    <mergeCell ref="AD33:AD34"/>
    <mergeCell ref="BC29:BC30"/>
    <mergeCell ref="AS29:AS30"/>
    <mergeCell ref="AT29:AT30"/>
    <mergeCell ref="AU29:AU30"/>
    <mergeCell ref="AV29:AV30"/>
    <mergeCell ref="A31:A32"/>
    <mergeCell ref="B31:B32"/>
    <mergeCell ref="C31:C32"/>
    <mergeCell ref="D31:D32"/>
    <mergeCell ref="E31:E32"/>
    <mergeCell ref="F31:F32"/>
    <mergeCell ref="Y31:Y32"/>
    <mergeCell ref="Z31:Z32"/>
    <mergeCell ref="AA31:AA32"/>
    <mergeCell ref="G31:G32"/>
    <mergeCell ref="BA29:BA30"/>
    <mergeCell ref="BB29:BB30"/>
    <mergeCell ref="AQ31:AQ32"/>
    <mergeCell ref="AR31:AR32"/>
    <mergeCell ref="AS31:AS32"/>
    <mergeCell ref="AT31:AT32"/>
    <mergeCell ref="AU31:AU32"/>
    <mergeCell ref="AV31:AV32"/>
    <mergeCell ref="AI29:AI30"/>
    <mergeCell ref="AJ29:AJ30"/>
    <mergeCell ref="AK29:AK30"/>
    <mergeCell ref="AY29:AY30"/>
    <mergeCell ref="AZ29:AZ30"/>
    <mergeCell ref="AE33:AE34"/>
    <mergeCell ref="AF33:AF34"/>
    <mergeCell ref="A33:A34"/>
    <mergeCell ref="B33:B34"/>
    <mergeCell ref="C33:C34"/>
    <mergeCell ref="BE29:BE30"/>
    <mergeCell ref="BF29:BF30"/>
    <mergeCell ref="BG29:BG30"/>
    <mergeCell ref="BD29:BD30"/>
    <mergeCell ref="AW29:AW30"/>
    <mergeCell ref="AX29:AX30"/>
    <mergeCell ref="AM29:AM30"/>
    <mergeCell ref="AO31:AO32"/>
    <mergeCell ref="AP31:AP32"/>
    <mergeCell ref="AE31:AE32"/>
    <mergeCell ref="AF31:AF32"/>
    <mergeCell ref="AG31:AG32"/>
    <mergeCell ref="AH31:AH32"/>
    <mergeCell ref="AI31:AI32"/>
    <mergeCell ref="AJ31:AJ32"/>
    <mergeCell ref="AZ31:AZ32"/>
    <mergeCell ref="BA31:BA32"/>
    <mergeCell ref="BB31:BB32"/>
    <mergeCell ref="AE29:AE30"/>
    <mergeCell ref="AF29:AF30"/>
    <mergeCell ref="AN29:AN30"/>
    <mergeCell ref="AO29:AO30"/>
    <mergeCell ref="AP29:AP30"/>
    <mergeCell ref="AQ29:AQ30"/>
    <mergeCell ref="AR29:AR30"/>
    <mergeCell ref="AG29:AG30"/>
    <mergeCell ref="AH29:AH30"/>
    <mergeCell ref="BB25:BB26"/>
    <mergeCell ref="BC25:BC26"/>
    <mergeCell ref="BD25:BD26"/>
    <mergeCell ref="BE25:BE26"/>
    <mergeCell ref="BF25:BF26"/>
    <mergeCell ref="BG25:BG26"/>
    <mergeCell ref="A29:A30"/>
    <mergeCell ref="B29:B30"/>
    <mergeCell ref="C29:C30"/>
    <mergeCell ref="D29:D30"/>
    <mergeCell ref="E29:E30"/>
    <mergeCell ref="F29:F30"/>
    <mergeCell ref="G29:G30"/>
    <mergeCell ref="H29:H30"/>
    <mergeCell ref="I29:I30"/>
    <mergeCell ref="J29:J30"/>
    <mergeCell ref="N29:N30"/>
    <mergeCell ref="Q29:Q30"/>
    <mergeCell ref="R29:R30"/>
    <mergeCell ref="S29:S30"/>
    <mergeCell ref="T29:T30"/>
    <mergeCell ref="U29:U30"/>
    <mergeCell ref="V29:V30"/>
    <mergeCell ref="W29:W30"/>
    <mergeCell ref="X29:X30"/>
    <mergeCell ref="Y29:Y30"/>
    <mergeCell ref="Z29:Z30"/>
    <mergeCell ref="AL29:AL30"/>
    <mergeCell ref="AA29:AA30"/>
    <mergeCell ref="AB29:AB30"/>
    <mergeCell ref="AC29:AC30"/>
    <mergeCell ref="AD29:AD30"/>
    <mergeCell ref="AK25:AK26"/>
    <mergeCell ref="AL25:AL26"/>
    <mergeCell ref="AM25:AM26"/>
    <mergeCell ref="AN25:AN26"/>
    <mergeCell ref="AO25:AO26"/>
    <mergeCell ref="AP25:AP26"/>
    <mergeCell ref="AQ25:AQ26"/>
    <mergeCell ref="AR25:AR26"/>
    <mergeCell ref="AS25:AS26"/>
    <mergeCell ref="AT25:AT26"/>
    <mergeCell ref="AU25:AU26"/>
    <mergeCell ref="AV25:AV26"/>
    <mergeCell ref="AW25:AW26"/>
    <mergeCell ref="AX25:AX26"/>
    <mergeCell ref="AY25:AY26"/>
    <mergeCell ref="AZ25:AZ26"/>
    <mergeCell ref="BA25:BA26"/>
    <mergeCell ref="BG23:BG24"/>
    <mergeCell ref="A25:A26"/>
    <mergeCell ref="B25:B26"/>
    <mergeCell ref="C25:C26"/>
    <mergeCell ref="D25:D26"/>
    <mergeCell ref="E25:E26"/>
    <mergeCell ref="F25:F26"/>
    <mergeCell ref="G25:G26"/>
    <mergeCell ref="H25:H26"/>
    <mergeCell ref="I25:I26"/>
    <mergeCell ref="J25:J26"/>
    <mergeCell ref="N25:N26"/>
    <mergeCell ref="Q25:Q26"/>
    <mergeCell ref="R25:R26"/>
    <mergeCell ref="S25:S26"/>
    <mergeCell ref="T25:T26"/>
    <mergeCell ref="U25:U26"/>
    <mergeCell ref="V25:V26"/>
    <mergeCell ref="W25:W26"/>
    <mergeCell ref="X25:X26"/>
    <mergeCell ref="Y25:Y26"/>
    <mergeCell ref="Z25:Z26"/>
    <mergeCell ref="AA25:AA26"/>
    <mergeCell ref="AB25:AB26"/>
    <mergeCell ref="AC25:AC26"/>
    <mergeCell ref="AD25:AD26"/>
    <mergeCell ref="AE25:AE26"/>
    <mergeCell ref="AF25:AF26"/>
    <mergeCell ref="AG25:AG26"/>
    <mergeCell ref="AH25:AH26"/>
    <mergeCell ref="AI25:AI26"/>
    <mergeCell ref="AJ25:AJ26"/>
    <mergeCell ref="AP23:AP24"/>
    <mergeCell ref="AQ23:AQ24"/>
    <mergeCell ref="AR23:AR24"/>
    <mergeCell ref="AS23:AS24"/>
    <mergeCell ref="AT23:AT24"/>
    <mergeCell ref="AU23:AU24"/>
    <mergeCell ref="AV23:AV24"/>
    <mergeCell ref="AW23:AW24"/>
    <mergeCell ref="AX23:AX24"/>
    <mergeCell ref="AY23:AY24"/>
    <mergeCell ref="AZ23:AZ24"/>
    <mergeCell ref="BA23:BA24"/>
    <mergeCell ref="BB23:BB24"/>
    <mergeCell ref="BC23:BC24"/>
    <mergeCell ref="BD23:BD24"/>
    <mergeCell ref="BE23:BE24"/>
    <mergeCell ref="BF23:BF24"/>
    <mergeCell ref="Y23:Y24"/>
    <mergeCell ref="Z23:Z24"/>
    <mergeCell ref="AA23:AA24"/>
    <mergeCell ref="AB23:AB24"/>
    <mergeCell ref="AC23:AC24"/>
    <mergeCell ref="AD23:AD24"/>
    <mergeCell ref="AE23:AE24"/>
    <mergeCell ref="AF23:AF24"/>
    <mergeCell ref="AG23:AG24"/>
    <mergeCell ref="AH23:AH24"/>
    <mergeCell ref="AI23:AI24"/>
    <mergeCell ref="AJ23:AJ24"/>
    <mergeCell ref="AK23:AK24"/>
    <mergeCell ref="AL23:AL24"/>
    <mergeCell ref="AM23:AM24"/>
    <mergeCell ref="AN23:AN24"/>
    <mergeCell ref="AO23:AO24"/>
    <mergeCell ref="AU21:AU22"/>
    <mergeCell ref="AV21:AV22"/>
    <mergeCell ref="AW21:AW22"/>
    <mergeCell ref="AX21:AX22"/>
    <mergeCell ref="AY21:AY22"/>
    <mergeCell ref="AZ21:AZ22"/>
    <mergeCell ref="BA21:BA22"/>
    <mergeCell ref="BB21:BB22"/>
    <mergeCell ref="BC21:BC22"/>
    <mergeCell ref="BD21:BD22"/>
    <mergeCell ref="BE21:BE22"/>
    <mergeCell ref="BF21:BF22"/>
    <mergeCell ref="BG21:BG22"/>
    <mergeCell ref="A23:A24"/>
    <mergeCell ref="B23:B24"/>
    <mergeCell ref="C23:C24"/>
    <mergeCell ref="D23:D24"/>
    <mergeCell ref="E23:E24"/>
    <mergeCell ref="F23:F24"/>
    <mergeCell ref="G23:G24"/>
    <mergeCell ref="H23:H24"/>
    <mergeCell ref="I23:I24"/>
    <mergeCell ref="J23:J24"/>
    <mergeCell ref="N23:N24"/>
    <mergeCell ref="Q23:Q24"/>
    <mergeCell ref="R23:R24"/>
    <mergeCell ref="S23:S24"/>
    <mergeCell ref="T23:T24"/>
    <mergeCell ref="U23:U24"/>
    <mergeCell ref="V23:V24"/>
    <mergeCell ref="W23:W24"/>
    <mergeCell ref="X23:X24"/>
    <mergeCell ref="AD21:AD22"/>
    <mergeCell ref="AE21:AE22"/>
    <mergeCell ref="AF21:AF22"/>
    <mergeCell ref="AG21:AG22"/>
    <mergeCell ref="AH21:AH22"/>
    <mergeCell ref="AI21:AI22"/>
    <mergeCell ref="AJ21:AJ22"/>
    <mergeCell ref="AK21:AK22"/>
    <mergeCell ref="AL21:AL22"/>
    <mergeCell ref="AM21:AM22"/>
    <mergeCell ref="AN21:AN22"/>
    <mergeCell ref="AO21:AO22"/>
    <mergeCell ref="AP21:AP22"/>
    <mergeCell ref="AQ21:AQ22"/>
    <mergeCell ref="AR21:AR22"/>
    <mergeCell ref="AS21:AS22"/>
    <mergeCell ref="AT21:AT22"/>
    <mergeCell ref="AZ19:AZ20"/>
    <mergeCell ref="BA19:BA20"/>
    <mergeCell ref="BB19:BB20"/>
    <mergeCell ref="BC19:BC20"/>
    <mergeCell ref="BD19:BD20"/>
    <mergeCell ref="BE19:BE20"/>
    <mergeCell ref="BF19:BF20"/>
    <mergeCell ref="BG19:BG20"/>
    <mergeCell ref="A21:A22"/>
    <mergeCell ref="B21:B22"/>
    <mergeCell ref="C21:C22"/>
    <mergeCell ref="D21:D22"/>
    <mergeCell ref="E21:E22"/>
    <mergeCell ref="F21:F22"/>
    <mergeCell ref="G21:G22"/>
    <mergeCell ref="H21:H22"/>
    <mergeCell ref="I21:I22"/>
    <mergeCell ref="J21:J22"/>
    <mergeCell ref="N21:N22"/>
    <mergeCell ref="Q21:Q22"/>
    <mergeCell ref="R21:R22"/>
    <mergeCell ref="S21:S22"/>
    <mergeCell ref="T21:T22"/>
    <mergeCell ref="U21:U22"/>
    <mergeCell ref="V21:V22"/>
    <mergeCell ref="W21:W22"/>
    <mergeCell ref="X21:X22"/>
    <mergeCell ref="Y21:Y22"/>
    <mergeCell ref="Z21:Z22"/>
    <mergeCell ref="AA21:AA22"/>
    <mergeCell ref="AB21:AB22"/>
    <mergeCell ref="AC21:AC22"/>
    <mergeCell ref="AI19:AI20"/>
    <mergeCell ref="AJ19:AJ20"/>
    <mergeCell ref="AK19:AK20"/>
    <mergeCell ref="AL19:AL20"/>
    <mergeCell ref="AM19:AM20"/>
    <mergeCell ref="AN19:AN20"/>
    <mergeCell ref="AO19:AO20"/>
    <mergeCell ref="AP19:AP20"/>
    <mergeCell ref="AQ19:AQ20"/>
    <mergeCell ref="AR19:AR20"/>
    <mergeCell ref="AS19:AS20"/>
    <mergeCell ref="AT19:AT20"/>
    <mergeCell ref="AU19:AU20"/>
    <mergeCell ref="AV19:AV20"/>
    <mergeCell ref="AW19:AW20"/>
    <mergeCell ref="AX19:AX20"/>
    <mergeCell ref="AY19:AY20"/>
    <mergeCell ref="R19:R20"/>
    <mergeCell ref="S19:S20"/>
    <mergeCell ref="T19:T20"/>
    <mergeCell ref="U19:U20"/>
    <mergeCell ref="V19:V20"/>
    <mergeCell ref="W19:W20"/>
    <mergeCell ref="X19:X20"/>
    <mergeCell ref="Y19:Y20"/>
    <mergeCell ref="Z19:Z20"/>
    <mergeCell ref="AA19:AA20"/>
    <mergeCell ref="AB19:AB20"/>
    <mergeCell ref="AC19:AC20"/>
    <mergeCell ref="AD19:AD20"/>
    <mergeCell ref="AE19:AE20"/>
    <mergeCell ref="AF19:AF20"/>
    <mergeCell ref="AG19:AG20"/>
    <mergeCell ref="AH19:AH20"/>
    <mergeCell ref="A19:A20"/>
    <mergeCell ref="B19:B20"/>
    <mergeCell ref="C19:C20"/>
    <mergeCell ref="D19:D20"/>
    <mergeCell ref="E19:E20"/>
    <mergeCell ref="AW17:AW18"/>
    <mergeCell ref="AK17:AK18"/>
    <mergeCell ref="AL17:AL18"/>
    <mergeCell ref="AM17:AM18"/>
    <mergeCell ref="AN17:AN18"/>
    <mergeCell ref="H17:H18"/>
    <mergeCell ref="I17:I18"/>
    <mergeCell ref="J17:J18"/>
    <mergeCell ref="N17:N18"/>
    <mergeCell ref="Q17:Q18"/>
    <mergeCell ref="R17:R18"/>
    <mergeCell ref="S17:S18"/>
    <mergeCell ref="T17:T18"/>
    <mergeCell ref="U17:U18"/>
    <mergeCell ref="V17:V18"/>
    <mergeCell ref="W17:W18"/>
    <mergeCell ref="X17:X18"/>
    <mergeCell ref="AB17:AB18"/>
    <mergeCell ref="AC17:AC18"/>
    <mergeCell ref="AD17:AD18"/>
    <mergeCell ref="F19:F20"/>
    <mergeCell ref="G19:G20"/>
    <mergeCell ref="H19:H20"/>
    <mergeCell ref="I19:I20"/>
    <mergeCell ref="J19:J20"/>
    <mergeCell ref="N19:N20"/>
    <mergeCell ref="Q19:Q20"/>
    <mergeCell ref="BE15:BE16"/>
    <mergeCell ref="BF15:BF16"/>
    <mergeCell ref="BG15:BG16"/>
    <mergeCell ref="BD15:BD16"/>
    <mergeCell ref="AW15:AW16"/>
    <mergeCell ref="AX15:AX16"/>
    <mergeCell ref="AM15:AM16"/>
    <mergeCell ref="AO17:AO18"/>
    <mergeCell ref="AP17:AP18"/>
    <mergeCell ref="AE17:AE18"/>
    <mergeCell ref="AF17:AF18"/>
    <mergeCell ref="AG17:AG18"/>
    <mergeCell ref="AH17:AH18"/>
    <mergeCell ref="AI17:AI18"/>
    <mergeCell ref="AJ17:AJ18"/>
    <mergeCell ref="AZ17:AZ18"/>
    <mergeCell ref="BA17:BA18"/>
    <mergeCell ref="BB17:BB18"/>
    <mergeCell ref="AQ17:AQ18"/>
    <mergeCell ref="AR17:AR18"/>
    <mergeCell ref="AS17:AS18"/>
    <mergeCell ref="AT17:AT18"/>
    <mergeCell ref="AU17:AU18"/>
    <mergeCell ref="AV17:AV18"/>
    <mergeCell ref="BC17:BC18"/>
    <mergeCell ref="BD17:BD18"/>
    <mergeCell ref="BE17:BE18"/>
    <mergeCell ref="BF17:BF18"/>
    <mergeCell ref="BG17:BG18"/>
    <mergeCell ref="AX17:AX18"/>
    <mergeCell ref="AY17:AY18"/>
    <mergeCell ref="AY15:AY16"/>
    <mergeCell ref="BA15:BA16"/>
    <mergeCell ref="BB15:BB16"/>
    <mergeCell ref="BC15:BC16"/>
    <mergeCell ref="AS15:AS16"/>
    <mergeCell ref="AT15:AT16"/>
    <mergeCell ref="AU15:AU16"/>
    <mergeCell ref="AV15:AV16"/>
    <mergeCell ref="A17:A18"/>
    <mergeCell ref="B17:B18"/>
    <mergeCell ref="C17:C18"/>
    <mergeCell ref="D17:D18"/>
    <mergeCell ref="E17:E18"/>
    <mergeCell ref="F17:F18"/>
    <mergeCell ref="Y17:Y18"/>
    <mergeCell ref="Z17:Z18"/>
    <mergeCell ref="AA17:AA18"/>
    <mergeCell ref="AA15:AA16"/>
    <mergeCell ref="AB15:AB16"/>
    <mergeCell ref="AC15:AC16"/>
    <mergeCell ref="AD15:AD16"/>
    <mergeCell ref="AE15:AE16"/>
    <mergeCell ref="AF15:AF16"/>
    <mergeCell ref="AN15:AN16"/>
    <mergeCell ref="AO15:AO16"/>
    <mergeCell ref="AP15:AP16"/>
    <mergeCell ref="AQ15:AQ16"/>
    <mergeCell ref="AR15:AR16"/>
    <mergeCell ref="AG15:AG16"/>
    <mergeCell ref="AH15:AH16"/>
    <mergeCell ref="AI15:AI16"/>
    <mergeCell ref="AJ15:AJ16"/>
    <mergeCell ref="G17:G18"/>
    <mergeCell ref="AX13:AX14"/>
    <mergeCell ref="AY13:AY14"/>
    <mergeCell ref="AZ13:AZ14"/>
    <mergeCell ref="BA13:BA14"/>
    <mergeCell ref="BB13:BB14"/>
    <mergeCell ref="BC13:BC14"/>
    <mergeCell ref="BD13:BD14"/>
    <mergeCell ref="BE13:BE14"/>
    <mergeCell ref="BF13:BF14"/>
    <mergeCell ref="BG13:BG14"/>
    <mergeCell ref="A15:A16"/>
    <mergeCell ref="B15:B16"/>
    <mergeCell ref="C15:C16"/>
    <mergeCell ref="D15:D16"/>
    <mergeCell ref="E15:E16"/>
    <mergeCell ref="F15:F16"/>
    <mergeCell ref="G15:G16"/>
    <mergeCell ref="H15:H16"/>
    <mergeCell ref="I15:I16"/>
    <mergeCell ref="J15:J16"/>
    <mergeCell ref="N15:N16"/>
    <mergeCell ref="Q15:Q16"/>
    <mergeCell ref="R15:R16"/>
    <mergeCell ref="S15:S16"/>
    <mergeCell ref="T15:T16"/>
    <mergeCell ref="U15:U16"/>
    <mergeCell ref="V15:V16"/>
    <mergeCell ref="W15:W16"/>
    <mergeCell ref="X15:X16"/>
    <mergeCell ref="Y15:Y16"/>
    <mergeCell ref="AZ15:AZ16"/>
    <mergeCell ref="Z15:Z16"/>
    <mergeCell ref="AL15:AL16"/>
    <mergeCell ref="AG13:AG14"/>
    <mergeCell ref="AH13:AH14"/>
    <mergeCell ref="AI13:AI14"/>
    <mergeCell ref="AJ13:AJ14"/>
    <mergeCell ref="AK13:AK14"/>
    <mergeCell ref="AL13:AL14"/>
    <mergeCell ref="AM13:AM14"/>
    <mergeCell ref="AN13:AN14"/>
    <mergeCell ref="AO13:AO14"/>
    <mergeCell ref="AP13:AP14"/>
    <mergeCell ref="AQ13:AQ14"/>
    <mergeCell ref="AR13:AR14"/>
    <mergeCell ref="AS13:AS14"/>
    <mergeCell ref="AT13:AT14"/>
    <mergeCell ref="AU13:AU14"/>
    <mergeCell ref="AK15:AK16"/>
    <mergeCell ref="AV13:AV14"/>
    <mergeCell ref="AW13:AW14"/>
    <mergeCell ref="N13:N14"/>
    <mergeCell ref="Q13:Q14"/>
    <mergeCell ref="R13:R14"/>
    <mergeCell ref="S13:S14"/>
    <mergeCell ref="T13:T14"/>
    <mergeCell ref="U13:U14"/>
    <mergeCell ref="V13:V14"/>
    <mergeCell ref="W13:W14"/>
    <mergeCell ref="X13:X14"/>
    <mergeCell ref="Y13:Y14"/>
    <mergeCell ref="Z13:Z14"/>
    <mergeCell ref="AA13:AA14"/>
    <mergeCell ref="AB13:AB14"/>
    <mergeCell ref="AC13:AC14"/>
    <mergeCell ref="AD13:AD14"/>
    <mergeCell ref="AE13:AE14"/>
    <mergeCell ref="AF13:AF14"/>
    <mergeCell ref="AQ11:AQ12"/>
    <mergeCell ref="AR11:AR12"/>
    <mergeCell ref="AS11:AS12"/>
    <mergeCell ref="AT11:AT12"/>
    <mergeCell ref="AU11:AU12"/>
    <mergeCell ref="AV11:AV12"/>
    <mergeCell ref="AW11:AW12"/>
    <mergeCell ref="AX11:AX12"/>
    <mergeCell ref="AY11:AY12"/>
    <mergeCell ref="AZ11:AZ12"/>
    <mergeCell ref="BA11:BA12"/>
    <mergeCell ref="BB11:BB12"/>
    <mergeCell ref="BC11:BC12"/>
    <mergeCell ref="BD11:BD12"/>
    <mergeCell ref="BE11:BE12"/>
    <mergeCell ref="BF11:BF12"/>
    <mergeCell ref="BG11:BG12"/>
    <mergeCell ref="Z11:Z12"/>
    <mergeCell ref="AA11:AA12"/>
    <mergeCell ref="AB11:AB12"/>
    <mergeCell ref="AC11:AC12"/>
    <mergeCell ref="AD11:AD12"/>
    <mergeCell ref="AE11:AE12"/>
    <mergeCell ref="AF11:AF12"/>
    <mergeCell ref="AG11:AG12"/>
    <mergeCell ref="AH11:AH12"/>
    <mergeCell ref="AI11:AI12"/>
    <mergeCell ref="AJ11:AJ12"/>
    <mergeCell ref="AK11:AK12"/>
    <mergeCell ref="AL11:AL12"/>
    <mergeCell ref="AM11:AM12"/>
    <mergeCell ref="AN11:AN12"/>
    <mergeCell ref="AO11:AO12"/>
    <mergeCell ref="AP11:AP12"/>
    <mergeCell ref="AV9:AV10"/>
    <mergeCell ref="AW9:AW10"/>
    <mergeCell ref="AX9:AX10"/>
    <mergeCell ref="AY9:AY10"/>
    <mergeCell ref="AZ9:AZ10"/>
    <mergeCell ref="BA9:BA10"/>
    <mergeCell ref="BB9:BB10"/>
    <mergeCell ref="BC9:BC10"/>
    <mergeCell ref="BD9:BD10"/>
    <mergeCell ref="BE9:BE10"/>
    <mergeCell ref="BF9:BF10"/>
    <mergeCell ref="BG9:BG10"/>
    <mergeCell ref="A11:A12"/>
    <mergeCell ref="B11:B12"/>
    <mergeCell ref="C11:C12"/>
    <mergeCell ref="D11:D12"/>
    <mergeCell ref="E11:E12"/>
    <mergeCell ref="F11:F12"/>
    <mergeCell ref="G11:G12"/>
    <mergeCell ref="H11:H12"/>
    <mergeCell ref="I11:I12"/>
    <mergeCell ref="J11:J12"/>
    <mergeCell ref="N11:N12"/>
    <mergeCell ref="Q11:Q12"/>
    <mergeCell ref="R11:R12"/>
    <mergeCell ref="S11:S12"/>
    <mergeCell ref="T11:T12"/>
    <mergeCell ref="U11:U12"/>
    <mergeCell ref="V11:V12"/>
    <mergeCell ref="W11:W12"/>
    <mergeCell ref="X11:X12"/>
    <mergeCell ref="Y11:Y12"/>
    <mergeCell ref="AE9:AE10"/>
    <mergeCell ref="AF9:AF10"/>
    <mergeCell ref="AG9:AG10"/>
    <mergeCell ref="AH9:AH10"/>
    <mergeCell ref="AI9:AI10"/>
    <mergeCell ref="AJ9:AJ10"/>
    <mergeCell ref="AK9:AK10"/>
    <mergeCell ref="AL9:AL10"/>
    <mergeCell ref="AM9:AM10"/>
    <mergeCell ref="AN9:AN10"/>
    <mergeCell ref="AO9:AO10"/>
    <mergeCell ref="AP9:AP10"/>
    <mergeCell ref="AQ9:AQ10"/>
    <mergeCell ref="AR9:AR10"/>
    <mergeCell ref="AS9:AS10"/>
    <mergeCell ref="AT9:AT10"/>
    <mergeCell ref="AU9:AU10"/>
    <mergeCell ref="BA7:BA8"/>
    <mergeCell ref="BB7:BB8"/>
    <mergeCell ref="BC7:BC8"/>
    <mergeCell ref="BD7:BD8"/>
    <mergeCell ref="BE7:BE8"/>
    <mergeCell ref="BF7:BF8"/>
    <mergeCell ref="BG7:BG8"/>
    <mergeCell ref="A9:A10"/>
    <mergeCell ref="B9:B10"/>
    <mergeCell ref="C9:C10"/>
    <mergeCell ref="D9:D10"/>
    <mergeCell ref="E9:E10"/>
    <mergeCell ref="F9:F10"/>
    <mergeCell ref="G9:G10"/>
    <mergeCell ref="H9:H10"/>
    <mergeCell ref="I9:I10"/>
    <mergeCell ref="J9:J10"/>
    <mergeCell ref="N9:N10"/>
    <mergeCell ref="Q9:Q10"/>
    <mergeCell ref="R9:R10"/>
    <mergeCell ref="S9:S10"/>
    <mergeCell ref="T9:T10"/>
    <mergeCell ref="U9:U10"/>
    <mergeCell ref="V9:V10"/>
    <mergeCell ref="W9:W10"/>
    <mergeCell ref="X9:X10"/>
    <mergeCell ref="Y9:Y10"/>
    <mergeCell ref="Z9:Z10"/>
    <mergeCell ref="AA9:AA10"/>
    <mergeCell ref="AB9:AB10"/>
    <mergeCell ref="AC9:AC10"/>
    <mergeCell ref="AD9:AD10"/>
    <mergeCell ref="AJ7:AJ8"/>
    <mergeCell ref="AK7:AK8"/>
    <mergeCell ref="AL7:AL8"/>
    <mergeCell ref="AM7:AM8"/>
    <mergeCell ref="AN7:AN8"/>
    <mergeCell ref="AO7:AO8"/>
    <mergeCell ref="AP7:AP8"/>
    <mergeCell ref="AQ7:AQ8"/>
    <mergeCell ref="AR7:AR8"/>
    <mergeCell ref="AS7:AS8"/>
    <mergeCell ref="AT7:AT8"/>
    <mergeCell ref="AU7:AU8"/>
    <mergeCell ref="AV7:AV8"/>
    <mergeCell ref="AW7:AW8"/>
    <mergeCell ref="AX7:AX8"/>
    <mergeCell ref="AY7:AY8"/>
    <mergeCell ref="AZ7:AZ8"/>
    <mergeCell ref="BG5:BG6"/>
    <mergeCell ref="AY5:AY6"/>
    <mergeCell ref="AZ5:AZ6"/>
    <mergeCell ref="BA5:BA6"/>
    <mergeCell ref="BB5:BB6"/>
    <mergeCell ref="BC5:BC6"/>
    <mergeCell ref="BD5:BD6"/>
    <mergeCell ref="R7:R8"/>
    <mergeCell ref="S7:S8"/>
    <mergeCell ref="T7:T8"/>
    <mergeCell ref="U7:U8"/>
    <mergeCell ref="V7:V8"/>
    <mergeCell ref="F7:F8"/>
    <mergeCell ref="G7:G8"/>
    <mergeCell ref="H7:H8"/>
    <mergeCell ref="I7:I8"/>
    <mergeCell ref="J7:J8"/>
    <mergeCell ref="Q7:Q8"/>
    <mergeCell ref="N7:N8"/>
    <mergeCell ref="W7:W8"/>
    <mergeCell ref="X7:X8"/>
    <mergeCell ref="Y7:Y8"/>
    <mergeCell ref="Z7:Z8"/>
    <mergeCell ref="AA7:AA8"/>
    <mergeCell ref="AB7:AB8"/>
    <mergeCell ref="AC7:AC8"/>
    <mergeCell ref="AD7:AD8"/>
    <mergeCell ref="AE7:AE8"/>
    <mergeCell ref="AF7:AF8"/>
    <mergeCell ref="AG7:AG8"/>
    <mergeCell ref="AH7:AH8"/>
    <mergeCell ref="AI7:AI8"/>
    <mergeCell ref="BG3:BG4"/>
    <mergeCell ref="A5:A6"/>
    <mergeCell ref="B5:B6"/>
    <mergeCell ref="C5:C6"/>
    <mergeCell ref="D5:D6"/>
    <mergeCell ref="E5:E6"/>
    <mergeCell ref="F5:F6"/>
    <mergeCell ref="G5:G6"/>
    <mergeCell ref="J5:J6"/>
    <mergeCell ref="N5:N6"/>
    <mergeCell ref="Q5:Q6"/>
    <mergeCell ref="R5:R6"/>
    <mergeCell ref="S5:S6"/>
    <mergeCell ref="T5:T6"/>
    <mergeCell ref="U5:U6"/>
    <mergeCell ref="V5:V6"/>
    <mergeCell ref="W5:W6"/>
    <mergeCell ref="X5:X6"/>
    <mergeCell ref="Y5:Y6"/>
    <mergeCell ref="Z5:Z6"/>
    <mergeCell ref="AK5:AK6"/>
    <mergeCell ref="AL5:AL6"/>
    <mergeCell ref="AA5:AA6"/>
    <mergeCell ref="AB5:AB6"/>
    <mergeCell ref="AC5:AC6"/>
    <mergeCell ref="AD5:AD6"/>
    <mergeCell ref="AE5:AE6"/>
    <mergeCell ref="AF5:AF6"/>
    <mergeCell ref="AG5:AG6"/>
    <mergeCell ref="AH5:AH6"/>
    <mergeCell ref="AM5:AM6"/>
    <mergeCell ref="AN5:AN6"/>
    <mergeCell ref="BE3:BE4"/>
    <mergeCell ref="BF3:BF4"/>
    <mergeCell ref="AU3:AU4"/>
    <mergeCell ref="AV3:AV4"/>
    <mergeCell ref="AW3:AW4"/>
    <mergeCell ref="AX3:AX4"/>
    <mergeCell ref="AY3:AY4"/>
    <mergeCell ref="AZ3:AZ4"/>
    <mergeCell ref="H5:H6"/>
    <mergeCell ref="I5:I6"/>
    <mergeCell ref="BA3:BA4"/>
    <mergeCell ref="BB3:BB4"/>
    <mergeCell ref="BC3:BC4"/>
    <mergeCell ref="BD3:BD4"/>
    <mergeCell ref="AO3:AO4"/>
    <mergeCell ref="AP3:AP4"/>
    <mergeCell ref="AQ3:AQ4"/>
    <mergeCell ref="AR3:AR4"/>
    <mergeCell ref="AI5:AI6"/>
    <mergeCell ref="AJ5:AJ6"/>
    <mergeCell ref="AO5:AO6"/>
    <mergeCell ref="AP5:AP6"/>
    <mergeCell ref="AQ5:AQ6"/>
    <mergeCell ref="AR5:AR6"/>
    <mergeCell ref="AS5:AS6"/>
    <mergeCell ref="AT5:AT6"/>
    <mergeCell ref="AU5:AU6"/>
    <mergeCell ref="AV5:AV6"/>
    <mergeCell ref="AW5:AW6"/>
    <mergeCell ref="AX5:AX6"/>
    <mergeCell ref="BE5:BE6"/>
    <mergeCell ref="BF5:BF6"/>
    <mergeCell ref="V3:V4"/>
    <mergeCell ref="W3:W4"/>
    <mergeCell ref="X3:X4"/>
    <mergeCell ref="Y3:Y4"/>
    <mergeCell ref="Z3:Z4"/>
    <mergeCell ref="AA3:AA4"/>
    <mergeCell ref="AB3:AB4"/>
    <mergeCell ref="AC3:AC4"/>
    <mergeCell ref="AD3:AD4"/>
    <mergeCell ref="AE3:AE4"/>
    <mergeCell ref="AF3:AF4"/>
    <mergeCell ref="AG3:AG4"/>
    <mergeCell ref="AH3:AH4"/>
    <mergeCell ref="AS3:AS4"/>
    <mergeCell ref="AT3:AT4"/>
    <mergeCell ref="AI3:AI4"/>
    <mergeCell ref="AJ3:AJ4"/>
    <mergeCell ref="AK3:AK4"/>
    <mergeCell ref="AL3:AL4"/>
    <mergeCell ref="AM3:AM4"/>
    <mergeCell ref="AN3:AN4"/>
    <mergeCell ref="G27:G28"/>
    <mergeCell ref="H27:H28"/>
    <mergeCell ref="I27:I28"/>
    <mergeCell ref="J27:J28"/>
    <mergeCell ref="N27:N28"/>
    <mergeCell ref="Q27:Q28"/>
    <mergeCell ref="A27:A28"/>
    <mergeCell ref="B27:B28"/>
    <mergeCell ref="C27:C28"/>
    <mergeCell ref="D27:D28"/>
    <mergeCell ref="E27:E28"/>
    <mergeCell ref="F27:F28"/>
    <mergeCell ref="A1:O1"/>
    <mergeCell ref="A2:O2"/>
    <mergeCell ref="S3:S4"/>
    <mergeCell ref="T3:T4"/>
    <mergeCell ref="U3:U4"/>
    <mergeCell ref="A7:A8"/>
    <mergeCell ref="B7:B8"/>
    <mergeCell ref="C7:C8"/>
    <mergeCell ref="D7:D8"/>
    <mergeCell ref="E7:E8"/>
    <mergeCell ref="A13:A14"/>
    <mergeCell ref="B13:B14"/>
    <mergeCell ref="C13:C14"/>
    <mergeCell ref="D13:D14"/>
    <mergeCell ref="E13:E14"/>
    <mergeCell ref="F13:F14"/>
    <mergeCell ref="G13:G14"/>
    <mergeCell ref="H13:H14"/>
    <mergeCell ref="I13:I14"/>
    <mergeCell ref="J13:J14"/>
    <mergeCell ref="AD27:AD28"/>
    <mergeCell ref="AE27:AE28"/>
    <mergeCell ref="AF27:AF28"/>
    <mergeCell ref="AG27:AG28"/>
    <mergeCell ref="AH27:AH28"/>
    <mergeCell ref="AI27:AI28"/>
    <mergeCell ref="X27:X28"/>
    <mergeCell ref="Y27:Y28"/>
    <mergeCell ref="Z27:Z28"/>
    <mergeCell ref="AA27:AA28"/>
    <mergeCell ref="AB27:AB28"/>
    <mergeCell ref="AC27:AC28"/>
    <mergeCell ref="R27:R28"/>
    <mergeCell ref="S27:S28"/>
    <mergeCell ref="T27:T28"/>
    <mergeCell ref="U27:U28"/>
    <mergeCell ref="V27:V28"/>
    <mergeCell ref="W27:W28"/>
    <mergeCell ref="BA27:BA28"/>
    <mergeCell ref="BB27:BB28"/>
    <mergeCell ref="BC27:BC28"/>
    <mergeCell ref="BD27:BD28"/>
    <mergeCell ref="BG27:BG28"/>
    <mergeCell ref="AN27:AN28"/>
    <mergeCell ref="AO27:AO28"/>
    <mergeCell ref="AP27:AP28"/>
    <mergeCell ref="AQ27:AQ28"/>
    <mergeCell ref="AR27:AR28"/>
    <mergeCell ref="AS27:AS28"/>
    <mergeCell ref="AT27:AT28"/>
    <mergeCell ref="AU27:AU28"/>
    <mergeCell ref="AV27:AV28"/>
    <mergeCell ref="AJ27:AJ28"/>
    <mergeCell ref="AK27:AK28"/>
    <mergeCell ref="AL27:AL28"/>
    <mergeCell ref="AM27:AM28"/>
    <mergeCell ref="BE27:BE28"/>
    <mergeCell ref="BF27:BF28"/>
    <mergeCell ref="AW27:AW28"/>
    <mergeCell ref="AX27:AX28"/>
    <mergeCell ref="AY27:AY28"/>
    <mergeCell ref="AZ27:AZ28"/>
  </mergeCells>
  <phoneticPr fontId="61" type="noConversion"/>
  <pageMargins left="0" right="0" top="0" bottom="0" header="0" footer="0"/>
  <pageSetup paperSize="9" scale="65"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3"/>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45282</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2" si="0">L5-M5</f>
        <v>0</v>
      </c>
      <c r="P5" s="27">
        <v>0</v>
      </c>
      <c r="Q5" s="99">
        <f>+L6-P6</f>
        <v>1</v>
      </c>
      <c r="R5" s="85" t="s">
        <v>87</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2194+35</f>
        <v>2229</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6.5" customHeight="1">
      <c r="A7" s="108">
        <v>45282</v>
      </c>
      <c r="B7" s="87" t="s">
        <v>37</v>
      </c>
      <c r="C7" s="89">
        <v>1</v>
      </c>
      <c r="D7" s="91" t="s">
        <v>38</v>
      </c>
      <c r="E7" s="89">
        <v>84217</v>
      </c>
      <c r="F7" s="89" t="s">
        <v>49</v>
      </c>
      <c r="G7" s="93" t="s">
        <v>71</v>
      </c>
      <c r="H7" s="90" t="s">
        <v>47</v>
      </c>
      <c r="I7" s="90">
        <v>2804</v>
      </c>
      <c r="J7" s="90">
        <v>2804</v>
      </c>
      <c r="K7" s="20">
        <v>138</v>
      </c>
      <c r="L7" s="20">
        <v>203</v>
      </c>
      <c r="M7" s="20">
        <v>100</v>
      </c>
      <c r="N7" s="97">
        <f>O8/L8</f>
        <v>0.52191235059760954</v>
      </c>
      <c r="O7" s="21">
        <f t="shared" si="0"/>
        <v>103</v>
      </c>
      <c r="P7" s="27">
        <v>246</v>
      </c>
      <c r="Q7" s="99">
        <f>+L8-P8</f>
        <v>377</v>
      </c>
      <c r="R7" s="85"/>
      <c r="S7" s="96">
        <v>43</v>
      </c>
      <c r="T7" s="96"/>
      <c r="U7" s="96"/>
      <c r="V7" s="96"/>
      <c r="W7" s="96"/>
      <c r="X7" s="96">
        <v>1</v>
      </c>
      <c r="Y7" s="96">
        <v>1</v>
      </c>
      <c r="Z7" s="96"/>
      <c r="AA7" s="96"/>
      <c r="AB7" s="96"/>
      <c r="AC7" s="96">
        <v>16</v>
      </c>
      <c r="AD7" s="96"/>
      <c r="AE7" s="96">
        <v>2</v>
      </c>
      <c r="AF7" s="96">
        <v>9</v>
      </c>
      <c r="AG7" s="96">
        <v>7</v>
      </c>
      <c r="AH7" s="96">
        <v>5</v>
      </c>
      <c r="AI7" s="96"/>
      <c r="AJ7" s="96"/>
      <c r="AK7" s="96"/>
      <c r="AL7" s="96">
        <v>19</v>
      </c>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380+305+280+275+155+323+260+280+365+138</f>
        <v>2761</v>
      </c>
      <c r="L8" s="18">
        <f>270+420+350+255+363+280+320+300+203</f>
        <v>2761</v>
      </c>
      <c r="M8" s="18">
        <f>75+240+191+116+194+124+141+139+100</f>
        <v>1320</v>
      </c>
      <c r="N8" s="98"/>
      <c r="O8" s="19">
        <f t="shared" si="0"/>
        <v>1441</v>
      </c>
      <c r="P8" s="22">
        <f>75+240+269+187+501+328+274+264+246</f>
        <v>2384</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45282</v>
      </c>
      <c r="B9" s="87" t="s">
        <v>37</v>
      </c>
      <c r="C9" s="89">
        <v>1</v>
      </c>
      <c r="D9" s="91" t="s">
        <v>38</v>
      </c>
      <c r="E9" s="89">
        <v>84217</v>
      </c>
      <c r="F9" s="89" t="s">
        <v>76</v>
      </c>
      <c r="G9" s="93" t="s">
        <v>71</v>
      </c>
      <c r="H9" s="90" t="s">
        <v>80</v>
      </c>
      <c r="I9" s="90">
        <v>1452</v>
      </c>
      <c r="J9" s="90">
        <v>1452</v>
      </c>
      <c r="K9" s="20">
        <v>49</v>
      </c>
      <c r="L9" s="20">
        <v>74</v>
      </c>
      <c r="M9" s="20">
        <v>24</v>
      </c>
      <c r="N9" s="97">
        <f>O10/L10</f>
        <v>0.73027522935779821</v>
      </c>
      <c r="O9" s="21">
        <f t="shared" si="0"/>
        <v>50</v>
      </c>
      <c r="P9" s="27">
        <v>43</v>
      </c>
      <c r="Q9" s="99">
        <f>+L10-P10</f>
        <v>145</v>
      </c>
      <c r="R9" s="85"/>
      <c r="S9" s="96">
        <v>3</v>
      </c>
      <c r="T9" s="96">
        <v>5</v>
      </c>
      <c r="U9" s="96">
        <v>5</v>
      </c>
      <c r="V9" s="96"/>
      <c r="W9" s="96"/>
      <c r="X9" s="96"/>
      <c r="Y9" s="96"/>
      <c r="Z9" s="96"/>
      <c r="AA9" s="96"/>
      <c r="AB9" s="96"/>
      <c r="AC9" s="96">
        <v>10</v>
      </c>
      <c r="AD9" s="96">
        <v>10</v>
      </c>
      <c r="AE9" s="96"/>
      <c r="AF9" s="96">
        <v>5</v>
      </c>
      <c r="AG9" s="96"/>
      <c r="AH9" s="96">
        <v>5</v>
      </c>
      <c r="AI9" s="96"/>
      <c r="AJ9" s="96"/>
      <c r="AK9" s="96"/>
      <c r="AL9" s="96">
        <v>7</v>
      </c>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53+88+29+47+80+98+101+49</f>
        <v>545</v>
      </c>
      <c r="L10" s="18">
        <f>10+44+80+80+83+80+94+74</f>
        <v>545</v>
      </c>
      <c r="M10" s="18">
        <f>10+30+20+23+20+20+24</f>
        <v>147</v>
      </c>
      <c r="N10" s="98"/>
      <c r="O10" s="19">
        <f t="shared" si="0"/>
        <v>398</v>
      </c>
      <c r="P10" s="22">
        <f>10+74+20+37+30+186+43</f>
        <v>400</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45282</v>
      </c>
      <c r="B11" s="87" t="s">
        <v>37</v>
      </c>
      <c r="C11" s="89">
        <v>1</v>
      </c>
      <c r="D11" s="91" t="s">
        <v>38</v>
      </c>
      <c r="E11" s="89">
        <v>84217</v>
      </c>
      <c r="F11" s="89" t="s">
        <v>76</v>
      </c>
      <c r="G11" s="93" t="s">
        <v>71</v>
      </c>
      <c r="H11" s="90" t="s">
        <v>75</v>
      </c>
      <c r="I11" s="90">
        <v>2615</v>
      </c>
      <c r="J11" s="90">
        <v>2615</v>
      </c>
      <c r="K11" s="20">
        <f>58+130</f>
        <v>188</v>
      </c>
      <c r="L11" s="20">
        <f>58+90</f>
        <v>148</v>
      </c>
      <c r="M11" s="20">
        <f>20+51</f>
        <v>71</v>
      </c>
      <c r="N11" s="97">
        <f>O12/L12</f>
        <v>0.64612954186413907</v>
      </c>
      <c r="O11" s="21">
        <f t="shared" si="0"/>
        <v>77</v>
      </c>
      <c r="P11" s="27">
        <f>68+51</f>
        <v>119</v>
      </c>
      <c r="Q11" s="99">
        <f>+L12-P12</f>
        <v>143</v>
      </c>
      <c r="R11" s="85"/>
      <c r="S11" s="96"/>
      <c r="T11" s="96">
        <f>12+8</f>
        <v>20</v>
      </c>
      <c r="U11" s="96">
        <v>5</v>
      </c>
      <c r="V11" s="96"/>
      <c r="W11" s="96"/>
      <c r="X11" s="96"/>
      <c r="Y11" s="96"/>
      <c r="Z11" s="96"/>
      <c r="AA11" s="96"/>
      <c r="AB11" s="96"/>
      <c r="AC11" s="96">
        <v>20</v>
      </c>
      <c r="AD11" s="96"/>
      <c r="AE11" s="96"/>
      <c r="AF11" s="96">
        <v>12</v>
      </c>
      <c r="AG11" s="96">
        <v>4</v>
      </c>
      <c r="AH11" s="96">
        <v>11</v>
      </c>
      <c r="AI11" s="96"/>
      <c r="AJ11" s="96"/>
      <c r="AK11" s="96"/>
      <c r="AL11" s="96">
        <v>5</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111+127+62+63+122+58+130</f>
        <v>673</v>
      </c>
      <c r="L12" s="18">
        <f>10+198+92+63+122+58+90</f>
        <v>633</v>
      </c>
      <c r="M12" s="18">
        <f>70+33+11+39+20+51</f>
        <v>224</v>
      </c>
      <c r="N12" s="98"/>
      <c r="O12" s="19">
        <f t="shared" si="0"/>
        <v>409</v>
      </c>
      <c r="P12" s="22">
        <f>80+47+182+62+68+51</f>
        <v>490</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5.75" customHeight="1">
      <c r="A13" s="108">
        <v>45282</v>
      </c>
      <c r="B13" s="87" t="s">
        <v>37</v>
      </c>
      <c r="C13" s="89">
        <v>1</v>
      </c>
      <c r="D13" s="91" t="s">
        <v>38</v>
      </c>
      <c r="E13" s="89">
        <v>84212</v>
      </c>
      <c r="F13" s="89" t="s">
        <v>49</v>
      </c>
      <c r="G13" s="93" t="s">
        <v>55</v>
      </c>
      <c r="H13" s="90" t="s">
        <v>67</v>
      </c>
      <c r="I13" s="90">
        <v>1813</v>
      </c>
      <c r="J13" s="90">
        <v>1813</v>
      </c>
      <c r="K13" s="20">
        <v>11</v>
      </c>
      <c r="L13" s="20">
        <v>11</v>
      </c>
      <c r="M13" s="20">
        <v>11</v>
      </c>
      <c r="N13" s="97">
        <f>O14/L14</f>
        <v>0.75884955752212391</v>
      </c>
      <c r="O13" s="21">
        <f t="shared" si="0"/>
        <v>0</v>
      </c>
      <c r="P13" s="27">
        <v>11</v>
      </c>
      <c r="Q13" s="99">
        <f>+L14-P14</f>
        <v>0</v>
      </c>
      <c r="R13" s="85"/>
      <c r="S13" s="96"/>
      <c r="T13" s="96"/>
      <c r="U13" s="96"/>
      <c r="V13" s="96"/>
      <c r="W13" s="96"/>
      <c r="X13" s="96"/>
      <c r="Y13" s="96"/>
      <c r="Z13" s="96"/>
      <c r="AA13" s="96"/>
      <c r="AB13" s="96"/>
      <c r="AC13" s="96"/>
      <c r="AD13" s="96"/>
      <c r="AE13" s="96"/>
      <c r="AF13" s="96"/>
      <c r="AG13" s="96"/>
      <c r="AH13" s="96"/>
      <c r="AI13" s="96"/>
      <c r="AJ13" s="96"/>
      <c r="AK13" s="96"/>
      <c r="AL13" s="96"/>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272+145+148+175+345+259+198+95+65+82+13+11</f>
        <v>1808</v>
      </c>
      <c r="L14" s="18">
        <f>30+110+235+150+484+100+160+348+142+38+11</f>
        <v>1808</v>
      </c>
      <c r="M14" s="18">
        <f>5+10+50+40+110+10+55+118+27+11</f>
        <v>436</v>
      </c>
      <c r="N14" s="98"/>
      <c r="O14" s="19">
        <f t="shared" si="0"/>
        <v>1372</v>
      </c>
      <c r="P14" s="22">
        <f>5+10+65+80+262+130+217+170+330+32+171+120+146+59+11</f>
        <v>1808</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5.75" customHeight="1">
      <c r="A15" s="108">
        <v>45282</v>
      </c>
      <c r="B15" s="87" t="s">
        <v>37</v>
      </c>
      <c r="C15" s="89">
        <v>1</v>
      </c>
      <c r="D15" s="91" t="s">
        <v>38</v>
      </c>
      <c r="E15" s="89">
        <v>84212</v>
      </c>
      <c r="F15" s="89" t="s">
        <v>49</v>
      </c>
      <c r="G15" s="93" t="s">
        <v>55</v>
      </c>
      <c r="H15" s="90" t="s">
        <v>62</v>
      </c>
      <c r="I15" s="90">
        <v>2218</v>
      </c>
      <c r="J15" s="90">
        <v>1640</v>
      </c>
      <c r="K15" s="20">
        <v>0</v>
      </c>
      <c r="L15" s="20">
        <v>0</v>
      </c>
      <c r="M15" s="20">
        <v>0</v>
      </c>
      <c r="N15" s="97">
        <f>O16/L16</f>
        <v>0.6720197652872143</v>
      </c>
      <c r="O15" s="21">
        <f t="shared" si="0"/>
        <v>0</v>
      </c>
      <c r="P15" s="27">
        <v>96</v>
      </c>
      <c r="Q15" s="99">
        <f>+L16-P16</f>
        <v>162</v>
      </c>
      <c r="R15" s="85"/>
      <c r="S15" s="96"/>
      <c r="T15" s="96"/>
      <c r="U15" s="96"/>
      <c r="V15" s="96"/>
      <c r="W15" s="96"/>
      <c r="X15" s="96"/>
      <c r="Y15" s="96"/>
      <c r="Z15" s="96"/>
      <c r="AA15" s="96"/>
      <c r="AB15" s="96"/>
      <c r="AC15" s="96"/>
      <c r="AD15" s="96"/>
      <c r="AE15" s="96"/>
      <c r="AF15" s="96"/>
      <c r="AG15" s="96"/>
      <c r="AH15" s="96"/>
      <c r="AI15" s="96"/>
      <c r="AJ15" s="96"/>
      <c r="AK15" s="96"/>
      <c r="AL15" s="96"/>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166+95+22+85+70+260+370+120+220+200+11</f>
        <v>1619</v>
      </c>
      <c r="L16" s="18">
        <f>40+40+160+43+115+140+230+340+210+210+91</f>
        <v>1619</v>
      </c>
      <c r="M16" s="18">
        <f>6+14+50+20+50+60+110+90+60+40+31</f>
        <v>531</v>
      </c>
      <c r="N16" s="98"/>
      <c r="O16" s="19">
        <f t="shared" si="0"/>
        <v>1088</v>
      </c>
      <c r="P16" s="22">
        <f>6+14+50+28+64+69+71+77+120+253+93+337+179+96</f>
        <v>1457</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45282</v>
      </c>
      <c r="B17" s="87" t="s">
        <v>37</v>
      </c>
      <c r="C17" s="89">
        <v>1</v>
      </c>
      <c r="D17" s="91" t="s">
        <v>38</v>
      </c>
      <c r="E17" s="89">
        <v>84212</v>
      </c>
      <c r="F17" s="89" t="s">
        <v>49</v>
      </c>
      <c r="G17" s="93" t="s">
        <v>55</v>
      </c>
      <c r="H17" s="90" t="s">
        <v>50</v>
      </c>
      <c r="I17" s="90">
        <v>588</v>
      </c>
      <c r="J17" s="90">
        <v>588</v>
      </c>
      <c r="K17" s="20">
        <v>104</v>
      </c>
      <c r="L17" s="20">
        <v>144</v>
      </c>
      <c r="M17" s="20">
        <v>56</v>
      </c>
      <c r="N17" s="97">
        <f>O18/L18</f>
        <v>0.55917667238421953</v>
      </c>
      <c r="O17" s="21">
        <f t="shared" si="0"/>
        <v>88</v>
      </c>
      <c r="P17" s="27">
        <v>76</v>
      </c>
      <c r="Q17" s="99">
        <f>+L18-P18</f>
        <v>98</v>
      </c>
      <c r="R17" s="85"/>
      <c r="S17" s="96"/>
      <c r="T17" s="96">
        <v>31</v>
      </c>
      <c r="U17" s="96">
        <v>5</v>
      </c>
      <c r="V17" s="96"/>
      <c r="W17" s="96"/>
      <c r="X17" s="96"/>
      <c r="Y17" s="96"/>
      <c r="Z17" s="96"/>
      <c r="AA17" s="96"/>
      <c r="AB17" s="96"/>
      <c r="AC17" s="96">
        <v>6</v>
      </c>
      <c r="AD17" s="96"/>
      <c r="AE17" s="96"/>
      <c r="AF17" s="96">
        <v>3</v>
      </c>
      <c r="AG17" s="96">
        <v>31</v>
      </c>
      <c r="AH17" s="96">
        <v>3</v>
      </c>
      <c r="AI17" s="96"/>
      <c r="AJ17" s="96"/>
      <c r="AK17" s="96"/>
      <c r="AL17" s="96">
        <v>9</v>
      </c>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72">
        <f>114+135+90+80+60+104</f>
        <v>583</v>
      </c>
      <c r="L18" s="18">
        <f>77+105+80+120+57+144</f>
        <v>583</v>
      </c>
      <c r="M18" s="18">
        <f>37+57+30+50+27+56</f>
        <v>257</v>
      </c>
      <c r="N18" s="98"/>
      <c r="O18" s="19">
        <f t="shared" si="0"/>
        <v>326</v>
      </c>
      <c r="P18" s="22">
        <f>37+57+45+173+97+76</f>
        <v>485</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45282</v>
      </c>
      <c r="B19" s="87" t="s">
        <v>37</v>
      </c>
      <c r="C19" s="89">
        <v>1</v>
      </c>
      <c r="D19" s="91" t="s">
        <v>38</v>
      </c>
      <c r="E19" s="89">
        <v>84212</v>
      </c>
      <c r="F19" s="89" t="s">
        <v>49</v>
      </c>
      <c r="G19" s="93" t="s">
        <v>61</v>
      </c>
      <c r="H19" s="89" t="s">
        <v>59</v>
      </c>
      <c r="I19" s="89">
        <v>515</v>
      </c>
      <c r="J19" s="89">
        <v>515</v>
      </c>
      <c r="K19" s="20">
        <v>0</v>
      </c>
      <c r="L19" s="20">
        <v>0</v>
      </c>
      <c r="M19" s="20">
        <v>0</v>
      </c>
      <c r="N19" s="146">
        <f>O20/L20</f>
        <v>0.62548262548262545</v>
      </c>
      <c r="O19" s="21">
        <f t="shared" si="0"/>
        <v>0</v>
      </c>
      <c r="P19" s="27">
        <v>10</v>
      </c>
      <c r="Q19" s="99">
        <f>+L20-P20</f>
        <v>0</v>
      </c>
      <c r="R19" s="108"/>
      <c r="S19" s="149"/>
      <c r="T19" s="149"/>
      <c r="U19" s="149"/>
      <c r="V19" s="149"/>
      <c r="W19" s="149"/>
      <c r="X19" s="149"/>
      <c r="Y19" s="149"/>
      <c r="Z19" s="149"/>
      <c r="AA19" s="149"/>
      <c r="AB19" s="149"/>
      <c r="AC19" s="149"/>
      <c r="AD19" s="149"/>
      <c r="AE19" s="149"/>
      <c r="AF19" s="149"/>
      <c r="AG19" s="149"/>
      <c r="AH19" s="149"/>
      <c r="AI19" s="149"/>
      <c r="AJ19" s="149"/>
      <c r="AK19" s="149"/>
      <c r="AL19" s="149"/>
      <c r="AM19" s="163"/>
      <c r="AN19" s="163"/>
      <c r="AO19" s="163"/>
      <c r="AP19" s="163"/>
      <c r="AQ19" s="163"/>
      <c r="AR19" s="163"/>
      <c r="AS19" s="163"/>
      <c r="AT19" s="163"/>
      <c r="AU19" s="163"/>
      <c r="AV19" s="163"/>
      <c r="AW19" s="163"/>
      <c r="AX19" s="163"/>
      <c r="AY19" s="167"/>
      <c r="AZ19" s="167"/>
      <c r="BA19" s="167"/>
      <c r="BB19" s="167"/>
      <c r="BC19" s="167"/>
      <c r="BD19" s="167"/>
      <c r="BE19" s="163"/>
      <c r="BF19" s="165"/>
      <c r="BG19" s="165"/>
    </row>
    <row r="20" spans="1:59" s="17" customFormat="1" ht="15.75" customHeight="1">
      <c r="A20" s="85"/>
      <c r="B20" s="88"/>
      <c r="C20" s="90"/>
      <c r="D20" s="92"/>
      <c r="E20" s="90"/>
      <c r="F20" s="90"/>
      <c r="G20" s="94"/>
      <c r="H20" s="90"/>
      <c r="I20" s="90"/>
      <c r="J20" s="90"/>
      <c r="K20" s="22">
        <f>149+124+88+81+76</f>
        <v>518</v>
      </c>
      <c r="L20" s="18">
        <f>149+138+40+115+76</f>
        <v>518</v>
      </c>
      <c r="M20" s="18">
        <f>60+50+10+39+35</f>
        <v>194</v>
      </c>
      <c r="N20" s="147"/>
      <c r="O20" s="19">
        <f t="shared" si="0"/>
        <v>324</v>
      </c>
      <c r="P20" s="22">
        <f>60+60+77+145+36+40+90+10</f>
        <v>518</v>
      </c>
      <c r="Q20" s="100"/>
      <c r="R20" s="85"/>
      <c r="S20" s="150"/>
      <c r="T20" s="150"/>
      <c r="U20" s="150"/>
      <c r="V20" s="150"/>
      <c r="W20" s="150"/>
      <c r="X20" s="150"/>
      <c r="Y20" s="150"/>
      <c r="Z20" s="150"/>
      <c r="AA20" s="150"/>
      <c r="AB20" s="150"/>
      <c r="AC20" s="150"/>
      <c r="AD20" s="150"/>
      <c r="AE20" s="150"/>
      <c r="AF20" s="150"/>
      <c r="AG20" s="150"/>
      <c r="AH20" s="150"/>
      <c r="AI20" s="150"/>
      <c r="AJ20" s="150"/>
      <c r="AK20" s="150"/>
      <c r="AL20" s="150"/>
      <c r="AM20" s="164"/>
      <c r="AN20" s="164"/>
      <c r="AO20" s="164"/>
      <c r="AP20" s="164"/>
      <c r="AQ20" s="164"/>
      <c r="AR20" s="164"/>
      <c r="AS20" s="164"/>
      <c r="AT20" s="164"/>
      <c r="AU20" s="164"/>
      <c r="AV20" s="164"/>
      <c r="AW20" s="164"/>
      <c r="AX20" s="164"/>
      <c r="AY20" s="168"/>
      <c r="AZ20" s="168"/>
      <c r="BA20" s="168"/>
      <c r="BB20" s="168"/>
      <c r="BC20" s="168"/>
      <c r="BD20" s="168"/>
      <c r="BE20" s="164"/>
      <c r="BF20" s="166"/>
      <c r="BG20" s="166"/>
    </row>
    <row r="21" spans="1:59" s="17" customFormat="1" ht="15.75" customHeight="1">
      <c r="A21" s="108">
        <v>45282</v>
      </c>
      <c r="B21" s="87" t="s">
        <v>37</v>
      </c>
      <c r="C21" s="89">
        <v>1</v>
      </c>
      <c r="D21" s="91" t="s">
        <v>38</v>
      </c>
      <c r="E21" s="89">
        <v>84212</v>
      </c>
      <c r="F21" s="89" t="s">
        <v>49</v>
      </c>
      <c r="G21" s="93" t="s">
        <v>61</v>
      </c>
      <c r="H21" s="89" t="s">
        <v>50</v>
      </c>
      <c r="I21" s="89">
        <v>925</v>
      </c>
      <c r="J21" s="89">
        <v>925</v>
      </c>
      <c r="K21" s="20">
        <v>60</v>
      </c>
      <c r="L21" s="20">
        <v>60</v>
      </c>
      <c r="M21" s="20">
        <v>15</v>
      </c>
      <c r="N21" s="146">
        <f>O22/L22</f>
        <v>0.70466321243523311</v>
      </c>
      <c r="O21" s="21">
        <f t="shared" si="0"/>
        <v>45</v>
      </c>
      <c r="P21" s="27">
        <v>38</v>
      </c>
      <c r="Q21" s="99">
        <f>+L22-P22</f>
        <v>93</v>
      </c>
      <c r="R21" s="108"/>
      <c r="S21" s="149"/>
      <c r="T21" s="149">
        <v>7</v>
      </c>
      <c r="U21" s="149">
        <v>4</v>
      </c>
      <c r="V21" s="149"/>
      <c r="W21" s="149"/>
      <c r="X21" s="149">
        <v>2</v>
      </c>
      <c r="Y21" s="149"/>
      <c r="Z21" s="149"/>
      <c r="AA21" s="149"/>
      <c r="AB21" s="149"/>
      <c r="AC21" s="149">
        <v>6</v>
      </c>
      <c r="AD21" s="149"/>
      <c r="AE21" s="149">
        <v>4</v>
      </c>
      <c r="AF21" s="149"/>
      <c r="AG21" s="149">
        <v>10</v>
      </c>
      <c r="AH21" s="149">
        <v>5</v>
      </c>
      <c r="AI21" s="149"/>
      <c r="AJ21" s="149"/>
      <c r="AK21" s="149"/>
      <c r="AL21" s="149">
        <v>7</v>
      </c>
      <c r="AM21" s="163"/>
      <c r="AN21" s="163"/>
      <c r="AO21" s="163"/>
      <c r="AP21" s="163"/>
      <c r="AQ21" s="163"/>
      <c r="AR21" s="163"/>
      <c r="AS21" s="163"/>
      <c r="AT21" s="163"/>
      <c r="AU21" s="163"/>
      <c r="AV21" s="163"/>
      <c r="AW21" s="163"/>
      <c r="AX21" s="163"/>
      <c r="AY21" s="167"/>
      <c r="AZ21" s="167"/>
      <c r="BA21" s="167"/>
      <c r="BB21" s="167"/>
      <c r="BC21" s="167"/>
      <c r="BD21" s="167"/>
      <c r="BE21" s="163"/>
      <c r="BF21" s="165"/>
      <c r="BG21" s="165"/>
    </row>
    <row r="22" spans="1:59" s="17" customFormat="1" ht="15.75" customHeight="1">
      <c r="A22" s="85"/>
      <c r="B22" s="88"/>
      <c r="C22" s="90"/>
      <c r="D22" s="92"/>
      <c r="E22" s="90"/>
      <c r="F22" s="90"/>
      <c r="G22" s="94"/>
      <c r="H22" s="90"/>
      <c r="I22" s="90"/>
      <c r="J22" s="90"/>
      <c r="K22" s="22">
        <f>53+10+70+60</f>
        <v>193</v>
      </c>
      <c r="L22" s="18">
        <f>63+70+60</f>
        <v>193</v>
      </c>
      <c r="M22" s="18">
        <f>24+18+15</f>
        <v>57</v>
      </c>
      <c r="N22" s="147"/>
      <c r="O22" s="19">
        <f t="shared" si="0"/>
        <v>136</v>
      </c>
      <c r="P22" s="22">
        <f>24+38+38</f>
        <v>100</v>
      </c>
      <c r="Q22" s="100"/>
      <c r="R22" s="85"/>
      <c r="S22" s="150"/>
      <c r="T22" s="150"/>
      <c r="U22" s="150"/>
      <c r="V22" s="150"/>
      <c r="W22" s="150"/>
      <c r="X22" s="150"/>
      <c r="Y22" s="150"/>
      <c r="Z22" s="150"/>
      <c r="AA22" s="150"/>
      <c r="AB22" s="150"/>
      <c r="AC22" s="150"/>
      <c r="AD22" s="150"/>
      <c r="AE22" s="150"/>
      <c r="AF22" s="150"/>
      <c r="AG22" s="150"/>
      <c r="AH22" s="150"/>
      <c r="AI22" s="150"/>
      <c r="AJ22" s="150"/>
      <c r="AK22" s="150"/>
      <c r="AL22" s="150"/>
      <c r="AM22" s="164"/>
      <c r="AN22" s="164"/>
      <c r="AO22" s="164"/>
      <c r="AP22" s="164"/>
      <c r="AQ22" s="164"/>
      <c r="AR22" s="164"/>
      <c r="AS22" s="164"/>
      <c r="AT22" s="164"/>
      <c r="AU22" s="164"/>
      <c r="AV22" s="164"/>
      <c r="AW22" s="164"/>
      <c r="AX22" s="164"/>
      <c r="AY22" s="168"/>
      <c r="AZ22" s="168"/>
      <c r="BA22" s="168"/>
      <c r="BB22" s="168"/>
      <c r="BC22" s="168"/>
      <c r="BD22" s="168"/>
      <c r="BE22" s="164"/>
      <c r="BF22" s="166"/>
      <c r="BG22" s="166"/>
    </row>
    <row r="23" spans="1:59" s="17" customFormat="1" ht="15.75" customHeight="1">
      <c r="A23" s="108">
        <v>45282</v>
      </c>
      <c r="B23" s="87" t="s">
        <v>37</v>
      </c>
      <c r="C23" s="89">
        <v>1</v>
      </c>
      <c r="D23" s="91" t="s">
        <v>38</v>
      </c>
      <c r="E23" s="89">
        <v>84212</v>
      </c>
      <c r="F23" s="89" t="s">
        <v>49</v>
      </c>
      <c r="G23" s="93" t="s">
        <v>61</v>
      </c>
      <c r="H23" s="89" t="s">
        <v>62</v>
      </c>
      <c r="I23" s="89">
        <v>1327</v>
      </c>
      <c r="J23" s="89">
        <v>1327</v>
      </c>
      <c r="K23" s="20">
        <v>106</v>
      </c>
      <c r="L23" s="20">
        <v>106</v>
      </c>
      <c r="M23" s="20">
        <v>26</v>
      </c>
      <c r="N23" s="146">
        <f>O24/L24</f>
        <v>0.81052631578947365</v>
      </c>
      <c r="O23" s="21">
        <f t="shared" si="0"/>
        <v>80</v>
      </c>
      <c r="P23" s="27">
        <v>30</v>
      </c>
      <c r="Q23" s="99">
        <f>+L24-P24</f>
        <v>130</v>
      </c>
      <c r="R23" s="108"/>
      <c r="S23" s="149"/>
      <c r="T23" s="149">
        <v>7</v>
      </c>
      <c r="U23" s="149">
        <v>5</v>
      </c>
      <c r="V23" s="149"/>
      <c r="W23" s="149"/>
      <c r="X23" s="149"/>
      <c r="Y23" s="149"/>
      <c r="Z23" s="149">
        <v>5</v>
      </c>
      <c r="AA23" s="149"/>
      <c r="AB23" s="149"/>
      <c r="AC23" s="149">
        <v>9</v>
      </c>
      <c r="AD23" s="149"/>
      <c r="AE23" s="149"/>
      <c r="AF23" s="149"/>
      <c r="AG23" s="149"/>
      <c r="AH23" s="149">
        <v>14</v>
      </c>
      <c r="AI23" s="149"/>
      <c r="AJ23" s="149"/>
      <c r="AK23" s="149"/>
      <c r="AL23" s="149">
        <v>40</v>
      </c>
      <c r="AM23" s="163"/>
      <c r="AN23" s="163"/>
      <c r="AO23" s="163"/>
      <c r="AP23" s="163"/>
      <c r="AQ23" s="163"/>
      <c r="AR23" s="163"/>
      <c r="AS23" s="163"/>
      <c r="AT23" s="163"/>
      <c r="AU23" s="163"/>
      <c r="AV23" s="163"/>
      <c r="AW23" s="163"/>
      <c r="AX23" s="163"/>
      <c r="AY23" s="167"/>
      <c r="AZ23" s="167"/>
      <c r="BA23" s="167"/>
      <c r="BB23" s="167"/>
      <c r="BC23" s="167"/>
      <c r="BD23" s="167"/>
      <c r="BE23" s="163"/>
      <c r="BF23" s="165"/>
      <c r="BG23" s="165"/>
    </row>
    <row r="24" spans="1:59" s="17" customFormat="1" ht="15.75" customHeight="1">
      <c r="A24" s="85"/>
      <c r="B24" s="88"/>
      <c r="C24" s="90"/>
      <c r="D24" s="92"/>
      <c r="E24" s="90"/>
      <c r="F24" s="90"/>
      <c r="G24" s="94"/>
      <c r="H24" s="90"/>
      <c r="I24" s="90"/>
      <c r="J24" s="90"/>
      <c r="K24" s="22">
        <f>49+35+106</f>
        <v>190</v>
      </c>
      <c r="L24" s="18">
        <f>49+35+106</f>
        <v>190</v>
      </c>
      <c r="M24" s="18">
        <f>5+5+26</f>
        <v>36</v>
      </c>
      <c r="N24" s="147"/>
      <c r="O24" s="19">
        <f t="shared" si="0"/>
        <v>154</v>
      </c>
      <c r="P24" s="22">
        <f>5+25+30</f>
        <v>60</v>
      </c>
      <c r="Q24" s="100"/>
      <c r="R24" s="85"/>
      <c r="S24" s="150"/>
      <c r="T24" s="150"/>
      <c r="U24" s="150"/>
      <c r="V24" s="150"/>
      <c r="W24" s="150"/>
      <c r="X24" s="150"/>
      <c r="Y24" s="150"/>
      <c r="Z24" s="150"/>
      <c r="AA24" s="150"/>
      <c r="AB24" s="150"/>
      <c r="AC24" s="150"/>
      <c r="AD24" s="150"/>
      <c r="AE24" s="150"/>
      <c r="AF24" s="150"/>
      <c r="AG24" s="150"/>
      <c r="AH24" s="150"/>
      <c r="AI24" s="150"/>
      <c r="AJ24" s="150"/>
      <c r="AK24" s="150"/>
      <c r="AL24" s="150"/>
      <c r="AM24" s="164"/>
      <c r="AN24" s="164"/>
      <c r="AO24" s="164"/>
      <c r="AP24" s="164"/>
      <c r="AQ24" s="164"/>
      <c r="AR24" s="164"/>
      <c r="AS24" s="164"/>
      <c r="AT24" s="164"/>
      <c r="AU24" s="164"/>
      <c r="AV24" s="164"/>
      <c r="AW24" s="164"/>
      <c r="AX24" s="164"/>
      <c r="AY24" s="168"/>
      <c r="AZ24" s="168"/>
      <c r="BA24" s="168"/>
      <c r="BB24" s="168"/>
      <c r="BC24" s="168"/>
      <c r="BD24" s="168"/>
      <c r="BE24" s="164"/>
      <c r="BF24" s="166"/>
      <c r="BG24" s="166"/>
    </row>
    <row r="25" spans="1:59" s="17" customFormat="1" ht="15.75" customHeight="1">
      <c r="A25" s="108">
        <v>45282</v>
      </c>
      <c r="B25" s="87" t="s">
        <v>37</v>
      </c>
      <c r="C25" s="89">
        <v>1</v>
      </c>
      <c r="D25" s="91" t="s">
        <v>38</v>
      </c>
      <c r="E25" s="89">
        <v>84212</v>
      </c>
      <c r="F25" s="89" t="s">
        <v>49</v>
      </c>
      <c r="G25" s="93" t="s">
        <v>63</v>
      </c>
      <c r="H25" s="89" t="s">
        <v>62</v>
      </c>
      <c r="I25" s="89">
        <v>2344</v>
      </c>
      <c r="J25" s="89">
        <v>2344</v>
      </c>
      <c r="K25" s="20">
        <v>60</v>
      </c>
      <c r="L25" s="20">
        <v>60</v>
      </c>
      <c r="M25" s="20">
        <v>0</v>
      </c>
      <c r="N25" s="146">
        <f>O26/L26</f>
        <v>0.86573146292585168</v>
      </c>
      <c r="O25" s="21">
        <f t="shared" si="0"/>
        <v>60</v>
      </c>
      <c r="P25" s="27">
        <v>73</v>
      </c>
      <c r="Q25" s="99">
        <f>+L26-P26</f>
        <v>124</v>
      </c>
      <c r="R25" s="108"/>
      <c r="S25" s="149"/>
      <c r="T25" s="149">
        <v>10</v>
      </c>
      <c r="U25" s="149"/>
      <c r="V25" s="149"/>
      <c r="W25" s="149"/>
      <c r="X25" s="149"/>
      <c r="Y25" s="149"/>
      <c r="Z25" s="149"/>
      <c r="AA25" s="149"/>
      <c r="AB25" s="149"/>
      <c r="AC25" s="149">
        <v>15</v>
      </c>
      <c r="AD25" s="149"/>
      <c r="AE25" s="149">
        <v>8</v>
      </c>
      <c r="AF25" s="149">
        <v>12</v>
      </c>
      <c r="AG25" s="149"/>
      <c r="AH25" s="149">
        <v>12</v>
      </c>
      <c r="AI25" s="149"/>
      <c r="AJ25" s="149"/>
      <c r="AK25" s="149"/>
      <c r="AL25" s="149">
        <v>3</v>
      </c>
      <c r="AM25" s="163"/>
      <c r="AN25" s="163"/>
      <c r="AO25" s="163"/>
      <c r="AP25" s="163"/>
      <c r="AQ25" s="163"/>
      <c r="AR25" s="163"/>
      <c r="AS25" s="163"/>
      <c r="AT25" s="163"/>
      <c r="AU25" s="163"/>
      <c r="AV25" s="163"/>
      <c r="AW25" s="163"/>
      <c r="AX25" s="163"/>
      <c r="AY25" s="167"/>
      <c r="AZ25" s="167"/>
      <c r="BA25" s="167"/>
      <c r="BB25" s="167"/>
      <c r="BC25" s="167"/>
      <c r="BD25" s="167"/>
      <c r="BE25" s="163"/>
      <c r="BF25" s="165"/>
      <c r="BG25" s="165"/>
    </row>
    <row r="26" spans="1:59" s="17" customFormat="1" ht="15.75" customHeight="1">
      <c r="A26" s="85"/>
      <c r="B26" s="88"/>
      <c r="C26" s="90"/>
      <c r="D26" s="92"/>
      <c r="E26" s="90"/>
      <c r="F26" s="90"/>
      <c r="G26" s="94"/>
      <c r="H26" s="90"/>
      <c r="I26" s="90"/>
      <c r="J26" s="90"/>
      <c r="K26" s="22">
        <f>102+90+70+80+97+60</f>
        <v>499</v>
      </c>
      <c r="L26" s="18">
        <f>32+110+120+80+97+60</f>
        <v>499</v>
      </c>
      <c r="M26" s="18">
        <f>20+20+10+17</f>
        <v>67</v>
      </c>
      <c r="N26" s="147"/>
      <c r="O26" s="19">
        <f t="shared" si="0"/>
        <v>432</v>
      </c>
      <c r="P26" s="22">
        <f>20+80+126+76+73</f>
        <v>375</v>
      </c>
      <c r="Q26" s="100"/>
      <c r="R26" s="85"/>
      <c r="S26" s="150"/>
      <c r="T26" s="150"/>
      <c r="U26" s="150"/>
      <c r="V26" s="150"/>
      <c r="W26" s="150"/>
      <c r="X26" s="150"/>
      <c r="Y26" s="150"/>
      <c r="Z26" s="150"/>
      <c r="AA26" s="150"/>
      <c r="AB26" s="150"/>
      <c r="AC26" s="150"/>
      <c r="AD26" s="150"/>
      <c r="AE26" s="150"/>
      <c r="AF26" s="150"/>
      <c r="AG26" s="150"/>
      <c r="AH26" s="150"/>
      <c r="AI26" s="150"/>
      <c r="AJ26" s="150"/>
      <c r="AK26" s="150"/>
      <c r="AL26" s="150"/>
      <c r="AM26" s="164"/>
      <c r="AN26" s="164"/>
      <c r="AO26" s="164"/>
      <c r="AP26" s="164"/>
      <c r="AQ26" s="164"/>
      <c r="AR26" s="164"/>
      <c r="AS26" s="164"/>
      <c r="AT26" s="164"/>
      <c r="AU26" s="164"/>
      <c r="AV26" s="164"/>
      <c r="AW26" s="164"/>
      <c r="AX26" s="164"/>
      <c r="AY26" s="168"/>
      <c r="AZ26" s="168"/>
      <c r="BA26" s="168"/>
      <c r="BB26" s="168"/>
      <c r="BC26" s="168"/>
      <c r="BD26" s="168"/>
      <c r="BE26" s="164"/>
      <c r="BF26" s="166"/>
      <c r="BG26" s="166"/>
    </row>
    <row r="27" spans="1:59" s="17" customFormat="1" ht="15.75" customHeight="1">
      <c r="A27" s="108">
        <v>45282</v>
      </c>
      <c r="B27" s="87" t="s">
        <v>37</v>
      </c>
      <c r="C27" s="89">
        <v>1</v>
      </c>
      <c r="D27" s="91" t="s">
        <v>38</v>
      </c>
      <c r="E27" s="89">
        <v>84212</v>
      </c>
      <c r="F27" s="89" t="s">
        <v>49</v>
      </c>
      <c r="G27" s="93" t="s">
        <v>63</v>
      </c>
      <c r="H27" s="89" t="s">
        <v>41</v>
      </c>
      <c r="I27" s="89">
        <v>1732</v>
      </c>
      <c r="J27" s="89">
        <v>1732</v>
      </c>
      <c r="K27" s="20">
        <v>210</v>
      </c>
      <c r="L27" s="20">
        <v>160</v>
      </c>
      <c r="M27" s="20">
        <v>70</v>
      </c>
      <c r="N27" s="146">
        <f>O28/L28</f>
        <v>0.6</v>
      </c>
      <c r="O27" s="21">
        <f t="shared" si="0"/>
        <v>90</v>
      </c>
      <c r="P27" s="27">
        <v>70</v>
      </c>
      <c r="Q27" s="99">
        <f>+L28-P28</f>
        <v>120</v>
      </c>
      <c r="R27" s="108"/>
      <c r="S27" s="149"/>
      <c r="T27" s="149">
        <v>23</v>
      </c>
      <c r="U27" s="149"/>
      <c r="V27" s="149"/>
      <c r="W27" s="149"/>
      <c r="X27" s="149">
        <v>3</v>
      </c>
      <c r="Y27" s="149"/>
      <c r="Z27" s="149"/>
      <c r="AA27" s="149"/>
      <c r="AB27" s="149"/>
      <c r="AC27" s="149">
        <v>15</v>
      </c>
      <c r="AD27" s="149"/>
      <c r="AE27" s="149"/>
      <c r="AF27" s="149">
        <v>15</v>
      </c>
      <c r="AG27" s="149">
        <v>9</v>
      </c>
      <c r="AH27" s="149">
        <v>21</v>
      </c>
      <c r="AI27" s="149"/>
      <c r="AJ27" s="149"/>
      <c r="AK27" s="149"/>
      <c r="AL27" s="149">
        <v>4</v>
      </c>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120+210</f>
        <v>330</v>
      </c>
      <c r="L28" s="18">
        <f>40+160</f>
        <v>200</v>
      </c>
      <c r="M28" s="18">
        <f>10+70</f>
        <v>80</v>
      </c>
      <c r="N28" s="147"/>
      <c r="O28" s="19">
        <f t="shared" si="0"/>
        <v>120</v>
      </c>
      <c r="P28" s="22">
        <f>10+70</f>
        <v>80</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45282</v>
      </c>
      <c r="B29" s="87" t="s">
        <v>37</v>
      </c>
      <c r="C29" s="89">
        <v>1</v>
      </c>
      <c r="D29" s="91" t="s">
        <v>38</v>
      </c>
      <c r="E29" s="89">
        <v>84426</v>
      </c>
      <c r="F29" s="89" t="s">
        <v>49</v>
      </c>
      <c r="G29" s="93" t="s">
        <v>55</v>
      </c>
      <c r="H29" s="90" t="s">
        <v>58</v>
      </c>
      <c r="I29" s="90">
        <v>549</v>
      </c>
      <c r="J29" s="90">
        <v>549</v>
      </c>
      <c r="K29" s="20">
        <v>0</v>
      </c>
      <c r="L29" s="20">
        <v>0</v>
      </c>
      <c r="M29" s="20">
        <v>0</v>
      </c>
      <c r="N29" s="97">
        <f>O30/L30</f>
        <v>0.81238615664845171</v>
      </c>
      <c r="O29" s="21">
        <f t="shared" si="0"/>
        <v>0</v>
      </c>
      <c r="P29" s="27">
        <v>0</v>
      </c>
      <c r="Q29" s="99">
        <f>+L30-P30</f>
        <v>3</v>
      </c>
      <c r="R29" s="108"/>
      <c r="S29" s="96"/>
      <c r="T29" s="96"/>
      <c r="U29" s="96"/>
      <c r="V29" s="96"/>
      <c r="W29" s="96"/>
      <c r="X29" s="96"/>
      <c r="Y29" s="96"/>
      <c r="Z29" s="96"/>
      <c r="AA29" s="96"/>
      <c r="AB29" s="96"/>
      <c r="AC29" s="96"/>
      <c r="AD29" s="96"/>
      <c r="AE29" s="96"/>
      <c r="AF29" s="96"/>
      <c r="AG29" s="96"/>
      <c r="AH29" s="96"/>
      <c r="AI29" s="96"/>
      <c r="AJ29" s="96"/>
      <c r="AK29" s="96"/>
      <c r="AL29" s="96"/>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5"/>
      <c r="B30" s="88"/>
      <c r="C30" s="90"/>
      <c r="D30" s="92"/>
      <c r="E30" s="90"/>
      <c r="F30" s="90"/>
      <c r="G30" s="94"/>
      <c r="H30" s="95"/>
      <c r="I30" s="95"/>
      <c r="J30" s="95"/>
      <c r="K30" s="49">
        <f>483+66</f>
        <v>549</v>
      </c>
      <c r="L30" s="18">
        <f>483+66</f>
        <v>549</v>
      </c>
      <c r="M30" s="18">
        <f>86+17</f>
        <v>103</v>
      </c>
      <c r="N30" s="98"/>
      <c r="O30" s="19">
        <f t="shared" si="0"/>
        <v>446</v>
      </c>
      <c r="P30" s="22">
        <f>453+80+11+2</f>
        <v>546</v>
      </c>
      <c r="Q30" s="100"/>
      <c r="R30" s="85"/>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108">
        <v>45282</v>
      </c>
      <c r="B31" s="87" t="s">
        <v>37</v>
      </c>
      <c r="C31" s="89">
        <v>1</v>
      </c>
      <c r="D31" s="91" t="s">
        <v>38</v>
      </c>
      <c r="E31" s="89">
        <v>84352</v>
      </c>
      <c r="F31" s="89" t="s">
        <v>49</v>
      </c>
      <c r="G31" s="93" t="s">
        <v>55</v>
      </c>
      <c r="H31" s="109" t="s">
        <v>39</v>
      </c>
      <c r="I31" s="90">
        <v>1050</v>
      </c>
      <c r="J31" s="170">
        <v>1053</v>
      </c>
      <c r="K31" s="43">
        <v>0</v>
      </c>
      <c r="L31" s="48">
        <v>0</v>
      </c>
      <c r="M31" s="20">
        <v>0</v>
      </c>
      <c r="N31" s="97">
        <f>O32/L32</f>
        <v>0.64230769230769236</v>
      </c>
      <c r="O31" s="21">
        <f t="shared" si="0"/>
        <v>0</v>
      </c>
      <c r="P31" s="27">
        <v>0</v>
      </c>
      <c r="Q31" s="99">
        <f>+L32-P32</f>
        <v>0</v>
      </c>
      <c r="R31" s="85"/>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171"/>
      <c r="K32" s="47">
        <f>320+108+237+109+43+100+35+68+20</f>
        <v>1040</v>
      </c>
      <c r="L32" s="46">
        <f>10+10+10+235+60+10+150+85+185+102+40+95+28+20</f>
        <v>1040</v>
      </c>
      <c r="M32" s="18">
        <f>75+30+45+42+80+30+8+40+13+9</f>
        <v>372</v>
      </c>
      <c r="N32" s="98"/>
      <c r="O32" s="19">
        <f t="shared" si="0"/>
        <v>668</v>
      </c>
      <c r="P32" s="22">
        <f>105+70+80+92+96+70+74+165+91+21+40+50+46+20+9+11</f>
        <v>1040</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45282</v>
      </c>
      <c r="B33" s="87" t="s">
        <v>37</v>
      </c>
      <c r="C33" s="89">
        <v>1</v>
      </c>
      <c r="D33" s="91" t="s">
        <v>38</v>
      </c>
      <c r="E33" s="89">
        <v>84031</v>
      </c>
      <c r="F33" s="89" t="s">
        <v>49</v>
      </c>
      <c r="G33" s="93" t="s">
        <v>53</v>
      </c>
      <c r="H33" s="90" t="s">
        <v>57</v>
      </c>
      <c r="I33" s="90">
        <v>563</v>
      </c>
      <c r="J33" s="90">
        <v>563</v>
      </c>
      <c r="K33" s="43">
        <v>0</v>
      </c>
      <c r="L33" s="20">
        <v>0</v>
      </c>
      <c r="M33" s="20">
        <v>0</v>
      </c>
      <c r="N33" s="97">
        <f>O34/L34</f>
        <v>0.85343228200371057</v>
      </c>
      <c r="O33" s="21">
        <f t="shared" si="0"/>
        <v>0</v>
      </c>
      <c r="P33" s="27">
        <v>0</v>
      </c>
      <c r="Q33" s="99">
        <f>+L34-P34</f>
        <v>0</v>
      </c>
      <c r="R33" s="85" t="s">
        <v>86</v>
      </c>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22">
        <f>516+20+3</f>
        <v>539</v>
      </c>
      <c r="L34" s="18">
        <f>516+20+3</f>
        <v>539</v>
      </c>
      <c r="M34" s="18">
        <f>74+2+3</f>
        <v>79</v>
      </c>
      <c r="N34" s="98"/>
      <c r="O34" s="19">
        <f t="shared" si="0"/>
        <v>460</v>
      </c>
      <c r="P34" s="22">
        <f>516+20+3</f>
        <v>539</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45282</v>
      </c>
      <c r="B35" s="87" t="s">
        <v>37</v>
      </c>
      <c r="C35" s="89">
        <v>1</v>
      </c>
      <c r="D35" s="91" t="s">
        <v>38</v>
      </c>
      <c r="E35" s="89">
        <v>84031</v>
      </c>
      <c r="F35" s="89" t="s">
        <v>49</v>
      </c>
      <c r="G35" s="93" t="s">
        <v>53</v>
      </c>
      <c r="H35" s="90" t="s">
        <v>39</v>
      </c>
      <c r="I35" s="90">
        <v>623</v>
      </c>
      <c r="J35" s="90">
        <v>623</v>
      </c>
      <c r="K35" s="20">
        <v>0</v>
      </c>
      <c r="L35" s="20">
        <v>0</v>
      </c>
      <c r="M35" s="20">
        <v>0</v>
      </c>
      <c r="N35" s="97">
        <f>O36/L36</f>
        <v>0.79710144927536231</v>
      </c>
      <c r="O35" s="21">
        <f t="shared" si="0"/>
        <v>0</v>
      </c>
      <c r="P35" s="27">
        <v>0</v>
      </c>
      <c r="Q35" s="99">
        <f>+L36-P36</f>
        <v>0</v>
      </c>
      <c r="R35" s="85" t="s">
        <v>86</v>
      </c>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574+9+30+5+3</f>
        <v>621</v>
      </c>
      <c r="L36" s="18">
        <f>574+9+30+5+3</f>
        <v>621</v>
      </c>
      <c r="M36" s="18">
        <f>109+9+5+3</f>
        <v>126</v>
      </c>
      <c r="N36" s="98"/>
      <c r="O36" s="19">
        <f t="shared" si="0"/>
        <v>495</v>
      </c>
      <c r="P36" s="22">
        <f>574+9+30+5+3</f>
        <v>621</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45282</v>
      </c>
      <c r="B37" s="87" t="s">
        <v>37</v>
      </c>
      <c r="C37" s="89">
        <v>1</v>
      </c>
      <c r="D37" s="91" t="s">
        <v>77</v>
      </c>
      <c r="E37" s="89">
        <v>20785</v>
      </c>
      <c r="F37" s="89" t="s">
        <v>76</v>
      </c>
      <c r="G37" s="93" t="s">
        <v>71</v>
      </c>
      <c r="H37" s="90" t="s">
        <v>70</v>
      </c>
      <c r="I37" s="90">
        <v>1475</v>
      </c>
      <c r="J37" s="90">
        <v>1475</v>
      </c>
      <c r="K37" s="20">
        <v>41</v>
      </c>
      <c r="L37" s="20">
        <v>41</v>
      </c>
      <c r="M37" s="20">
        <v>4</v>
      </c>
      <c r="N37" s="97">
        <f>O38/L38</f>
        <v>0.86904761904761907</v>
      </c>
      <c r="O37" s="21">
        <f t="shared" si="0"/>
        <v>37</v>
      </c>
      <c r="P37" s="27">
        <v>23</v>
      </c>
      <c r="Q37" s="99">
        <f>+L38-P38</f>
        <v>60</v>
      </c>
      <c r="R37" s="85"/>
      <c r="S37" s="96"/>
      <c r="T37" s="96"/>
      <c r="U37" s="96">
        <v>3</v>
      </c>
      <c r="V37" s="96"/>
      <c r="W37" s="96"/>
      <c r="X37" s="96"/>
      <c r="Y37" s="96"/>
      <c r="Z37" s="96"/>
      <c r="AA37" s="96"/>
      <c r="AB37" s="96"/>
      <c r="AC37" s="96">
        <v>16</v>
      </c>
      <c r="AD37" s="96">
        <v>7</v>
      </c>
      <c r="AE37" s="96">
        <v>4</v>
      </c>
      <c r="AF37" s="96"/>
      <c r="AG37" s="96">
        <v>7</v>
      </c>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26+20+20+15+15+29+64+22+41</f>
        <v>252</v>
      </c>
      <c r="L38" s="18">
        <f>26+10+30+15+15+29+64+22+41</f>
        <v>252</v>
      </c>
      <c r="M38" s="18">
        <f>9+14+6+4</f>
        <v>33</v>
      </c>
      <c r="N38" s="98"/>
      <c r="O38" s="19">
        <f t="shared" si="0"/>
        <v>219</v>
      </c>
      <c r="P38" s="22">
        <f>10+10+6+5+20+15+14+16+9+44+20+23</f>
        <v>192</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45282</v>
      </c>
      <c r="B39" s="87" t="s">
        <v>37</v>
      </c>
      <c r="C39" s="89">
        <v>1</v>
      </c>
      <c r="D39" s="91" t="s">
        <v>77</v>
      </c>
      <c r="E39" s="89">
        <v>20785</v>
      </c>
      <c r="F39" s="89" t="s">
        <v>76</v>
      </c>
      <c r="G39" s="93" t="s">
        <v>71</v>
      </c>
      <c r="H39" s="90" t="s">
        <v>75</v>
      </c>
      <c r="I39" s="90">
        <v>501</v>
      </c>
      <c r="J39" s="90">
        <v>501</v>
      </c>
      <c r="K39" s="20">
        <v>0</v>
      </c>
      <c r="L39" s="20">
        <v>0</v>
      </c>
      <c r="M39" s="20">
        <v>0</v>
      </c>
      <c r="N39" s="97">
        <f>O40/L40</f>
        <v>0.9358974358974359</v>
      </c>
      <c r="O39" s="21">
        <f t="shared" si="0"/>
        <v>0</v>
      </c>
      <c r="P39" s="27">
        <v>0</v>
      </c>
      <c r="Q39" s="99">
        <f>+L40-P40</f>
        <v>0</v>
      </c>
      <c r="R39" s="85"/>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24+31+23</f>
        <v>78</v>
      </c>
      <c r="L40" s="18">
        <f>10+45+5+18</f>
        <v>78</v>
      </c>
      <c r="M40" s="18">
        <f>5</f>
        <v>5</v>
      </c>
      <c r="N40" s="98"/>
      <c r="O40" s="19">
        <f t="shared" si="0"/>
        <v>73</v>
      </c>
      <c r="P40" s="22">
        <f>5+15+58</f>
        <v>78</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45282</v>
      </c>
      <c r="B41" s="87" t="s">
        <v>37</v>
      </c>
      <c r="C41" s="89">
        <v>1</v>
      </c>
      <c r="D41" s="91" t="s">
        <v>77</v>
      </c>
      <c r="E41" s="89">
        <v>20785</v>
      </c>
      <c r="F41" s="89" t="s">
        <v>76</v>
      </c>
      <c r="G41" s="93" t="s">
        <v>71</v>
      </c>
      <c r="H41" s="90" t="s">
        <v>79</v>
      </c>
      <c r="I41" s="90">
        <v>826</v>
      </c>
      <c r="J41" s="90">
        <v>826</v>
      </c>
      <c r="K41" s="20">
        <v>87</v>
      </c>
      <c r="L41" s="20">
        <v>87</v>
      </c>
      <c r="M41" s="20">
        <v>7</v>
      </c>
      <c r="N41" s="97">
        <f>O42/L42</f>
        <v>0.86194690265486729</v>
      </c>
      <c r="O41" s="21">
        <f t="shared" si="0"/>
        <v>80</v>
      </c>
      <c r="P41" s="27">
        <v>25</v>
      </c>
      <c r="Q41" s="99">
        <f>+L42-P42</f>
        <v>175</v>
      </c>
      <c r="R41" s="85"/>
      <c r="S41" s="96"/>
      <c r="T41" s="96">
        <v>19</v>
      </c>
      <c r="U41" s="96">
        <v>2</v>
      </c>
      <c r="V41" s="96"/>
      <c r="W41" s="96"/>
      <c r="X41" s="96">
        <v>2</v>
      </c>
      <c r="Y41" s="96"/>
      <c r="Z41" s="96"/>
      <c r="AA41" s="96"/>
      <c r="AB41" s="96"/>
      <c r="AC41" s="96">
        <v>6</v>
      </c>
      <c r="AD41" s="96"/>
      <c r="AE41" s="96">
        <v>5</v>
      </c>
      <c r="AF41" s="96">
        <v>12</v>
      </c>
      <c r="AG41" s="96"/>
      <c r="AH41" s="96">
        <v>23</v>
      </c>
      <c r="AI41" s="96"/>
      <c r="AJ41" s="96">
        <v>6</v>
      </c>
      <c r="AK41" s="96"/>
      <c r="AL41" s="96">
        <v>5</v>
      </c>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8+32+48+44+34+38+20+74+44+77+59+87</f>
        <v>565</v>
      </c>
      <c r="L42" s="18">
        <f>7+30+45+50+45+47+50+44+70+90+87</f>
        <v>565</v>
      </c>
      <c r="M42" s="18">
        <f>3+10+5+10+8+5+10+20+7</f>
        <v>78</v>
      </c>
      <c r="N42" s="98"/>
      <c r="O42" s="19">
        <f t="shared" si="0"/>
        <v>487</v>
      </c>
      <c r="P42" s="22">
        <f>3+10+12+30+25+114+20+37+30+84+25</f>
        <v>390</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ht="24.75" customHeight="1">
      <c r="A43" s="111" t="s">
        <v>15</v>
      </c>
      <c r="B43" s="112"/>
      <c r="C43" s="112"/>
      <c r="D43" s="112"/>
      <c r="E43" s="112"/>
      <c r="F43" s="112"/>
      <c r="G43" s="112"/>
      <c r="H43" s="112"/>
      <c r="I43" s="113"/>
      <c r="J43" s="5">
        <f>SUM(J5:J42)</f>
        <v>25603</v>
      </c>
      <c r="K43" s="5">
        <f>+SUMPRODUCT(((MOD(ROW(K5:K42),2)=1)*(K5:K42)))</f>
        <v>1054</v>
      </c>
      <c r="L43" s="5">
        <f>+SUMPRODUCT(((MOD(ROW(L5:L42),2)=1)*(L5:L42)))</f>
        <v>1094</v>
      </c>
      <c r="M43" s="5">
        <f>+SUMPRODUCT(((MOD(ROW(M5:M42),2)=1)*(M5:M42)))</f>
        <v>384</v>
      </c>
      <c r="N43" s="23">
        <f>O43/L43</f>
        <v>0.64899451553930532</v>
      </c>
      <c r="O43" s="5">
        <f>+SUMPRODUCT(((MOD(ROW(O5:O42),2)=1)*(O5:O42)))</f>
        <v>710</v>
      </c>
      <c r="P43" s="5">
        <f>+SUMPRODUCT(((MOD(ROW(P5:P42),2)=1)*(P5:P42)))</f>
        <v>860</v>
      </c>
      <c r="Q43" s="5">
        <f>+SUMPRODUCT(((MOD(ROW(Q5:Q42),2)=1)*(Q5:Q42)))</f>
        <v>1631</v>
      </c>
      <c r="R43" s="69"/>
      <c r="S43" s="68">
        <f t="shared" ref="S43:BG43" si="1">SUM(S5:S42)</f>
        <v>46</v>
      </c>
      <c r="T43" s="68">
        <f t="shared" si="1"/>
        <v>122</v>
      </c>
      <c r="U43" s="68">
        <f t="shared" si="1"/>
        <v>29</v>
      </c>
      <c r="V43" s="68">
        <f t="shared" si="1"/>
        <v>0</v>
      </c>
      <c r="W43" s="68">
        <f t="shared" si="1"/>
        <v>0</v>
      </c>
      <c r="X43" s="68">
        <f t="shared" si="1"/>
        <v>8</v>
      </c>
      <c r="Y43" s="5">
        <f t="shared" si="1"/>
        <v>1</v>
      </c>
      <c r="Z43" s="5">
        <f t="shared" si="1"/>
        <v>5</v>
      </c>
      <c r="AA43" s="5">
        <f t="shared" si="1"/>
        <v>0</v>
      </c>
      <c r="AB43" s="5">
        <f t="shared" si="1"/>
        <v>0</v>
      </c>
      <c r="AC43" s="5">
        <f t="shared" si="1"/>
        <v>119</v>
      </c>
      <c r="AD43" s="5">
        <f t="shared" si="1"/>
        <v>17</v>
      </c>
      <c r="AE43" s="5">
        <f t="shared" si="1"/>
        <v>23</v>
      </c>
      <c r="AF43" s="5">
        <f t="shared" si="1"/>
        <v>68</v>
      </c>
      <c r="AG43" s="5">
        <f t="shared" si="1"/>
        <v>68</v>
      </c>
      <c r="AH43" s="5">
        <f t="shared" si="1"/>
        <v>99</v>
      </c>
      <c r="AI43" s="5">
        <f t="shared" si="1"/>
        <v>0</v>
      </c>
      <c r="AJ43" s="5">
        <f t="shared" si="1"/>
        <v>6</v>
      </c>
      <c r="AK43" s="5">
        <f t="shared" si="1"/>
        <v>0</v>
      </c>
      <c r="AL43" s="5">
        <f t="shared" si="1"/>
        <v>99</v>
      </c>
      <c r="AM43" s="5">
        <f t="shared" si="1"/>
        <v>0</v>
      </c>
      <c r="AN43" s="5">
        <f t="shared" si="1"/>
        <v>0</v>
      </c>
      <c r="AO43" s="5">
        <f t="shared" si="1"/>
        <v>0</v>
      </c>
      <c r="AP43" s="5">
        <f t="shared" si="1"/>
        <v>0</v>
      </c>
      <c r="AQ43" s="5">
        <f t="shared" si="1"/>
        <v>0</v>
      </c>
      <c r="AR43" s="5">
        <f t="shared" si="1"/>
        <v>0</v>
      </c>
      <c r="AS43" s="5">
        <f t="shared" si="1"/>
        <v>0</v>
      </c>
      <c r="AT43" s="5">
        <f t="shared" si="1"/>
        <v>0</v>
      </c>
      <c r="AU43" s="5">
        <f t="shared" si="1"/>
        <v>0</v>
      </c>
      <c r="AV43" s="5">
        <f t="shared" si="1"/>
        <v>0</v>
      </c>
      <c r="AW43" s="5">
        <f t="shared" si="1"/>
        <v>0</v>
      </c>
      <c r="AX43" s="5">
        <f t="shared" si="1"/>
        <v>0</v>
      </c>
      <c r="AY43" s="5">
        <f t="shared" si="1"/>
        <v>0</v>
      </c>
      <c r="AZ43" s="5">
        <f t="shared" si="1"/>
        <v>0</v>
      </c>
      <c r="BA43" s="5">
        <f t="shared" si="1"/>
        <v>0</v>
      </c>
      <c r="BB43" s="5">
        <f t="shared" si="1"/>
        <v>0</v>
      </c>
      <c r="BC43" s="5">
        <f t="shared" si="1"/>
        <v>0</v>
      </c>
      <c r="BD43" s="5">
        <f t="shared" si="1"/>
        <v>0</v>
      </c>
      <c r="BE43" s="5">
        <f t="shared" si="1"/>
        <v>0</v>
      </c>
      <c r="BF43" s="5">
        <f t="shared" si="1"/>
        <v>0</v>
      </c>
      <c r="BG43" s="5">
        <f t="shared" si="1"/>
        <v>0</v>
      </c>
    </row>
    <row r="44" spans="1:59" s="17" customFormat="1" ht="15.75" hidden="1" customHeight="1">
      <c r="A44" s="108"/>
      <c r="B44" s="87"/>
      <c r="C44" s="89"/>
      <c r="D44" s="91"/>
      <c r="E44" s="91"/>
      <c r="F44" s="89"/>
      <c r="G44" s="93"/>
      <c r="H44" s="89"/>
      <c r="I44" s="89"/>
      <c r="J44" s="89"/>
      <c r="K44" s="20"/>
      <c r="L44" s="20"/>
      <c r="M44" s="20"/>
      <c r="N44" s="146"/>
      <c r="O44" s="21"/>
      <c r="P44" s="27"/>
      <c r="Q44" s="99"/>
      <c r="R44" s="175"/>
      <c r="S44" s="96"/>
      <c r="T44" s="96"/>
      <c r="U44" s="96"/>
      <c r="V44" s="96"/>
      <c r="W44" s="96"/>
      <c r="X44" s="96"/>
      <c r="Y44" s="149"/>
      <c r="Z44" s="149"/>
      <c r="AA44" s="149"/>
      <c r="AB44" s="149"/>
      <c r="AC44" s="149"/>
      <c r="AD44" s="149"/>
      <c r="AE44" s="149"/>
      <c r="AF44" s="149"/>
      <c r="AG44" s="149"/>
      <c r="AH44" s="149"/>
      <c r="AI44" s="149"/>
      <c r="AJ44" s="149"/>
      <c r="AK44" s="149"/>
      <c r="AL44" s="149"/>
      <c r="AM44" s="163"/>
      <c r="AN44" s="163"/>
      <c r="AO44" s="163"/>
      <c r="AP44" s="163"/>
      <c r="AQ44" s="163"/>
      <c r="AR44" s="163"/>
      <c r="AS44" s="163"/>
      <c r="AT44" s="163"/>
      <c r="AU44" s="163"/>
      <c r="AV44" s="163"/>
      <c r="AW44" s="163"/>
      <c r="AX44" s="163"/>
      <c r="AY44" s="167"/>
      <c r="AZ44" s="167"/>
      <c r="BA44" s="167"/>
      <c r="BB44" s="167"/>
      <c r="BC44" s="167"/>
      <c r="BD44" s="167"/>
      <c r="BE44" s="163"/>
      <c r="BF44" s="165"/>
      <c r="BG44" s="165"/>
    </row>
    <row r="45" spans="1:59" s="17" customFormat="1" ht="15.75" hidden="1" customHeight="1">
      <c r="A45" s="85"/>
      <c r="B45" s="88"/>
      <c r="C45" s="90"/>
      <c r="D45" s="92"/>
      <c r="E45" s="92"/>
      <c r="F45" s="90"/>
      <c r="G45" s="94"/>
      <c r="H45" s="90"/>
      <c r="I45" s="90"/>
      <c r="J45" s="90"/>
      <c r="K45" s="22"/>
      <c r="L45" s="18"/>
      <c r="M45" s="18"/>
      <c r="N45" s="147"/>
      <c r="O45" s="19"/>
      <c r="P45" s="22"/>
      <c r="Q45" s="100"/>
      <c r="R45" s="175"/>
      <c r="S45" s="96"/>
      <c r="T45" s="96"/>
      <c r="U45" s="96"/>
      <c r="V45" s="96"/>
      <c r="W45" s="96"/>
      <c r="X45" s="96"/>
      <c r="Y45" s="150"/>
      <c r="Z45" s="150"/>
      <c r="AA45" s="150"/>
      <c r="AB45" s="150"/>
      <c r="AC45" s="150"/>
      <c r="AD45" s="150"/>
      <c r="AE45" s="150"/>
      <c r="AF45" s="150"/>
      <c r="AG45" s="150"/>
      <c r="AH45" s="150"/>
      <c r="AI45" s="150"/>
      <c r="AJ45" s="150"/>
      <c r="AK45" s="150"/>
      <c r="AL45" s="150"/>
      <c r="AM45" s="164"/>
      <c r="AN45" s="164"/>
      <c r="AO45" s="164"/>
      <c r="AP45" s="164"/>
      <c r="AQ45" s="164"/>
      <c r="AR45" s="164"/>
      <c r="AS45" s="164"/>
      <c r="AT45" s="164"/>
      <c r="AU45" s="164"/>
      <c r="AV45" s="164"/>
      <c r="AW45" s="164"/>
      <c r="AX45" s="164"/>
      <c r="AY45" s="168"/>
      <c r="AZ45" s="168"/>
      <c r="BA45" s="168"/>
      <c r="BB45" s="168"/>
      <c r="BC45" s="168"/>
      <c r="BD45" s="168"/>
      <c r="BE45" s="164"/>
      <c r="BF45" s="166"/>
      <c r="BG45" s="166"/>
    </row>
    <row r="46" spans="1:59" s="17" customFormat="1" ht="15.75" hidden="1" customHeight="1">
      <c r="A46" s="154"/>
      <c r="B46" s="114"/>
      <c r="C46" s="116"/>
      <c r="D46" s="118"/>
      <c r="E46" s="116"/>
      <c r="F46" s="116"/>
      <c r="G46" s="120"/>
      <c r="H46" s="89"/>
      <c r="I46" s="89"/>
      <c r="J46" s="89"/>
      <c r="K46" s="20"/>
      <c r="L46" s="20"/>
      <c r="M46" s="20"/>
      <c r="N46" s="146"/>
      <c r="O46" s="21"/>
      <c r="P46" s="27"/>
      <c r="Q46" s="99"/>
      <c r="R46" s="174"/>
      <c r="S46" s="96"/>
      <c r="T46" s="96"/>
      <c r="U46" s="96"/>
      <c r="V46" s="96"/>
      <c r="W46" s="96"/>
      <c r="X46" s="96"/>
      <c r="Y46" s="149"/>
      <c r="Z46" s="149"/>
      <c r="AA46" s="149"/>
      <c r="AB46" s="149"/>
      <c r="AC46" s="149"/>
      <c r="AD46" s="149"/>
      <c r="AE46" s="149"/>
      <c r="AF46" s="149"/>
      <c r="AG46" s="149"/>
      <c r="AH46" s="149"/>
      <c r="AI46" s="149"/>
      <c r="AJ46" s="149"/>
      <c r="AK46" s="149"/>
      <c r="AL46" s="149"/>
      <c r="AM46" s="163"/>
      <c r="AN46" s="163"/>
      <c r="AO46" s="163"/>
      <c r="AP46" s="163"/>
      <c r="AQ46" s="163"/>
      <c r="AR46" s="163"/>
      <c r="AS46" s="163"/>
      <c r="AT46" s="163"/>
      <c r="AU46" s="163"/>
      <c r="AV46" s="163"/>
      <c r="AW46" s="163"/>
      <c r="AX46" s="163"/>
      <c r="AY46" s="167"/>
      <c r="AZ46" s="167"/>
      <c r="BA46" s="167"/>
      <c r="BB46" s="167"/>
      <c r="BC46" s="167"/>
      <c r="BD46" s="167"/>
      <c r="BE46" s="163"/>
      <c r="BF46" s="165"/>
      <c r="BG46" s="165"/>
    </row>
    <row r="47" spans="1:59" s="17" customFormat="1" ht="15.75" hidden="1" customHeight="1">
      <c r="A47" s="101"/>
      <c r="B47" s="115"/>
      <c r="C47" s="117"/>
      <c r="D47" s="119"/>
      <c r="E47" s="117"/>
      <c r="F47" s="117"/>
      <c r="G47" s="121"/>
      <c r="H47" s="90"/>
      <c r="I47" s="90"/>
      <c r="J47" s="90"/>
      <c r="K47" s="22"/>
      <c r="L47" s="18"/>
      <c r="M47" s="18"/>
      <c r="N47" s="147"/>
      <c r="O47" s="19"/>
      <c r="P47" s="22"/>
      <c r="Q47" s="100"/>
      <c r="R47" s="174"/>
      <c r="S47" s="96"/>
      <c r="T47" s="96"/>
      <c r="U47" s="96"/>
      <c r="V47" s="96"/>
      <c r="W47" s="96"/>
      <c r="X47" s="96"/>
      <c r="Y47" s="150"/>
      <c r="Z47" s="150"/>
      <c r="AA47" s="150"/>
      <c r="AB47" s="150"/>
      <c r="AC47" s="150"/>
      <c r="AD47" s="150"/>
      <c r="AE47" s="150"/>
      <c r="AF47" s="150"/>
      <c r="AG47" s="150"/>
      <c r="AH47" s="150"/>
      <c r="AI47" s="150"/>
      <c r="AJ47" s="150"/>
      <c r="AK47" s="150"/>
      <c r="AL47" s="150"/>
      <c r="AM47" s="164"/>
      <c r="AN47" s="164"/>
      <c r="AO47" s="164"/>
      <c r="AP47" s="164"/>
      <c r="AQ47" s="164"/>
      <c r="AR47" s="164"/>
      <c r="AS47" s="164"/>
      <c r="AT47" s="164"/>
      <c r="AU47" s="164"/>
      <c r="AV47" s="164"/>
      <c r="AW47" s="164"/>
      <c r="AX47" s="164"/>
      <c r="AY47" s="168"/>
      <c r="AZ47" s="168"/>
      <c r="BA47" s="168"/>
      <c r="BB47" s="168"/>
      <c r="BC47" s="168"/>
      <c r="BD47" s="168"/>
      <c r="BE47" s="164"/>
      <c r="BF47" s="166"/>
      <c r="BG47" s="166"/>
    </row>
    <row r="48" spans="1:59" s="17" customFormat="1" ht="15.75" hidden="1" customHeight="1">
      <c r="A48" s="154"/>
      <c r="B48" s="114"/>
      <c r="C48" s="116"/>
      <c r="D48" s="118"/>
      <c r="E48" s="116"/>
      <c r="F48" s="116"/>
      <c r="G48" s="120"/>
      <c r="H48" s="89"/>
      <c r="I48" s="89"/>
      <c r="J48" s="89"/>
      <c r="K48" s="20"/>
      <c r="L48" s="20"/>
      <c r="M48" s="20"/>
      <c r="N48" s="146"/>
      <c r="O48" s="21"/>
      <c r="P48" s="27"/>
      <c r="Q48" s="99"/>
      <c r="R48" s="174"/>
      <c r="S48" s="96"/>
      <c r="T48" s="96"/>
      <c r="U48" s="96"/>
      <c r="V48" s="96"/>
      <c r="W48" s="96"/>
      <c r="X48" s="96"/>
      <c r="Y48" s="149"/>
      <c r="Z48" s="149"/>
      <c r="AA48" s="149"/>
      <c r="AB48" s="149"/>
      <c r="AC48" s="149"/>
      <c r="AD48" s="149"/>
      <c r="AE48" s="149"/>
      <c r="AF48" s="149"/>
      <c r="AG48" s="149"/>
      <c r="AH48" s="149"/>
      <c r="AI48" s="149"/>
      <c r="AJ48" s="149"/>
      <c r="AK48" s="149"/>
      <c r="AL48" s="149"/>
      <c r="AM48" s="163"/>
      <c r="AN48" s="163"/>
      <c r="AO48" s="163"/>
      <c r="AP48" s="163"/>
      <c r="AQ48" s="163"/>
      <c r="AR48" s="163"/>
      <c r="AS48" s="163"/>
      <c r="AT48" s="163"/>
      <c r="AU48" s="163"/>
      <c r="AV48" s="163"/>
      <c r="AW48" s="163"/>
      <c r="AX48" s="163"/>
      <c r="AY48" s="167"/>
      <c r="AZ48" s="167"/>
      <c r="BA48" s="167"/>
      <c r="BB48" s="167"/>
      <c r="BC48" s="167"/>
      <c r="BD48" s="167"/>
      <c r="BE48" s="163"/>
      <c r="BF48" s="165"/>
      <c r="BG48" s="165"/>
    </row>
    <row r="49" spans="1:59" s="17" customFormat="1" ht="15.75" hidden="1" customHeight="1">
      <c r="A49" s="101"/>
      <c r="B49" s="115"/>
      <c r="C49" s="117"/>
      <c r="D49" s="119"/>
      <c r="E49" s="117"/>
      <c r="F49" s="117"/>
      <c r="G49" s="121"/>
      <c r="H49" s="90"/>
      <c r="I49" s="90"/>
      <c r="J49" s="90"/>
      <c r="K49" s="22"/>
      <c r="L49" s="18"/>
      <c r="M49" s="18"/>
      <c r="N49" s="147"/>
      <c r="O49" s="19"/>
      <c r="P49" s="22"/>
      <c r="Q49" s="100"/>
      <c r="R49" s="174"/>
      <c r="S49" s="96"/>
      <c r="T49" s="96"/>
      <c r="U49" s="96"/>
      <c r="V49" s="96"/>
      <c r="W49" s="96"/>
      <c r="X49" s="96"/>
      <c r="Y49" s="150"/>
      <c r="Z49" s="150"/>
      <c r="AA49" s="150"/>
      <c r="AB49" s="150"/>
      <c r="AC49" s="150"/>
      <c r="AD49" s="150"/>
      <c r="AE49" s="150"/>
      <c r="AF49" s="150"/>
      <c r="AG49" s="150"/>
      <c r="AH49" s="150"/>
      <c r="AI49" s="150"/>
      <c r="AJ49" s="150"/>
      <c r="AK49" s="150"/>
      <c r="AL49" s="150"/>
      <c r="AM49" s="164"/>
      <c r="AN49" s="164"/>
      <c r="AO49" s="164"/>
      <c r="AP49" s="164"/>
      <c r="AQ49" s="164"/>
      <c r="AR49" s="164"/>
      <c r="AS49" s="164"/>
      <c r="AT49" s="164"/>
      <c r="AU49" s="164"/>
      <c r="AV49" s="164"/>
      <c r="AW49" s="164"/>
      <c r="AX49" s="164"/>
      <c r="AY49" s="168"/>
      <c r="AZ49" s="168"/>
      <c r="BA49" s="168"/>
      <c r="BB49" s="168"/>
      <c r="BC49" s="168"/>
      <c r="BD49" s="168"/>
      <c r="BE49" s="164"/>
      <c r="BF49" s="166"/>
      <c r="BG49" s="166"/>
    </row>
    <row r="50" spans="1:59" ht="24.75" hidden="1" customHeight="1">
      <c r="A50" s="111" t="s">
        <v>46</v>
      </c>
      <c r="B50" s="112"/>
      <c r="C50" s="112"/>
      <c r="D50" s="112"/>
      <c r="E50" s="112"/>
      <c r="F50" s="112"/>
      <c r="G50" s="112"/>
      <c r="H50" s="112"/>
      <c r="I50" s="113"/>
      <c r="J50" s="5">
        <f>SUM(J44:J49)</f>
        <v>0</v>
      </c>
      <c r="K50" s="5">
        <f>+SUMPRODUCT(((MOD(ROW(K44:K49),2)=0)*(K44:K49)))</f>
        <v>0</v>
      </c>
      <c r="L50" s="5">
        <f>+SUMPRODUCT(((MOD(ROW(L44:L49),2)=0)*(L44:L49)))</f>
        <v>0</v>
      </c>
      <c r="M50" s="5">
        <f>+SUMPRODUCT(((MOD(ROW(M44:M49),2)=0)*(M44:M49)))</f>
        <v>0</v>
      </c>
      <c r="N50" s="23" t="e">
        <f>O50/L50</f>
        <v>#DIV/0!</v>
      </c>
      <c r="O50" s="5">
        <f>+SUMPRODUCT(((MOD(ROW(O44:O49),2)=0)*(O44:O49)))</f>
        <v>0</v>
      </c>
      <c r="P50" s="5">
        <f>+SUMPRODUCT(((MOD(ROW(P44:P49),2)=0)*(P44:P49)))</f>
        <v>0</v>
      </c>
      <c r="Q50" s="29">
        <f>SUM(Q44:Q49)</f>
        <v>0</v>
      </c>
      <c r="R50" s="69"/>
      <c r="S50" s="68">
        <f t="shared" ref="S50:BG50" si="2">SUM(S44:S49)</f>
        <v>0</v>
      </c>
      <c r="T50" s="68">
        <f t="shared" si="2"/>
        <v>0</v>
      </c>
      <c r="U50" s="68">
        <f t="shared" si="2"/>
        <v>0</v>
      </c>
      <c r="V50" s="68">
        <f t="shared" si="2"/>
        <v>0</v>
      </c>
      <c r="W50" s="68">
        <f t="shared" si="2"/>
        <v>0</v>
      </c>
      <c r="X50" s="68">
        <f t="shared" si="2"/>
        <v>0</v>
      </c>
      <c r="Y50" s="5">
        <f t="shared" si="2"/>
        <v>0</v>
      </c>
      <c r="Z50" s="5">
        <f t="shared" si="2"/>
        <v>0</v>
      </c>
      <c r="AA50" s="5">
        <f t="shared" si="2"/>
        <v>0</v>
      </c>
      <c r="AB50" s="5">
        <f t="shared" si="2"/>
        <v>0</v>
      </c>
      <c r="AC50" s="5">
        <f t="shared" si="2"/>
        <v>0</v>
      </c>
      <c r="AD50" s="5">
        <f t="shared" si="2"/>
        <v>0</v>
      </c>
      <c r="AE50" s="5">
        <f t="shared" si="2"/>
        <v>0</v>
      </c>
      <c r="AF50" s="5">
        <f t="shared" si="2"/>
        <v>0</v>
      </c>
      <c r="AG50" s="5">
        <f t="shared" si="2"/>
        <v>0</v>
      </c>
      <c r="AH50" s="5">
        <f t="shared" si="2"/>
        <v>0</v>
      </c>
      <c r="AI50" s="5">
        <f t="shared" si="2"/>
        <v>0</v>
      </c>
      <c r="AJ50" s="5">
        <f t="shared" si="2"/>
        <v>0</v>
      </c>
      <c r="AK50" s="5">
        <f t="shared" si="2"/>
        <v>0</v>
      </c>
      <c r="AL50" s="5">
        <f t="shared" si="2"/>
        <v>0</v>
      </c>
      <c r="AM50" s="5">
        <f t="shared" si="2"/>
        <v>0</v>
      </c>
      <c r="AN50" s="5">
        <f t="shared" si="2"/>
        <v>0</v>
      </c>
      <c r="AO50" s="5">
        <f t="shared" si="2"/>
        <v>0</v>
      </c>
      <c r="AP50" s="5">
        <f t="shared" si="2"/>
        <v>0</v>
      </c>
      <c r="AQ50" s="5">
        <f t="shared" si="2"/>
        <v>0</v>
      </c>
      <c r="AR50" s="5">
        <f t="shared" si="2"/>
        <v>0</v>
      </c>
      <c r="AS50" s="5">
        <f t="shared" si="2"/>
        <v>0</v>
      </c>
      <c r="AT50" s="5">
        <f t="shared" si="2"/>
        <v>0</v>
      </c>
      <c r="AU50" s="5">
        <f t="shared" si="2"/>
        <v>0</v>
      </c>
      <c r="AV50" s="5">
        <f t="shared" si="2"/>
        <v>0</v>
      </c>
      <c r="AW50" s="5">
        <f t="shared" si="2"/>
        <v>0</v>
      </c>
      <c r="AX50" s="5">
        <f t="shared" si="2"/>
        <v>0</v>
      </c>
      <c r="AY50" s="5">
        <f t="shared" si="2"/>
        <v>0</v>
      </c>
      <c r="AZ50" s="5">
        <f t="shared" si="2"/>
        <v>0</v>
      </c>
      <c r="BA50" s="5">
        <f t="shared" si="2"/>
        <v>0</v>
      </c>
      <c r="BB50" s="5">
        <f t="shared" si="2"/>
        <v>0</v>
      </c>
      <c r="BC50" s="5">
        <f t="shared" si="2"/>
        <v>0</v>
      </c>
      <c r="BD50" s="5">
        <f t="shared" si="2"/>
        <v>0</v>
      </c>
      <c r="BE50" s="5">
        <f t="shared" si="2"/>
        <v>0</v>
      </c>
      <c r="BF50" s="5">
        <f t="shared" si="2"/>
        <v>0</v>
      </c>
      <c r="BG50" s="5">
        <f t="shared" si="2"/>
        <v>0</v>
      </c>
    </row>
    <row r="51" spans="1:59" s="17" customFormat="1" ht="15.75" hidden="1" customHeight="1">
      <c r="A51" s="85"/>
      <c r="B51" s="87"/>
      <c r="C51" s="89"/>
      <c r="D51" s="91"/>
      <c r="E51" s="89"/>
      <c r="F51" s="89"/>
      <c r="G51" s="93"/>
      <c r="H51" s="90"/>
      <c r="I51" s="90"/>
      <c r="J51" s="90"/>
      <c r="K51" s="20"/>
      <c r="L51" s="20"/>
      <c r="M51" s="20"/>
      <c r="N51" s="97"/>
      <c r="O51" s="21"/>
      <c r="P51" s="27"/>
      <c r="Q51" s="99"/>
      <c r="R51" s="174"/>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6"/>
      <c r="AZ51" s="106"/>
      <c r="BA51" s="106"/>
      <c r="BB51" s="106"/>
      <c r="BC51" s="106"/>
      <c r="BD51" s="106"/>
      <c r="BE51" s="103"/>
      <c r="BF51" s="104"/>
      <c r="BG51" s="104"/>
    </row>
    <row r="52" spans="1:59" s="17" customFormat="1" ht="15.75" hidden="1" customHeight="1">
      <c r="A52" s="86"/>
      <c r="B52" s="88"/>
      <c r="C52" s="90"/>
      <c r="D52" s="92"/>
      <c r="E52" s="90"/>
      <c r="F52" s="90"/>
      <c r="G52" s="94"/>
      <c r="H52" s="95"/>
      <c r="I52" s="95"/>
      <c r="J52" s="95"/>
      <c r="K52" s="22"/>
      <c r="L52" s="18"/>
      <c r="M52" s="18"/>
      <c r="N52" s="98"/>
      <c r="O52" s="19"/>
      <c r="P52" s="22"/>
      <c r="Q52" s="100"/>
      <c r="R52" s="102"/>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7"/>
      <c r="AZ52" s="107"/>
      <c r="BA52" s="107"/>
      <c r="BB52" s="107"/>
      <c r="BC52" s="107"/>
      <c r="BD52" s="107"/>
      <c r="BE52" s="103"/>
      <c r="BF52" s="105"/>
      <c r="BG52" s="105"/>
    </row>
    <row r="53" spans="1:59" s="17" customFormat="1" ht="15.75" hidden="1" customHeight="1">
      <c r="A53" s="101"/>
      <c r="B53" s="114"/>
      <c r="C53" s="116"/>
      <c r="D53" s="118"/>
      <c r="E53" s="118"/>
      <c r="F53" s="116"/>
      <c r="G53" s="120"/>
      <c r="H53" s="90"/>
      <c r="I53" s="90"/>
      <c r="J53" s="90"/>
      <c r="K53" s="20"/>
      <c r="L53" s="20"/>
      <c r="M53" s="20"/>
      <c r="N53" s="97" t="e">
        <f>O54/L54</f>
        <v>#DIV/0!</v>
      </c>
      <c r="O53" s="21">
        <f t="shared" ref="O53:O60" si="3">L53-M53</f>
        <v>0</v>
      </c>
      <c r="P53" s="27"/>
      <c r="Q53" s="99">
        <f>+L54-P54</f>
        <v>0</v>
      </c>
      <c r="R53" s="174"/>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5.75" hidden="1" customHeight="1">
      <c r="A54" s="102"/>
      <c r="B54" s="115"/>
      <c r="C54" s="117"/>
      <c r="D54" s="119"/>
      <c r="E54" s="119"/>
      <c r="F54" s="117"/>
      <c r="G54" s="121"/>
      <c r="H54" s="95"/>
      <c r="I54" s="95"/>
      <c r="J54" s="95"/>
      <c r="K54" s="22"/>
      <c r="L54" s="18"/>
      <c r="M54" s="18"/>
      <c r="N54" s="98"/>
      <c r="O54" s="19">
        <f t="shared" si="3"/>
        <v>0</v>
      </c>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5.75" hidden="1" customHeight="1">
      <c r="A55" s="101"/>
      <c r="B55" s="114"/>
      <c r="C55" s="116"/>
      <c r="D55" s="118"/>
      <c r="E55" s="118"/>
      <c r="F55" s="116"/>
      <c r="G55" s="120"/>
      <c r="H55" s="90"/>
      <c r="I55" s="90"/>
      <c r="J55" s="90"/>
      <c r="K55" s="20"/>
      <c r="L55" s="20"/>
      <c r="M55" s="20"/>
      <c r="N55" s="97" t="e">
        <f>O56/L56</f>
        <v>#DIV/0!</v>
      </c>
      <c r="O55" s="21">
        <f t="shared" si="3"/>
        <v>0</v>
      </c>
      <c r="P55" s="27"/>
      <c r="Q55" s="99">
        <f>+L56-P56</f>
        <v>0</v>
      </c>
      <c r="R55" s="174"/>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102"/>
      <c r="B56" s="115"/>
      <c r="C56" s="117"/>
      <c r="D56" s="119"/>
      <c r="E56" s="119"/>
      <c r="F56" s="117"/>
      <c r="G56" s="121"/>
      <c r="H56" s="95"/>
      <c r="I56" s="95"/>
      <c r="J56" s="95"/>
      <c r="K56" s="22"/>
      <c r="L56" s="18"/>
      <c r="M56" s="18"/>
      <c r="N56" s="98"/>
      <c r="O56" s="19">
        <f t="shared" si="3"/>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si="3"/>
        <v>0</v>
      </c>
      <c r="P57" s="27"/>
      <c r="Q57" s="99">
        <f>+L58-P58</f>
        <v>0</v>
      </c>
      <c r="R57" s="174"/>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109"/>
      <c r="I59" s="90"/>
      <c r="J59" s="90"/>
      <c r="K59" s="20"/>
      <c r="L59" s="20"/>
      <c r="M59" s="20"/>
      <c r="N59" s="97" t="e">
        <f>O60/L60</f>
        <v>#DIV/0!</v>
      </c>
      <c r="O59" s="21">
        <f t="shared" si="3"/>
        <v>0</v>
      </c>
      <c r="P59" s="27"/>
      <c r="Q59" s="99">
        <f>+L60-P60</f>
        <v>0</v>
      </c>
      <c r="R59" s="174"/>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6"/>
      <c r="F61" s="116"/>
      <c r="G61" s="120"/>
      <c r="H61" s="90"/>
      <c r="I61" s="90"/>
      <c r="J61" s="90"/>
      <c r="K61" s="20"/>
      <c r="L61" s="20"/>
      <c r="M61" s="20"/>
      <c r="N61" s="97" t="e">
        <f>O62/L62</f>
        <v>#DIV/0!</v>
      </c>
      <c r="O61" s="21"/>
      <c r="P61" s="27"/>
      <c r="Q61" s="99"/>
      <c r="R61" s="174"/>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7"/>
      <c r="F62" s="117"/>
      <c r="G62" s="121"/>
      <c r="H62" s="95"/>
      <c r="I62" s="95"/>
      <c r="J62" s="95"/>
      <c r="K62" s="22"/>
      <c r="L62" s="18"/>
      <c r="M62" s="18"/>
      <c r="N62" s="98"/>
      <c r="O62" s="19"/>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ht="24.75" hidden="1" customHeight="1">
      <c r="A63" s="111" t="s">
        <v>74</v>
      </c>
      <c r="B63" s="112"/>
      <c r="C63" s="112"/>
      <c r="D63" s="112"/>
      <c r="E63" s="112"/>
      <c r="F63" s="112"/>
      <c r="G63" s="112"/>
      <c r="H63" s="112"/>
      <c r="I63" s="113"/>
      <c r="J63" s="5">
        <f>+SUMPRODUCT(((MOD(ROW(J51:J62),2)=1)*(J51:J62)))</f>
        <v>0</v>
      </c>
      <c r="K63" s="5">
        <f>+SUMPRODUCT(((MOD(ROW(K51:K62),2)=1)*(K51:K62)))</f>
        <v>0</v>
      </c>
      <c r="L63" s="5">
        <f>+SUMPRODUCT(((MOD(ROW(L51:L62),2)=1)*(L51:L62)))</f>
        <v>0</v>
      </c>
      <c r="M63" s="5">
        <f>+SUMPRODUCT(((MOD(ROW(M51:M62),2)=1)*(M51:M62)))</f>
        <v>0</v>
      </c>
      <c r="N63" s="23" t="e">
        <f>O63/L63</f>
        <v>#DIV/0!</v>
      </c>
      <c r="O63" s="5">
        <f>+SUMPRODUCT(((MOD(ROW(O51:O62),2)=1)*(O51:O62)))</f>
        <v>0</v>
      </c>
      <c r="P63" s="5">
        <f>+SUMPRODUCT(((MOD(ROW(P51:P62),2)=1)*(P51:P62)))</f>
        <v>0</v>
      </c>
      <c r="Q63" s="29">
        <f>SUM(Q51:Q62)</f>
        <v>0</v>
      </c>
      <c r="R63" s="69"/>
      <c r="S63" s="68">
        <f t="shared" ref="S63:BG63" si="4">SUM(S51:S62)</f>
        <v>0</v>
      </c>
      <c r="T63" s="68">
        <f t="shared" si="4"/>
        <v>0</v>
      </c>
      <c r="U63" s="68">
        <f t="shared" si="4"/>
        <v>0</v>
      </c>
      <c r="V63" s="68">
        <f t="shared" si="4"/>
        <v>0</v>
      </c>
      <c r="W63" s="68">
        <f t="shared" si="4"/>
        <v>0</v>
      </c>
      <c r="X63" s="68">
        <f t="shared" si="4"/>
        <v>0</v>
      </c>
      <c r="Y63" s="5">
        <f t="shared" si="4"/>
        <v>0</v>
      </c>
      <c r="Z63" s="5">
        <f t="shared" si="4"/>
        <v>0</v>
      </c>
      <c r="AA63" s="5">
        <f t="shared" si="4"/>
        <v>0</v>
      </c>
      <c r="AB63" s="5">
        <f t="shared" si="4"/>
        <v>0</v>
      </c>
      <c r="AC63" s="5">
        <f t="shared" si="4"/>
        <v>0</v>
      </c>
      <c r="AD63" s="5">
        <f t="shared" si="4"/>
        <v>0</v>
      </c>
      <c r="AE63" s="5">
        <f t="shared" si="4"/>
        <v>0</v>
      </c>
      <c r="AF63" s="5">
        <f t="shared" si="4"/>
        <v>0</v>
      </c>
      <c r="AG63" s="5">
        <f t="shared" si="4"/>
        <v>0</v>
      </c>
      <c r="AH63" s="5">
        <f t="shared" si="4"/>
        <v>0</v>
      </c>
      <c r="AI63" s="5">
        <f t="shared" si="4"/>
        <v>0</v>
      </c>
      <c r="AJ63" s="5">
        <f t="shared" si="4"/>
        <v>0</v>
      </c>
      <c r="AK63" s="5">
        <f t="shared" si="4"/>
        <v>0</v>
      </c>
      <c r="AL63" s="5">
        <f t="shared" si="4"/>
        <v>0</v>
      </c>
      <c r="AM63" s="5">
        <f t="shared" si="4"/>
        <v>0</v>
      </c>
      <c r="AN63" s="5">
        <f t="shared" si="4"/>
        <v>0</v>
      </c>
      <c r="AO63" s="5">
        <f t="shared" si="4"/>
        <v>0</v>
      </c>
      <c r="AP63" s="5">
        <f t="shared" si="4"/>
        <v>0</v>
      </c>
      <c r="AQ63" s="5">
        <f t="shared" si="4"/>
        <v>0</v>
      </c>
      <c r="AR63" s="5">
        <f t="shared" si="4"/>
        <v>0</v>
      </c>
      <c r="AS63" s="5">
        <f t="shared" si="4"/>
        <v>0</v>
      </c>
      <c r="AT63" s="5">
        <f t="shared" si="4"/>
        <v>0</v>
      </c>
      <c r="AU63" s="5">
        <f t="shared" si="4"/>
        <v>0</v>
      </c>
      <c r="AV63" s="5">
        <f t="shared" si="4"/>
        <v>0</v>
      </c>
      <c r="AW63" s="5">
        <f t="shared" si="4"/>
        <v>0</v>
      </c>
      <c r="AX63" s="5">
        <f t="shared" si="4"/>
        <v>0</v>
      </c>
      <c r="AY63" s="5">
        <f t="shared" si="4"/>
        <v>0</v>
      </c>
      <c r="AZ63" s="5">
        <f t="shared" si="4"/>
        <v>0</v>
      </c>
      <c r="BA63" s="5">
        <f t="shared" si="4"/>
        <v>0</v>
      </c>
      <c r="BB63" s="5">
        <f t="shared" si="4"/>
        <v>0</v>
      </c>
      <c r="BC63" s="5">
        <f t="shared" si="4"/>
        <v>0</v>
      </c>
      <c r="BD63" s="5">
        <f t="shared" si="4"/>
        <v>0</v>
      </c>
      <c r="BE63" s="5">
        <f t="shared" si="4"/>
        <v>0</v>
      </c>
      <c r="BF63" s="5">
        <f t="shared" si="4"/>
        <v>0</v>
      </c>
      <c r="BG63" s="5">
        <f t="shared" si="4"/>
        <v>0</v>
      </c>
    </row>
    <row r="64" spans="1:59" ht="24.75" customHeight="1">
      <c r="A64" s="122" t="s">
        <v>5</v>
      </c>
      <c r="B64" s="122"/>
      <c r="C64" s="122"/>
      <c r="D64" s="122"/>
      <c r="E64" s="122"/>
      <c r="F64" s="122"/>
      <c r="G64" s="122"/>
      <c r="H64" s="122"/>
      <c r="I64" s="122"/>
      <c r="J64" s="30">
        <f>J43+J63+J50</f>
        <v>25603</v>
      </c>
      <c r="K64" s="70">
        <f>K43+K50+K63</f>
        <v>1054</v>
      </c>
      <c r="L64" s="70">
        <f>L43+L50+L63</f>
        <v>1094</v>
      </c>
      <c r="M64" s="70">
        <f>M43+M50+M63</f>
        <v>384</v>
      </c>
      <c r="N64" s="32">
        <f>O64/L64</f>
        <v>0.64899451553930532</v>
      </c>
      <c r="O64" s="70">
        <f>O43+O50+O63</f>
        <v>710</v>
      </c>
      <c r="P64" s="70">
        <f>P43+P50+P63</f>
        <v>860</v>
      </c>
      <c r="Q64" s="70">
        <f>Q43+Q50+Q63</f>
        <v>1631</v>
      </c>
      <c r="R64" s="70"/>
      <c r="S64" s="70">
        <f t="shared" ref="S64:BG64" si="5">S43+S50+S63</f>
        <v>46</v>
      </c>
      <c r="T64" s="70">
        <f t="shared" si="5"/>
        <v>122</v>
      </c>
      <c r="U64" s="70">
        <f t="shared" si="5"/>
        <v>29</v>
      </c>
      <c r="V64" s="70">
        <f t="shared" si="5"/>
        <v>0</v>
      </c>
      <c r="W64" s="70">
        <f t="shared" si="5"/>
        <v>0</v>
      </c>
      <c r="X64" s="70">
        <f t="shared" si="5"/>
        <v>8</v>
      </c>
      <c r="Y64" s="70">
        <f t="shared" si="5"/>
        <v>1</v>
      </c>
      <c r="Z64" s="70">
        <f t="shared" si="5"/>
        <v>5</v>
      </c>
      <c r="AA64" s="70">
        <f t="shared" si="5"/>
        <v>0</v>
      </c>
      <c r="AB64" s="70">
        <f t="shared" si="5"/>
        <v>0</v>
      </c>
      <c r="AC64" s="70">
        <f t="shared" si="5"/>
        <v>119</v>
      </c>
      <c r="AD64" s="70">
        <f t="shared" si="5"/>
        <v>17</v>
      </c>
      <c r="AE64" s="70">
        <f t="shared" si="5"/>
        <v>23</v>
      </c>
      <c r="AF64" s="70">
        <f t="shared" si="5"/>
        <v>68</v>
      </c>
      <c r="AG64" s="70">
        <f t="shared" si="5"/>
        <v>68</v>
      </c>
      <c r="AH64" s="70">
        <f t="shared" si="5"/>
        <v>99</v>
      </c>
      <c r="AI64" s="70">
        <f t="shared" si="5"/>
        <v>0</v>
      </c>
      <c r="AJ64" s="70">
        <f t="shared" si="5"/>
        <v>6</v>
      </c>
      <c r="AK64" s="70">
        <f t="shared" si="5"/>
        <v>0</v>
      </c>
      <c r="AL64" s="70">
        <f t="shared" si="5"/>
        <v>99</v>
      </c>
      <c r="AM64" s="70">
        <f t="shared" si="5"/>
        <v>0</v>
      </c>
      <c r="AN64" s="70">
        <f t="shared" si="5"/>
        <v>0</v>
      </c>
      <c r="AO64" s="70">
        <f t="shared" si="5"/>
        <v>0</v>
      </c>
      <c r="AP64" s="70">
        <f t="shared" si="5"/>
        <v>0</v>
      </c>
      <c r="AQ64" s="70">
        <f t="shared" si="5"/>
        <v>0</v>
      </c>
      <c r="AR64" s="70">
        <f t="shared" si="5"/>
        <v>0</v>
      </c>
      <c r="AS64" s="70">
        <f t="shared" si="5"/>
        <v>0</v>
      </c>
      <c r="AT64" s="70">
        <f t="shared" si="5"/>
        <v>0</v>
      </c>
      <c r="AU64" s="70">
        <f t="shared" si="5"/>
        <v>0</v>
      </c>
      <c r="AV64" s="70">
        <f t="shared" si="5"/>
        <v>0</v>
      </c>
      <c r="AW64" s="70">
        <f t="shared" si="5"/>
        <v>0</v>
      </c>
      <c r="AX64" s="70">
        <f t="shared" si="5"/>
        <v>0</v>
      </c>
      <c r="AY64" s="70">
        <f t="shared" si="5"/>
        <v>0</v>
      </c>
      <c r="AZ64" s="70">
        <f t="shared" si="5"/>
        <v>0</v>
      </c>
      <c r="BA64" s="70">
        <f t="shared" si="5"/>
        <v>0</v>
      </c>
      <c r="BB64" s="70">
        <f t="shared" si="5"/>
        <v>0</v>
      </c>
      <c r="BC64" s="70">
        <f t="shared" si="5"/>
        <v>0</v>
      </c>
      <c r="BD64" s="70">
        <f t="shared" si="5"/>
        <v>0</v>
      </c>
      <c r="BE64" s="70">
        <f t="shared" si="5"/>
        <v>0</v>
      </c>
      <c r="BF64" s="70">
        <f t="shared" si="5"/>
        <v>0</v>
      </c>
      <c r="BG64" s="70">
        <f t="shared" si="5"/>
        <v>0</v>
      </c>
    </row>
    <row r="65" spans="1:59" ht="31.8">
      <c r="A65" s="81" t="s">
        <v>36</v>
      </c>
      <c r="B65" s="81"/>
      <c r="C65" s="81"/>
      <c r="D65" s="81"/>
      <c r="E65" s="81"/>
      <c r="F65" s="81"/>
      <c r="G65" s="81"/>
      <c r="H65" s="81"/>
      <c r="I65" s="81"/>
      <c r="J65" s="81"/>
      <c r="K65" s="81"/>
      <c r="L65" s="81"/>
      <c r="M65" s="81"/>
      <c r="N65" s="81"/>
      <c r="O65" s="81"/>
      <c r="P65" s="24"/>
      <c r="Q65" s="24"/>
      <c r="R65" s="67"/>
      <c r="S65" s="67"/>
      <c r="T65" s="67"/>
      <c r="U65" s="176"/>
      <c r="V65" s="66"/>
      <c r="W65" s="65"/>
      <c r="AM65" s="34"/>
      <c r="AN65" s="34"/>
      <c r="AO65" s="34"/>
      <c r="AP65" s="34"/>
      <c r="AQ65" s="34"/>
      <c r="AR65" s="34"/>
      <c r="AS65" s="34"/>
      <c r="AT65" s="34"/>
      <c r="AU65" s="34"/>
      <c r="AV65" s="34"/>
      <c r="AW65" s="34"/>
      <c r="AX65" s="34"/>
      <c r="AY65" s="34"/>
      <c r="AZ65" s="34"/>
      <c r="BA65" s="34"/>
      <c r="BB65" s="34"/>
      <c r="BC65" s="34"/>
      <c r="BD65" s="34"/>
      <c r="BE65" s="34"/>
      <c r="BF65" s="34"/>
      <c r="BG65" s="34"/>
    </row>
    <row r="66" spans="1:59" ht="33.75" customHeight="1">
      <c r="A66" s="82" t="s">
        <v>13</v>
      </c>
      <c r="B66" s="82"/>
      <c r="C66" s="82"/>
      <c r="D66" s="82"/>
      <c r="E66" s="82"/>
      <c r="F66" s="82"/>
      <c r="G66" s="82"/>
      <c r="H66" s="82"/>
      <c r="I66" s="82"/>
      <c r="J66" s="82"/>
      <c r="K66" s="82"/>
      <c r="L66" s="82"/>
      <c r="M66" s="82"/>
      <c r="N66" s="82"/>
      <c r="O66" s="82"/>
      <c r="R66" s="64"/>
      <c r="S66" s="64"/>
      <c r="T66" s="64"/>
      <c r="U66" s="176"/>
      <c r="V66" s="63"/>
      <c r="W66" s="62"/>
      <c r="AM66" s="34"/>
      <c r="AN66" s="34"/>
      <c r="AO66" s="34"/>
      <c r="AP66" s="34"/>
      <c r="AQ66" s="34"/>
      <c r="AR66" s="34"/>
      <c r="AS66" s="34"/>
      <c r="AT66" s="34"/>
      <c r="AU66" s="34"/>
      <c r="AV66" s="34"/>
      <c r="AW66" s="34"/>
      <c r="AX66" s="34"/>
      <c r="AY66" s="34"/>
      <c r="AZ66" s="34"/>
      <c r="BA66" s="34"/>
      <c r="BB66" s="34"/>
      <c r="BC66" s="34"/>
      <c r="BD66" s="34"/>
      <c r="BE66" s="34"/>
      <c r="BF66" s="34"/>
      <c r="BG66" s="34"/>
    </row>
    <row r="67" spans="1:59" ht="62.4">
      <c r="A67" s="9" t="s">
        <v>0</v>
      </c>
      <c r="B67" s="10" t="s">
        <v>34</v>
      </c>
      <c r="C67" s="11" t="s">
        <v>7</v>
      </c>
      <c r="D67" s="12" t="s">
        <v>1</v>
      </c>
      <c r="E67" s="13" t="s">
        <v>4</v>
      </c>
      <c r="F67" s="13" t="s">
        <v>2</v>
      </c>
      <c r="G67" s="13" t="s">
        <v>3</v>
      </c>
      <c r="H67" s="11" t="s">
        <v>6</v>
      </c>
      <c r="I67" s="14" t="s">
        <v>8</v>
      </c>
      <c r="J67" s="14" t="s">
        <v>17</v>
      </c>
      <c r="K67" s="12" t="s">
        <v>9</v>
      </c>
      <c r="L67" s="15" t="s">
        <v>10</v>
      </c>
      <c r="M67" s="15" t="s">
        <v>11</v>
      </c>
      <c r="N67" s="15" t="s">
        <v>12</v>
      </c>
      <c r="O67" s="15" t="s">
        <v>14</v>
      </c>
      <c r="P67" s="26" t="s">
        <v>16</v>
      </c>
      <c r="Q67" s="15" t="s">
        <v>42</v>
      </c>
      <c r="R67" s="15" t="s">
        <v>44</v>
      </c>
      <c r="S67" s="83">
        <v>101</v>
      </c>
      <c r="T67" s="83">
        <v>102</v>
      </c>
      <c r="U67" s="80">
        <v>106</v>
      </c>
      <c r="V67" s="80">
        <v>108</v>
      </c>
      <c r="W67" s="80">
        <v>109</v>
      </c>
      <c r="X67" s="80">
        <v>113</v>
      </c>
      <c r="Y67" s="80">
        <v>114</v>
      </c>
      <c r="Z67" s="80">
        <v>115</v>
      </c>
      <c r="AA67" s="80">
        <v>116</v>
      </c>
      <c r="AB67" s="80">
        <v>199</v>
      </c>
      <c r="AC67" s="80">
        <v>201</v>
      </c>
      <c r="AD67" s="80">
        <v>202</v>
      </c>
      <c r="AE67" s="80">
        <v>203</v>
      </c>
      <c r="AF67" s="80">
        <v>205</v>
      </c>
      <c r="AG67" s="80">
        <v>206</v>
      </c>
      <c r="AH67" s="79">
        <v>209</v>
      </c>
      <c r="AI67" s="79">
        <v>212</v>
      </c>
      <c r="AJ67" s="79">
        <v>216</v>
      </c>
      <c r="AK67" s="79">
        <v>217</v>
      </c>
      <c r="AL67" s="79">
        <v>299</v>
      </c>
      <c r="AM67" s="79">
        <v>301</v>
      </c>
      <c r="AN67" s="79">
        <v>302</v>
      </c>
      <c r="AO67" s="79">
        <v>399</v>
      </c>
      <c r="AP67" s="79">
        <v>401</v>
      </c>
      <c r="AQ67" s="79">
        <v>402</v>
      </c>
      <c r="AR67" s="79">
        <v>411</v>
      </c>
      <c r="AS67" s="79">
        <v>412</v>
      </c>
      <c r="AT67" s="79">
        <v>413</v>
      </c>
      <c r="AU67" s="79">
        <v>499</v>
      </c>
      <c r="AV67" s="79">
        <v>501</v>
      </c>
      <c r="AW67" s="79">
        <v>502</v>
      </c>
      <c r="AX67" s="79">
        <v>599</v>
      </c>
      <c r="AY67" s="79">
        <v>604</v>
      </c>
      <c r="AZ67" s="79">
        <v>605</v>
      </c>
      <c r="BA67" s="79">
        <v>699</v>
      </c>
      <c r="BB67" s="79">
        <v>701</v>
      </c>
      <c r="BC67" s="79">
        <v>702</v>
      </c>
      <c r="BD67" s="79">
        <v>703</v>
      </c>
      <c r="BE67" s="79">
        <v>704</v>
      </c>
      <c r="BF67" s="79">
        <v>799</v>
      </c>
      <c r="BG67" s="84">
        <v>999</v>
      </c>
    </row>
    <row r="68" spans="1:59" ht="62.25" customHeight="1">
      <c r="A68" s="10" t="s">
        <v>18</v>
      </c>
      <c r="B68" s="10" t="s">
        <v>19</v>
      </c>
      <c r="C68" s="13" t="s">
        <v>20</v>
      </c>
      <c r="D68" s="12" t="s">
        <v>21</v>
      </c>
      <c r="E68" s="13" t="s">
        <v>22</v>
      </c>
      <c r="F68" s="13" t="s">
        <v>23</v>
      </c>
      <c r="G68" s="13" t="s">
        <v>25</v>
      </c>
      <c r="H68" s="13" t="s">
        <v>24</v>
      </c>
      <c r="I68" s="14" t="s">
        <v>26</v>
      </c>
      <c r="J68" s="14" t="s">
        <v>27</v>
      </c>
      <c r="K68" s="15" t="s">
        <v>28</v>
      </c>
      <c r="L68" s="15" t="s">
        <v>29</v>
      </c>
      <c r="M68" s="15" t="s">
        <v>30</v>
      </c>
      <c r="N68" s="15" t="s">
        <v>32</v>
      </c>
      <c r="O68" s="15" t="s">
        <v>31</v>
      </c>
      <c r="P68" s="26" t="s">
        <v>33</v>
      </c>
      <c r="Q68" s="15" t="s">
        <v>43</v>
      </c>
      <c r="R68" s="15" t="s">
        <v>45</v>
      </c>
      <c r="S68" s="83"/>
      <c r="T68" s="83"/>
      <c r="U68" s="80"/>
      <c r="V68" s="80"/>
      <c r="W68" s="80"/>
      <c r="X68" s="80"/>
      <c r="Y68" s="80"/>
      <c r="Z68" s="80"/>
      <c r="AA68" s="80"/>
      <c r="AB68" s="80"/>
      <c r="AC68" s="80"/>
      <c r="AD68" s="80"/>
      <c r="AE68" s="80"/>
      <c r="AF68" s="80"/>
      <c r="AG68" s="80"/>
      <c r="AH68" s="79"/>
      <c r="AI68" s="79"/>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84"/>
    </row>
    <row r="69" spans="1:59" s="17" customFormat="1" ht="15.75" hidden="1" customHeight="1">
      <c r="A69" s="108"/>
      <c r="B69" s="87"/>
      <c r="C69" s="89"/>
      <c r="D69" s="91"/>
      <c r="E69" s="89"/>
      <c r="F69" s="89"/>
      <c r="G69" s="93"/>
      <c r="H69" s="89"/>
      <c r="I69" s="89"/>
      <c r="J69" s="89"/>
      <c r="K69" s="20"/>
      <c r="L69" s="20"/>
      <c r="M69" s="20"/>
      <c r="N69" s="146" t="e">
        <f>O70/L70</f>
        <v>#DIV/0!</v>
      </c>
      <c r="O69" s="21">
        <f t="shared" ref="O69:O74" si="6">L69-M69</f>
        <v>0</v>
      </c>
      <c r="P69" s="27"/>
      <c r="Q69" s="99">
        <f>+L70-P70</f>
        <v>0</v>
      </c>
      <c r="R69" s="108"/>
      <c r="S69" s="149"/>
      <c r="T69" s="149"/>
      <c r="U69" s="149"/>
      <c r="V69" s="149"/>
      <c r="W69" s="149"/>
      <c r="X69" s="149"/>
      <c r="Y69" s="149"/>
      <c r="Z69" s="149"/>
      <c r="AA69" s="149"/>
      <c r="AB69" s="149"/>
      <c r="AC69" s="149"/>
      <c r="AD69" s="149"/>
      <c r="AE69" s="149"/>
      <c r="AF69" s="149"/>
      <c r="AG69" s="149"/>
      <c r="AH69" s="149"/>
      <c r="AI69" s="149"/>
      <c r="AJ69" s="149"/>
      <c r="AK69" s="149"/>
      <c r="AL69" s="149"/>
      <c r="AM69" s="163"/>
      <c r="AN69" s="163"/>
      <c r="AO69" s="163"/>
      <c r="AP69" s="163"/>
      <c r="AQ69" s="163"/>
      <c r="AR69" s="163"/>
      <c r="AS69" s="163"/>
      <c r="AT69" s="163"/>
      <c r="AU69" s="163"/>
      <c r="AV69" s="163"/>
      <c r="AW69" s="163"/>
      <c r="AX69" s="163"/>
      <c r="AY69" s="167"/>
      <c r="AZ69" s="167"/>
      <c r="BA69" s="167"/>
      <c r="BB69" s="167"/>
      <c r="BC69" s="167"/>
      <c r="BD69" s="161"/>
      <c r="BE69" s="163"/>
      <c r="BF69" s="165"/>
      <c r="BG69" s="165"/>
    </row>
    <row r="70" spans="1:59" s="17" customFormat="1" ht="15.75" hidden="1" customHeight="1">
      <c r="A70" s="85"/>
      <c r="B70" s="88"/>
      <c r="C70" s="90"/>
      <c r="D70" s="92"/>
      <c r="E70" s="90"/>
      <c r="F70" s="90"/>
      <c r="G70" s="94"/>
      <c r="H70" s="90"/>
      <c r="I70" s="90"/>
      <c r="J70" s="90"/>
      <c r="K70" s="22"/>
      <c r="L70" s="18"/>
      <c r="M70" s="18"/>
      <c r="N70" s="147"/>
      <c r="O70" s="19">
        <f t="shared" si="6"/>
        <v>0</v>
      </c>
      <c r="P70" s="22"/>
      <c r="Q70" s="100"/>
      <c r="R70" s="85"/>
      <c r="S70" s="150"/>
      <c r="T70" s="150"/>
      <c r="U70" s="150"/>
      <c r="V70" s="150"/>
      <c r="W70" s="150"/>
      <c r="X70" s="150"/>
      <c r="Y70" s="150"/>
      <c r="Z70" s="150"/>
      <c r="AA70" s="150"/>
      <c r="AB70" s="150"/>
      <c r="AC70" s="150"/>
      <c r="AD70" s="150"/>
      <c r="AE70" s="150"/>
      <c r="AF70" s="150"/>
      <c r="AG70" s="150"/>
      <c r="AH70" s="150"/>
      <c r="AI70" s="150"/>
      <c r="AJ70" s="150"/>
      <c r="AK70" s="150"/>
      <c r="AL70" s="150"/>
      <c r="AM70" s="164"/>
      <c r="AN70" s="164"/>
      <c r="AO70" s="164"/>
      <c r="AP70" s="164"/>
      <c r="AQ70" s="164"/>
      <c r="AR70" s="164"/>
      <c r="AS70" s="164"/>
      <c r="AT70" s="164"/>
      <c r="AU70" s="164"/>
      <c r="AV70" s="164"/>
      <c r="AW70" s="164"/>
      <c r="AX70" s="164"/>
      <c r="AY70" s="168"/>
      <c r="AZ70" s="168"/>
      <c r="BA70" s="168"/>
      <c r="BB70" s="168"/>
      <c r="BC70" s="168"/>
      <c r="BD70" s="162"/>
      <c r="BE70" s="164"/>
      <c r="BF70" s="166"/>
      <c r="BG70" s="166"/>
    </row>
    <row r="71" spans="1:59" s="17" customFormat="1" ht="18" customHeight="1">
      <c r="A71" s="108">
        <v>45282</v>
      </c>
      <c r="B71" s="138" t="s">
        <v>37</v>
      </c>
      <c r="C71" s="90" t="s">
        <v>56</v>
      </c>
      <c r="D71" s="91" t="s">
        <v>38</v>
      </c>
      <c r="E71" s="89">
        <v>84217</v>
      </c>
      <c r="F71" s="89" t="s">
        <v>49</v>
      </c>
      <c r="G71" s="137" t="s">
        <v>61</v>
      </c>
      <c r="H71" s="95" t="s">
        <v>39</v>
      </c>
      <c r="I71" s="90">
        <v>4497</v>
      </c>
      <c r="J71" s="90">
        <v>4097</v>
      </c>
      <c r="K71" s="20">
        <v>0</v>
      </c>
      <c r="L71" s="20">
        <v>0</v>
      </c>
      <c r="M71" s="20">
        <v>0</v>
      </c>
      <c r="N71" s="97">
        <f>O72/L72</f>
        <v>0.61288747864290949</v>
      </c>
      <c r="O71" s="21">
        <f t="shared" si="6"/>
        <v>0</v>
      </c>
      <c r="P71" s="27">
        <v>0</v>
      </c>
      <c r="Q71" s="99">
        <f>+L72-P72</f>
        <v>26</v>
      </c>
      <c r="R71" s="85"/>
      <c r="S71" s="96"/>
      <c r="T71" s="96"/>
      <c r="U71" s="96"/>
      <c r="V71" s="96"/>
      <c r="W71" s="96"/>
      <c r="X71" s="96"/>
      <c r="Y71" s="96"/>
      <c r="Z71" s="96"/>
      <c r="AA71" s="96"/>
      <c r="AB71" s="96"/>
      <c r="AC71" s="96"/>
      <c r="AD71" s="96"/>
      <c r="AE71" s="96"/>
      <c r="AF71" s="96"/>
      <c r="AG71" s="96"/>
      <c r="AH71" s="96"/>
      <c r="AI71" s="96"/>
      <c r="AJ71" s="96"/>
      <c r="AK71" s="96"/>
      <c r="AL71" s="96"/>
      <c r="AM71" s="103"/>
      <c r="AN71" s="103"/>
      <c r="AO71" s="103"/>
      <c r="AP71" s="103"/>
      <c r="AQ71" s="103"/>
      <c r="AR71" s="103"/>
      <c r="AS71" s="103"/>
      <c r="AT71" s="103"/>
      <c r="AU71" s="103"/>
      <c r="AV71" s="103"/>
      <c r="AW71" s="103"/>
      <c r="AX71" s="103"/>
      <c r="AY71" s="106"/>
      <c r="AZ71" s="106"/>
      <c r="BA71" s="106"/>
      <c r="BB71" s="106"/>
      <c r="BC71" s="106"/>
      <c r="BD71" s="106"/>
      <c r="BE71" s="103"/>
      <c r="BF71" s="104"/>
      <c r="BG71" s="104"/>
    </row>
    <row r="72" spans="1:59" s="17" customFormat="1" ht="17.25" customHeight="1">
      <c r="A72" s="85"/>
      <c r="B72" s="139"/>
      <c r="C72" s="95"/>
      <c r="D72" s="92"/>
      <c r="E72" s="90"/>
      <c r="F72" s="90"/>
      <c r="G72" s="95"/>
      <c r="H72" s="95"/>
      <c r="I72" s="95"/>
      <c r="J72" s="95"/>
      <c r="K72" s="18">
        <f>260+160+50+100+100+240+349+166+150+60+120+30+30+230+80+125+115+200+209+115+50+371+435+245+60+40+7</f>
        <v>4097</v>
      </c>
      <c r="L72" s="18">
        <f>260+160+50+100+140+100+240+150+60+370+60+150+75+245+185+200+450+375+390+290+40+7</f>
        <v>4097</v>
      </c>
      <c r="M72" s="18">
        <f>120+55+27+40+30+60+87+45+34+74+40+100+40+75+74+73+199+146+180+50+30+7</f>
        <v>1586</v>
      </c>
      <c r="N72" s="98"/>
      <c r="O72" s="19">
        <f t="shared" si="6"/>
        <v>2511</v>
      </c>
      <c r="P72" s="49">
        <f>170+70+15+112+30+30+83+50+100+127+218+53+42+60+34+200+66+100+130+190+144+20+151+307+424+312+340+441+22+30</f>
        <v>4071</v>
      </c>
      <c r="Q72" s="100"/>
      <c r="R72" s="86"/>
      <c r="S72" s="96"/>
      <c r="T72" s="96"/>
      <c r="U72" s="96"/>
      <c r="V72" s="96"/>
      <c r="W72" s="96"/>
      <c r="X72" s="96"/>
      <c r="Y72" s="96"/>
      <c r="Z72" s="96"/>
      <c r="AA72" s="96"/>
      <c r="AB72" s="96"/>
      <c r="AC72" s="96"/>
      <c r="AD72" s="96"/>
      <c r="AE72" s="96"/>
      <c r="AF72" s="96"/>
      <c r="AG72" s="96"/>
      <c r="AH72" s="96"/>
      <c r="AI72" s="96"/>
      <c r="AJ72" s="96"/>
      <c r="AK72" s="96"/>
      <c r="AL72" s="96"/>
      <c r="AM72" s="103"/>
      <c r="AN72" s="103"/>
      <c r="AO72" s="103"/>
      <c r="AP72" s="103"/>
      <c r="AQ72" s="103"/>
      <c r="AR72" s="103"/>
      <c r="AS72" s="103"/>
      <c r="AT72" s="103"/>
      <c r="AU72" s="103"/>
      <c r="AV72" s="103"/>
      <c r="AW72" s="103"/>
      <c r="AX72" s="103"/>
      <c r="AY72" s="107"/>
      <c r="AZ72" s="107"/>
      <c r="BA72" s="107"/>
      <c r="BB72" s="107"/>
      <c r="BC72" s="107"/>
      <c r="BD72" s="107"/>
      <c r="BE72" s="103"/>
      <c r="BF72" s="105"/>
      <c r="BG72" s="105"/>
    </row>
    <row r="73" spans="1:59" s="17" customFormat="1" ht="18" customHeight="1">
      <c r="A73" s="108">
        <v>45282</v>
      </c>
      <c r="B73" s="132" t="s">
        <v>37</v>
      </c>
      <c r="C73" s="117" t="s">
        <v>56</v>
      </c>
      <c r="D73" s="118" t="s">
        <v>38</v>
      </c>
      <c r="E73" s="116">
        <v>84217</v>
      </c>
      <c r="F73" s="116" t="s">
        <v>49</v>
      </c>
      <c r="G73" s="141" t="s">
        <v>63</v>
      </c>
      <c r="H73" s="95" t="s">
        <v>39</v>
      </c>
      <c r="I73" s="90">
        <v>4970</v>
      </c>
      <c r="J73" s="90">
        <v>2149</v>
      </c>
      <c r="K73" s="20">
        <v>200</v>
      </c>
      <c r="L73" s="20">
        <v>100</v>
      </c>
      <c r="M73" s="20">
        <v>19</v>
      </c>
      <c r="N73" s="143">
        <f>O74/L74</f>
        <v>0.57090909090909092</v>
      </c>
      <c r="O73" s="21">
        <f t="shared" si="6"/>
        <v>81</v>
      </c>
      <c r="P73" s="60">
        <v>54</v>
      </c>
      <c r="Q73" s="99">
        <f>+L74-P74</f>
        <v>117</v>
      </c>
      <c r="R73" s="101"/>
      <c r="S73" s="96"/>
      <c r="T73" s="96"/>
      <c r="U73" s="96">
        <v>30</v>
      </c>
      <c r="V73" s="96"/>
      <c r="W73" s="96"/>
      <c r="X73" s="96"/>
      <c r="Y73" s="96"/>
      <c r="Z73" s="96"/>
      <c r="AA73" s="96"/>
      <c r="AB73" s="96"/>
      <c r="AC73" s="140">
        <v>13</v>
      </c>
      <c r="AD73" s="96">
        <v>10</v>
      </c>
      <c r="AE73" s="96">
        <v>5</v>
      </c>
      <c r="AF73" s="96"/>
      <c r="AG73" s="96">
        <v>10</v>
      </c>
      <c r="AH73" s="96"/>
      <c r="AI73" s="96"/>
      <c r="AJ73" s="96"/>
      <c r="AK73" s="96"/>
      <c r="AL73" s="96">
        <v>13</v>
      </c>
      <c r="AM73" s="96"/>
      <c r="AN73" s="96"/>
      <c r="AO73" s="96"/>
      <c r="AP73" s="96"/>
      <c r="AQ73" s="96"/>
      <c r="AR73" s="96"/>
      <c r="AS73" s="96"/>
      <c r="AT73" s="96"/>
      <c r="AU73" s="96"/>
      <c r="AV73" s="96"/>
      <c r="AW73" s="96"/>
      <c r="AX73" s="96"/>
      <c r="AY73" s="124"/>
      <c r="AZ73" s="123"/>
      <c r="BA73" s="123"/>
      <c r="BB73" s="123"/>
      <c r="BC73" s="123"/>
      <c r="BD73" s="123"/>
      <c r="BE73" s="123"/>
      <c r="BF73" s="123"/>
      <c r="BG73" s="123"/>
    </row>
    <row r="74" spans="1:59" s="17" customFormat="1" ht="17.25" customHeight="1">
      <c r="A74" s="85"/>
      <c r="B74" s="145"/>
      <c r="C74" s="142"/>
      <c r="D74" s="119"/>
      <c r="E74" s="117"/>
      <c r="F74" s="117"/>
      <c r="G74" s="142"/>
      <c r="H74" s="95"/>
      <c r="I74" s="95"/>
      <c r="J74" s="95"/>
      <c r="K74" s="3">
        <f>300+50+100+200</f>
        <v>650</v>
      </c>
      <c r="L74" s="3">
        <f>200+150+100+100</f>
        <v>550</v>
      </c>
      <c r="M74" s="3">
        <f>88+64+65+19</f>
        <v>236</v>
      </c>
      <c r="N74" s="144"/>
      <c r="O74" s="7">
        <f t="shared" si="6"/>
        <v>314</v>
      </c>
      <c r="P74" s="22">
        <f>88+144+147+54</f>
        <v>433</v>
      </c>
      <c r="Q74" s="100"/>
      <c r="R74" s="102"/>
      <c r="S74" s="96"/>
      <c r="T74" s="96"/>
      <c r="U74" s="96"/>
      <c r="V74" s="96"/>
      <c r="W74" s="96"/>
      <c r="X74" s="96"/>
      <c r="Y74" s="96"/>
      <c r="Z74" s="96"/>
      <c r="AA74" s="96"/>
      <c r="AB74" s="96"/>
      <c r="AC74" s="140"/>
      <c r="AD74" s="96"/>
      <c r="AE74" s="96"/>
      <c r="AF74" s="96"/>
      <c r="AG74" s="96"/>
      <c r="AH74" s="96"/>
      <c r="AI74" s="96"/>
      <c r="AJ74" s="96"/>
      <c r="AK74" s="96"/>
      <c r="AL74" s="96"/>
      <c r="AM74" s="96"/>
      <c r="AN74" s="96"/>
      <c r="AO74" s="96"/>
      <c r="AP74" s="96"/>
      <c r="AQ74" s="96"/>
      <c r="AR74" s="96"/>
      <c r="AS74" s="96"/>
      <c r="AT74" s="96"/>
      <c r="AU74" s="96"/>
      <c r="AV74" s="96"/>
      <c r="AW74" s="96"/>
      <c r="AX74" s="96"/>
      <c r="AY74" s="124"/>
      <c r="AZ74" s="124"/>
      <c r="BA74" s="124"/>
      <c r="BB74" s="124"/>
      <c r="BC74" s="124"/>
      <c r="BD74" s="124"/>
      <c r="BE74" s="124"/>
      <c r="BF74" s="124"/>
      <c r="BG74" s="124"/>
    </row>
    <row r="75" spans="1:59" s="17" customFormat="1" ht="18" hidden="1" customHeight="1">
      <c r="A75" s="108"/>
      <c r="B75" s="132"/>
      <c r="C75" s="117"/>
      <c r="D75" s="118"/>
      <c r="E75" s="116"/>
      <c r="F75" s="116"/>
      <c r="G75" s="141"/>
      <c r="H75" s="95"/>
      <c r="I75" s="90"/>
      <c r="J75" s="90"/>
      <c r="K75" s="20"/>
      <c r="L75" s="20"/>
      <c r="M75" s="20"/>
      <c r="N75" s="143"/>
      <c r="O75" s="61"/>
      <c r="P75" s="60"/>
      <c r="Q75" s="172"/>
      <c r="R75" s="101"/>
      <c r="S75" s="96"/>
      <c r="T75" s="96"/>
      <c r="U75" s="96"/>
      <c r="V75" s="96"/>
      <c r="W75" s="96"/>
      <c r="X75" s="96"/>
      <c r="Y75" s="96"/>
      <c r="Z75" s="96"/>
      <c r="AA75" s="96"/>
      <c r="AB75" s="96"/>
      <c r="AC75" s="140"/>
      <c r="AD75" s="96"/>
      <c r="AE75" s="96"/>
      <c r="AF75" s="96"/>
      <c r="AG75" s="96"/>
      <c r="AH75" s="96"/>
      <c r="AI75" s="96"/>
      <c r="AJ75" s="96"/>
      <c r="AK75" s="96"/>
      <c r="AL75" s="96"/>
      <c r="AM75" s="96"/>
      <c r="AN75" s="96"/>
      <c r="AO75" s="96"/>
      <c r="AP75" s="96"/>
      <c r="AQ75" s="96"/>
      <c r="AR75" s="96"/>
      <c r="AS75" s="96"/>
      <c r="AT75" s="96"/>
      <c r="AU75" s="96"/>
      <c r="AV75" s="96"/>
      <c r="AW75" s="96"/>
      <c r="AX75" s="96"/>
      <c r="AY75" s="124"/>
      <c r="AZ75" s="123"/>
      <c r="BA75" s="123"/>
      <c r="BB75" s="123"/>
      <c r="BC75" s="123"/>
      <c r="BD75" s="123"/>
      <c r="BE75" s="123"/>
      <c r="BF75" s="123"/>
      <c r="BG75" s="123"/>
    </row>
    <row r="76" spans="1:59" s="17" customFormat="1" ht="17.25" hidden="1" customHeight="1">
      <c r="A76" s="85"/>
      <c r="B76" s="145"/>
      <c r="C76" s="142"/>
      <c r="D76" s="119"/>
      <c r="E76" s="117"/>
      <c r="F76" s="117"/>
      <c r="G76" s="142"/>
      <c r="H76" s="95"/>
      <c r="I76" s="95"/>
      <c r="J76" s="95"/>
      <c r="K76" s="3"/>
      <c r="L76" s="3"/>
      <c r="M76" s="3"/>
      <c r="N76" s="144"/>
      <c r="O76" s="59"/>
      <c r="P76" s="22"/>
      <c r="Q76" s="173"/>
      <c r="R76" s="102"/>
      <c r="S76" s="96"/>
      <c r="T76" s="96"/>
      <c r="U76" s="96"/>
      <c r="V76" s="96"/>
      <c r="W76" s="96"/>
      <c r="X76" s="96"/>
      <c r="Y76" s="96"/>
      <c r="Z76" s="96"/>
      <c r="AA76" s="96"/>
      <c r="AB76" s="96"/>
      <c r="AC76" s="140"/>
      <c r="AD76" s="96"/>
      <c r="AE76" s="96"/>
      <c r="AF76" s="96"/>
      <c r="AG76" s="96"/>
      <c r="AH76" s="96"/>
      <c r="AI76" s="96"/>
      <c r="AJ76" s="96"/>
      <c r="AK76" s="96"/>
      <c r="AL76" s="96"/>
      <c r="AM76" s="96"/>
      <c r="AN76" s="96"/>
      <c r="AO76" s="96"/>
      <c r="AP76" s="96"/>
      <c r="AQ76" s="96"/>
      <c r="AR76" s="96"/>
      <c r="AS76" s="96"/>
      <c r="AT76" s="96"/>
      <c r="AU76" s="96"/>
      <c r="AV76" s="96"/>
      <c r="AW76" s="96"/>
      <c r="AX76" s="96"/>
      <c r="AY76" s="124"/>
      <c r="AZ76" s="124"/>
      <c r="BA76" s="124"/>
      <c r="BB76" s="124"/>
      <c r="BC76" s="124"/>
      <c r="BD76" s="124"/>
      <c r="BE76" s="124"/>
      <c r="BF76" s="124"/>
      <c r="BG76" s="124"/>
    </row>
    <row r="77" spans="1:59" ht="24.75" customHeight="1">
      <c r="A77" s="111" t="s">
        <v>15</v>
      </c>
      <c r="B77" s="112"/>
      <c r="C77" s="112"/>
      <c r="D77" s="112"/>
      <c r="E77" s="112"/>
      <c r="F77" s="112"/>
      <c r="G77" s="112"/>
      <c r="H77" s="112"/>
      <c r="I77" s="113"/>
      <c r="J77" s="5">
        <f>SUM(J69:J76)</f>
        <v>6246</v>
      </c>
      <c r="K77" s="5">
        <f>+SUMPRODUCT(((MOD(ROW(K69:K76),2)=1)*(K69:K76)))</f>
        <v>200</v>
      </c>
      <c r="L77" s="5">
        <f>+SUMPRODUCT(((MOD(ROW(L69:L76),2)=1)*(L69:L76)))</f>
        <v>100</v>
      </c>
      <c r="M77" s="5">
        <f>+SUMPRODUCT(((MOD(ROW(M69:M76),2)=1)*(M69:M76)))</f>
        <v>19</v>
      </c>
      <c r="N77" s="23">
        <f>O77/L77</f>
        <v>0.81</v>
      </c>
      <c r="O77" s="5">
        <f>+SUMPRODUCT(((MOD(ROW(O69:O76),2)=1)*(O69:O76)))</f>
        <v>81</v>
      </c>
      <c r="P77" s="5">
        <f>+SUMPRODUCT(((MOD(ROW(P69:P76),2)=1)*(P69:P76)))</f>
        <v>54</v>
      </c>
      <c r="Q77" s="5">
        <f>+SUMPRODUCT(((MOD(ROW(Q69:Q76),2)=1)*(Q69:Q76)))</f>
        <v>143</v>
      </c>
      <c r="R77" s="5"/>
      <c r="S77" s="5">
        <f t="shared" ref="S77:BG77" si="7">SUM(S69:S76)</f>
        <v>0</v>
      </c>
      <c r="T77" s="5">
        <f t="shared" si="7"/>
        <v>0</v>
      </c>
      <c r="U77" s="5">
        <f t="shared" si="7"/>
        <v>30</v>
      </c>
      <c r="V77" s="5">
        <f t="shared" si="7"/>
        <v>0</v>
      </c>
      <c r="W77" s="5">
        <f t="shared" si="7"/>
        <v>0</v>
      </c>
      <c r="X77" s="5">
        <f t="shared" si="7"/>
        <v>0</v>
      </c>
      <c r="Y77" s="5">
        <f t="shared" si="7"/>
        <v>0</v>
      </c>
      <c r="Z77" s="5">
        <f t="shared" si="7"/>
        <v>0</v>
      </c>
      <c r="AA77" s="5">
        <f t="shared" si="7"/>
        <v>0</v>
      </c>
      <c r="AB77" s="5">
        <f t="shared" si="7"/>
        <v>0</v>
      </c>
      <c r="AC77" s="5">
        <f t="shared" si="7"/>
        <v>13</v>
      </c>
      <c r="AD77" s="5">
        <f t="shared" si="7"/>
        <v>10</v>
      </c>
      <c r="AE77" s="5">
        <f t="shared" si="7"/>
        <v>5</v>
      </c>
      <c r="AF77" s="5">
        <f t="shared" si="7"/>
        <v>0</v>
      </c>
      <c r="AG77" s="5">
        <f t="shared" si="7"/>
        <v>10</v>
      </c>
      <c r="AH77" s="5">
        <f t="shared" si="7"/>
        <v>0</v>
      </c>
      <c r="AI77" s="5">
        <f t="shared" si="7"/>
        <v>0</v>
      </c>
      <c r="AJ77" s="5">
        <f t="shared" si="7"/>
        <v>0</v>
      </c>
      <c r="AK77" s="5">
        <f t="shared" si="7"/>
        <v>0</v>
      </c>
      <c r="AL77" s="5">
        <f t="shared" si="7"/>
        <v>13</v>
      </c>
      <c r="AM77" s="5">
        <f t="shared" si="7"/>
        <v>0</v>
      </c>
      <c r="AN77" s="5">
        <f t="shared" si="7"/>
        <v>0</v>
      </c>
      <c r="AO77" s="5">
        <f t="shared" si="7"/>
        <v>0</v>
      </c>
      <c r="AP77" s="5">
        <f t="shared" si="7"/>
        <v>0</v>
      </c>
      <c r="AQ77" s="5">
        <f t="shared" si="7"/>
        <v>0</v>
      </c>
      <c r="AR77" s="5">
        <f t="shared" si="7"/>
        <v>0</v>
      </c>
      <c r="AS77" s="5">
        <f t="shared" si="7"/>
        <v>0</v>
      </c>
      <c r="AT77" s="5">
        <f t="shared" si="7"/>
        <v>0</v>
      </c>
      <c r="AU77" s="5">
        <f t="shared" si="7"/>
        <v>0</v>
      </c>
      <c r="AV77" s="5">
        <f t="shared" si="7"/>
        <v>0</v>
      </c>
      <c r="AW77" s="5">
        <f t="shared" si="7"/>
        <v>0</v>
      </c>
      <c r="AX77" s="5">
        <f t="shared" si="7"/>
        <v>0</v>
      </c>
      <c r="AY77" s="5">
        <f t="shared" si="7"/>
        <v>0</v>
      </c>
      <c r="AZ77" s="5">
        <f t="shared" si="7"/>
        <v>0</v>
      </c>
      <c r="BA77" s="5">
        <f t="shared" si="7"/>
        <v>0</v>
      </c>
      <c r="BB77" s="5">
        <f t="shared" si="7"/>
        <v>0</v>
      </c>
      <c r="BC77" s="5">
        <f t="shared" si="7"/>
        <v>0</v>
      </c>
      <c r="BD77" s="5">
        <f t="shared" si="7"/>
        <v>0</v>
      </c>
      <c r="BE77" s="5">
        <f t="shared" si="7"/>
        <v>0</v>
      </c>
      <c r="BF77" s="5">
        <f t="shared" si="7"/>
        <v>0</v>
      </c>
      <c r="BG77" s="5">
        <f t="shared" si="7"/>
        <v>0</v>
      </c>
    </row>
    <row r="78" spans="1:59" s="17" customFormat="1" ht="15.75" hidden="1" customHeight="1">
      <c r="A78" s="101"/>
      <c r="B78" s="114"/>
      <c r="C78" s="116"/>
      <c r="D78" s="118"/>
      <c r="E78" s="116"/>
      <c r="F78" s="116"/>
      <c r="G78" s="120"/>
      <c r="H78" s="151"/>
      <c r="I78" s="89"/>
      <c r="J78" s="89"/>
      <c r="K78" s="20"/>
      <c r="L78" s="20"/>
      <c r="M78" s="20"/>
      <c r="N78" s="146"/>
      <c r="O78" s="21"/>
      <c r="P78" s="27"/>
      <c r="Q78" s="99"/>
      <c r="R78" s="148"/>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52"/>
      <c r="AZ78" s="152"/>
      <c r="BA78" s="152"/>
      <c r="BB78" s="152"/>
      <c r="BC78" s="152"/>
      <c r="BD78" s="152"/>
      <c r="BE78" s="149"/>
      <c r="BF78" s="152"/>
      <c r="BG78" s="152"/>
    </row>
    <row r="79" spans="1:59" s="17" customFormat="1" ht="15.75" hidden="1" customHeight="1">
      <c r="A79" s="102"/>
      <c r="B79" s="115"/>
      <c r="C79" s="117"/>
      <c r="D79" s="119"/>
      <c r="E79" s="117"/>
      <c r="F79" s="117"/>
      <c r="G79" s="121"/>
      <c r="H79" s="90"/>
      <c r="I79" s="90"/>
      <c r="J79" s="90"/>
      <c r="K79" s="22"/>
      <c r="L79" s="18"/>
      <c r="M79" s="18"/>
      <c r="N79" s="147"/>
      <c r="O79" s="19"/>
      <c r="P79" s="22"/>
      <c r="Q79" s="100"/>
      <c r="R79" s="101"/>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3"/>
      <c r="AZ79" s="153"/>
      <c r="BA79" s="153"/>
      <c r="BB79" s="153"/>
      <c r="BC79" s="153"/>
      <c r="BD79" s="153"/>
      <c r="BE79" s="150"/>
      <c r="BF79" s="153"/>
      <c r="BG79" s="153"/>
    </row>
    <row r="80" spans="1:59" s="17" customFormat="1" ht="15.75" hidden="1" customHeight="1">
      <c r="A80" s="101"/>
      <c r="B80" s="114"/>
      <c r="C80" s="116"/>
      <c r="D80" s="118"/>
      <c r="E80" s="116"/>
      <c r="F80" s="116"/>
      <c r="G80" s="120"/>
      <c r="H80" s="151"/>
      <c r="I80" s="89"/>
      <c r="J80" s="89"/>
      <c r="K80" s="20"/>
      <c r="L80" s="20"/>
      <c r="M80" s="20"/>
      <c r="N80" s="146"/>
      <c r="O80" s="21"/>
      <c r="P80" s="27"/>
      <c r="Q80" s="99"/>
      <c r="R80" s="148"/>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52"/>
      <c r="AZ80" s="152"/>
      <c r="BA80" s="152"/>
      <c r="BB80" s="152"/>
      <c r="BC80" s="152"/>
      <c r="BD80" s="152"/>
      <c r="BE80" s="149"/>
      <c r="BF80" s="152"/>
      <c r="BG80" s="152"/>
    </row>
    <row r="81" spans="1:61" s="17" customFormat="1" ht="15.75" hidden="1" customHeight="1">
      <c r="A81" s="102"/>
      <c r="B81" s="115"/>
      <c r="C81" s="117"/>
      <c r="D81" s="119"/>
      <c r="E81" s="117"/>
      <c r="F81" s="117"/>
      <c r="G81" s="121"/>
      <c r="H81" s="90"/>
      <c r="I81" s="90"/>
      <c r="J81" s="90"/>
      <c r="K81" s="22"/>
      <c r="L81" s="18"/>
      <c r="M81" s="18"/>
      <c r="N81" s="147"/>
      <c r="O81" s="19"/>
      <c r="P81" s="22"/>
      <c r="Q81" s="100"/>
      <c r="R81" s="101"/>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3"/>
      <c r="AZ81" s="153"/>
      <c r="BA81" s="153"/>
      <c r="BB81" s="153"/>
      <c r="BC81" s="153"/>
      <c r="BD81" s="153"/>
      <c r="BE81" s="150"/>
      <c r="BF81" s="153"/>
      <c r="BG81" s="153"/>
    </row>
    <row r="82" spans="1:61" s="17" customFormat="1" ht="15.75" hidden="1" customHeight="1">
      <c r="A82" s="101"/>
      <c r="B82" s="114"/>
      <c r="C82" s="116"/>
      <c r="D82" s="118"/>
      <c r="E82" s="116"/>
      <c r="F82" s="116"/>
      <c r="G82" s="120"/>
      <c r="H82" s="109"/>
      <c r="I82" s="90"/>
      <c r="J82" s="90"/>
      <c r="K82" s="20"/>
      <c r="L82" s="20"/>
      <c r="M82" s="20"/>
      <c r="N82" s="97"/>
      <c r="O82" s="21"/>
      <c r="P82" s="27"/>
      <c r="Q82" s="99"/>
      <c r="R82" s="154"/>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5"/>
      <c r="AZ82" s="155"/>
      <c r="BA82" s="155"/>
      <c r="BB82" s="155"/>
      <c r="BC82" s="155"/>
      <c r="BD82" s="155"/>
      <c r="BE82" s="96"/>
      <c r="BF82" s="155"/>
      <c r="BG82" s="155"/>
    </row>
    <row r="83" spans="1:61" s="17" customFormat="1" ht="15.75" hidden="1" customHeight="1">
      <c r="A83" s="102"/>
      <c r="B83" s="115"/>
      <c r="C83" s="117"/>
      <c r="D83" s="119"/>
      <c r="E83" s="117"/>
      <c r="F83" s="117"/>
      <c r="G83" s="121"/>
      <c r="H83" s="95"/>
      <c r="I83" s="95"/>
      <c r="J83" s="95"/>
      <c r="K83" s="22"/>
      <c r="L83" s="18"/>
      <c r="M83" s="18"/>
      <c r="N83" s="98"/>
      <c r="O83" s="19"/>
      <c r="P83" s="22"/>
      <c r="Q83" s="100"/>
      <c r="R83" s="101"/>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6"/>
      <c r="AZ83" s="156"/>
      <c r="BA83" s="156"/>
      <c r="BB83" s="156"/>
      <c r="BC83" s="156"/>
      <c r="BD83" s="156"/>
      <c r="BE83" s="96"/>
      <c r="BF83" s="156"/>
      <c r="BG83" s="156"/>
    </row>
    <row r="84" spans="1:61" s="17" customFormat="1" ht="15.75" hidden="1" customHeight="1">
      <c r="A84" s="101"/>
      <c r="B84" s="114"/>
      <c r="C84" s="116"/>
      <c r="D84" s="118"/>
      <c r="E84" s="116"/>
      <c r="F84" s="116"/>
      <c r="G84" s="120"/>
      <c r="H84" s="109"/>
      <c r="I84" s="90"/>
      <c r="J84" s="90"/>
      <c r="K84" s="20"/>
      <c r="L84" s="20"/>
      <c r="M84" s="20"/>
      <c r="N84" s="97"/>
      <c r="O84" s="21"/>
      <c r="P84" s="27"/>
      <c r="Q84" s="99"/>
      <c r="R84" s="148"/>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1"/>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s="17" customFormat="1" ht="15.75" hidden="1" customHeight="1">
      <c r="A86" s="101">
        <v>45084</v>
      </c>
      <c r="B86" s="114" t="s">
        <v>37</v>
      </c>
      <c r="C86" s="116"/>
      <c r="D86" s="118"/>
      <c r="E86" s="116"/>
      <c r="F86" s="116"/>
      <c r="G86" s="120"/>
      <c r="H86" s="109"/>
      <c r="I86" s="90"/>
      <c r="J86" s="90"/>
      <c r="K86" s="20"/>
      <c r="L86" s="20"/>
      <c r="M86" s="20"/>
      <c r="N86" s="97" t="e">
        <f>O87/L87</f>
        <v>#DIV/0!</v>
      </c>
      <c r="O86" s="21"/>
      <c r="P86" s="27"/>
      <c r="Q86" s="99">
        <f>+L87-P87</f>
        <v>0</v>
      </c>
      <c r="R86" s="101"/>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2"/>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ht="24.75" hidden="1" customHeight="1">
      <c r="A88" s="111" t="s">
        <v>40</v>
      </c>
      <c r="B88" s="112"/>
      <c r="C88" s="112"/>
      <c r="D88" s="112"/>
      <c r="E88" s="112"/>
      <c r="F88" s="112"/>
      <c r="G88" s="112"/>
      <c r="H88" s="112"/>
      <c r="I88" s="113"/>
      <c r="J88" s="5">
        <f>SUM(J78:J87)</f>
        <v>0</v>
      </c>
      <c r="K88" s="5">
        <f>+SUMPRODUCT(((MOD(ROW(K78:K85),2)=0)*(K78:K85)))</f>
        <v>0</v>
      </c>
      <c r="L88" s="5">
        <f>+SUMPRODUCT(((MOD(ROW(L78:L85),2)=0)*(L78:L85)))</f>
        <v>0</v>
      </c>
      <c r="M88" s="5">
        <f>+SUMPRODUCT(((MOD(ROW(M78:M85),2)=0)*(M78:M85)))</f>
        <v>0</v>
      </c>
      <c r="N88" s="6" t="e">
        <f>O88/L88</f>
        <v>#DIV/0!</v>
      </c>
      <c r="O88" s="5">
        <f>+SUMPRODUCT(((MOD(ROW(O78:O85),2)=0)*(O78:O85)))</f>
        <v>0</v>
      </c>
      <c r="P88" s="5">
        <f>+SUMPRODUCT(((MOD(ROW(P78:P85),2)=0)*(P78:P85)))</f>
        <v>0</v>
      </c>
      <c r="Q88" s="29">
        <f>SUM(Q78:Q87)</f>
        <v>0</v>
      </c>
      <c r="R88" s="29"/>
      <c r="S88" s="29">
        <f t="shared" ref="S88:BG88" si="8">SUM(S78:S87)</f>
        <v>0</v>
      </c>
      <c r="T88" s="29">
        <f t="shared" si="8"/>
        <v>0</v>
      </c>
      <c r="U88" s="29">
        <f t="shared" si="8"/>
        <v>0</v>
      </c>
      <c r="V88" s="29">
        <f t="shared" si="8"/>
        <v>0</v>
      </c>
      <c r="W88" s="29">
        <f t="shared" si="8"/>
        <v>0</v>
      </c>
      <c r="X88" s="29">
        <f t="shared" si="8"/>
        <v>0</v>
      </c>
      <c r="Y88" s="29">
        <f t="shared" si="8"/>
        <v>0</v>
      </c>
      <c r="Z88" s="29">
        <f t="shared" si="8"/>
        <v>0</v>
      </c>
      <c r="AA88" s="29">
        <f t="shared" si="8"/>
        <v>0</v>
      </c>
      <c r="AB88" s="29">
        <f t="shared" si="8"/>
        <v>0</v>
      </c>
      <c r="AC88" s="29">
        <f t="shared" si="8"/>
        <v>0</v>
      </c>
      <c r="AD88" s="29">
        <f t="shared" si="8"/>
        <v>0</v>
      </c>
      <c r="AE88" s="29">
        <f t="shared" si="8"/>
        <v>0</v>
      </c>
      <c r="AF88" s="29">
        <f t="shared" si="8"/>
        <v>0</v>
      </c>
      <c r="AG88" s="29">
        <f t="shared" si="8"/>
        <v>0</v>
      </c>
      <c r="AH88" s="29">
        <f t="shared" si="8"/>
        <v>0</v>
      </c>
      <c r="AI88" s="29">
        <f t="shared" si="8"/>
        <v>0</v>
      </c>
      <c r="AJ88" s="29">
        <f t="shared" si="8"/>
        <v>0</v>
      </c>
      <c r="AK88" s="29">
        <f t="shared" si="8"/>
        <v>0</v>
      </c>
      <c r="AL88" s="29">
        <f t="shared" si="8"/>
        <v>0</v>
      </c>
      <c r="AM88" s="29">
        <f t="shared" si="8"/>
        <v>0</v>
      </c>
      <c r="AN88" s="29">
        <f t="shared" si="8"/>
        <v>0</v>
      </c>
      <c r="AO88" s="29">
        <f t="shared" si="8"/>
        <v>0</v>
      </c>
      <c r="AP88" s="29">
        <f t="shared" si="8"/>
        <v>0</v>
      </c>
      <c r="AQ88" s="29">
        <f t="shared" si="8"/>
        <v>0</v>
      </c>
      <c r="AR88" s="29">
        <f t="shared" si="8"/>
        <v>0</v>
      </c>
      <c r="AS88" s="29">
        <f t="shared" si="8"/>
        <v>0</v>
      </c>
      <c r="AT88" s="29">
        <f t="shared" si="8"/>
        <v>0</v>
      </c>
      <c r="AU88" s="29">
        <f t="shared" si="8"/>
        <v>0</v>
      </c>
      <c r="AV88" s="29">
        <f t="shared" si="8"/>
        <v>0</v>
      </c>
      <c r="AW88" s="29">
        <f t="shared" si="8"/>
        <v>0</v>
      </c>
      <c r="AX88" s="29">
        <f t="shared" si="8"/>
        <v>0</v>
      </c>
      <c r="AY88" s="29">
        <f t="shared" si="8"/>
        <v>0</v>
      </c>
      <c r="AZ88" s="29">
        <f t="shared" si="8"/>
        <v>0</v>
      </c>
      <c r="BA88" s="29">
        <f t="shared" si="8"/>
        <v>0</v>
      </c>
      <c r="BB88" s="29">
        <f t="shared" si="8"/>
        <v>0</v>
      </c>
      <c r="BC88" s="29">
        <f t="shared" si="8"/>
        <v>0</v>
      </c>
      <c r="BD88" s="29">
        <f t="shared" si="8"/>
        <v>0</v>
      </c>
      <c r="BE88" s="29">
        <f t="shared" si="8"/>
        <v>0</v>
      </c>
      <c r="BF88" s="29">
        <f t="shared" si="8"/>
        <v>0</v>
      </c>
      <c r="BG88" s="29">
        <f t="shared" si="8"/>
        <v>0</v>
      </c>
      <c r="BH88" s="17"/>
      <c r="BI88" s="17"/>
    </row>
    <row r="89" spans="1:61" s="17" customFormat="1" ht="15.75" hidden="1" customHeight="1">
      <c r="A89" s="101"/>
      <c r="B89" s="114"/>
      <c r="C89" s="116"/>
      <c r="D89" s="118"/>
      <c r="E89" s="116"/>
      <c r="F89" s="116"/>
      <c r="G89" s="120"/>
      <c r="H89" s="109"/>
      <c r="I89" s="90"/>
      <c r="J89" s="90"/>
      <c r="K89" s="20"/>
      <c r="L89" s="20"/>
      <c r="M89" s="20"/>
      <c r="N89" s="97"/>
      <c r="O89" s="21"/>
      <c r="P89" s="27"/>
      <c r="Q89" s="99"/>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row>
    <row r="91" spans="1:61" s="17" customFormat="1" ht="15.75" hidden="1" customHeight="1">
      <c r="A91" s="101"/>
      <c r="B91" s="114"/>
      <c r="C91" s="116"/>
      <c r="D91" s="118"/>
      <c r="E91" s="116"/>
      <c r="F91" s="116"/>
      <c r="G91" s="120"/>
      <c r="H91" s="90"/>
      <c r="I91" s="90"/>
      <c r="J91" s="90"/>
      <c r="K91" s="20"/>
      <c r="L91" s="20"/>
      <c r="M91" s="20"/>
      <c r="N91" s="97"/>
      <c r="O91" s="21"/>
      <c r="P91" s="27"/>
      <c r="Q91" s="99"/>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v>45163</v>
      </c>
      <c r="B93" s="114" t="s">
        <v>37</v>
      </c>
      <c r="C93" s="116"/>
      <c r="D93" s="118"/>
      <c r="E93" s="116"/>
      <c r="F93" s="116"/>
      <c r="G93" s="120"/>
      <c r="H93" s="90"/>
      <c r="I93" s="90"/>
      <c r="J93" s="90"/>
      <c r="K93" s="20"/>
      <c r="L93" s="20"/>
      <c r="M93" s="20"/>
      <c r="N93" s="97" t="e">
        <f>O94/L94</f>
        <v>#DIV/0!</v>
      </c>
      <c r="O93" s="21">
        <f>L93-M93</f>
        <v>0</v>
      </c>
      <c r="P93" s="27"/>
      <c r="Q93" s="99">
        <f>+L94-P94</f>
        <v>0</v>
      </c>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f>L94-M94</f>
        <v>0</v>
      </c>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v>45163</v>
      </c>
      <c r="B95" s="114" t="s">
        <v>37</v>
      </c>
      <c r="C95" s="116"/>
      <c r="D95" s="118"/>
      <c r="E95" s="116"/>
      <c r="F95" s="116"/>
      <c r="G95" s="120"/>
      <c r="H95" s="90"/>
      <c r="I95" s="90"/>
      <c r="J95" s="90"/>
      <c r="K95" s="20"/>
      <c r="L95" s="20"/>
      <c r="M95" s="20"/>
      <c r="N95" s="97" t="e">
        <f>O96/L96</f>
        <v>#DIV/0!</v>
      </c>
      <c r="O95" s="21">
        <f>L95-M95</f>
        <v>0</v>
      </c>
      <c r="P95" s="27"/>
      <c r="Q95" s="99">
        <f>+L96-P96</f>
        <v>0</v>
      </c>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f>L96-M96</f>
        <v>0</v>
      </c>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c r="BH96" s="1"/>
      <c r="BI96" s="1"/>
    </row>
    <row r="97" spans="1:61" ht="24.75" hidden="1" customHeight="1">
      <c r="A97" s="111" t="s">
        <v>48</v>
      </c>
      <c r="B97" s="112"/>
      <c r="C97" s="112"/>
      <c r="D97" s="112"/>
      <c r="E97" s="112"/>
      <c r="F97" s="112"/>
      <c r="G97" s="112"/>
      <c r="H97" s="112"/>
      <c r="I97" s="113"/>
      <c r="J97" s="5">
        <f>SUM(J89:J96)</f>
        <v>0</v>
      </c>
      <c r="K97" s="5">
        <f>+SUMPRODUCT(((MOD(ROW(K89:K96),2)=0)*(K89:K96)))</f>
        <v>0</v>
      </c>
      <c r="L97" s="5">
        <f>+SUMPRODUCT(((MOD(ROW(L89:L96),2)=0)*(L89:L96)))</f>
        <v>0</v>
      </c>
      <c r="M97" s="5">
        <f>+SUMPRODUCT(((MOD(ROW(M89:M96),2)=0)*(M89:M96)))</f>
        <v>0</v>
      </c>
      <c r="N97" s="6" t="e">
        <f>O97/L97</f>
        <v>#DIV/0!</v>
      </c>
      <c r="O97" s="5">
        <f>+SUMPRODUCT(((MOD(ROW(O89:O96),2)=0)*(O89:O96)))</f>
        <v>0</v>
      </c>
      <c r="P97" s="5">
        <f>+SUMPRODUCT(((MOD(ROW(P89:P96),2)=0)*(P89:P96)))</f>
        <v>0</v>
      </c>
      <c r="Q97" s="29">
        <f>SUM(Q89:Q96)</f>
        <v>0</v>
      </c>
      <c r="R97" s="29"/>
      <c r="S97" s="29">
        <f t="shared" ref="S97:BG97" si="9">SUM(S89:S96)</f>
        <v>0</v>
      </c>
      <c r="T97" s="29">
        <f t="shared" si="9"/>
        <v>0</v>
      </c>
      <c r="U97" s="29">
        <f t="shared" si="9"/>
        <v>0</v>
      </c>
      <c r="V97" s="29">
        <f t="shared" si="9"/>
        <v>0</v>
      </c>
      <c r="W97" s="29">
        <f t="shared" si="9"/>
        <v>0</v>
      </c>
      <c r="X97" s="29">
        <f t="shared" si="9"/>
        <v>0</v>
      </c>
      <c r="Y97" s="29">
        <f t="shared" si="9"/>
        <v>0</v>
      </c>
      <c r="Z97" s="29">
        <f t="shared" si="9"/>
        <v>0</v>
      </c>
      <c r="AA97" s="29">
        <f t="shared" si="9"/>
        <v>0</v>
      </c>
      <c r="AB97" s="29">
        <f t="shared" si="9"/>
        <v>0</v>
      </c>
      <c r="AC97" s="29">
        <f t="shared" si="9"/>
        <v>0</v>
      </c>
      <c r="AD97" s="29">
        <f t="shared" si="9"/>
        <v>0</v>
      </c>
      <c r="AE97" s="29">
        <f t="shared" si="9"/>
        <v>0</v>
      </c>
      <c r="AF97" s="29">
        <f t="shared" si="9"/>
        <v>0</v>
      </c>
      <c r="AG97" s="29">
        <f t="shared" si="9"/>
        <v>0</v>
      </c>
      <c r="AH97" s="29">
        <f t="shared" si="9"/>
        <v>0</v>
      </c>
      <c r="AI97" s="29">
        <f t="shared" si="9"/>
        <v>0</v>
      </c>
      <c r="AJ97" s="29">
        <f t="shared" si="9"/>
        <v>0</v>
      </c>
      <c r="AK97" s="29">
        <f t="shared" si="9"/>
        <v>0</v>
      </c>
      <c r="AL97" s="29">
        <f t="shared" si="9"/>
        <v>0</v>
      </c>
      <c r="AM97" s="29">
        <f t="shared" si="9"/>
        <v>0</v>
      </c>
      <c r="AN97" s="29">
        <f t="shared" si="9"/>
        <v>0</v>
      </c>
      <c r="AO97" s="29">
        <f t="shared" si="9"/>
        <v>0</v>
      </c>
      <c r="AP97" s="29">
        <f t="shared" si="9"/>
        <v>0</v>
      </c>
      <c r="AQ97" s="29">
        <f t="shared" si="9"/>
        <v>0</v>
      </c>
      <c r="AR97" s="29">
        <f t="shared" si="9"/>
        <v>0</v>
      </c>
      <c r="AS97" s="29">
        <f t="shared" si="9"/>
        <v>0</v>
      </c>
      <c r="AT97" s="29">
        <f t="shared" si="9"/>
        <v>0</v>
      </c>
      <c r="AU97" s="29">
        <f t="shared" si="9"/>
        <v>0</v>
      </c>
      <c r="AV97" s="29">
        <f t="shared" si="9"/>
        <v>0</v>
      </c>
      <c r="AW97" s="29">
        <f t="shared" si="9"/>
        <v>0</v>
      </c>
      <c r="AX97" s="29">
        <f t="shared" si="9"/>
        <v>0</v>
      </c>
      <c r="AY97" s="29">
        <f t="shared" si="9"/>
        <v>0</v>
      </c>
      <c r="AZ97" s="29">
        <f t="shared" si="9"/>
        <v>0</v>
      </c>
      <c r="BA97" s="29">
        <f t="shared" si="9"/>
        <v>0</v>
      </c>
      <c r="BB97" s="29">
        <f t="shared" si="9"/>
        <v>0</v>
      </c>
      <c r="BC97" s="29">
        <f t="shared" si="9"/>
        <v>0</v>
      </c>
      <c r="BD97" s="29">
        <f t="shared" si="9"/>
        <v>0</v>
      </c>
      <c r="BE97" s="29">
        <f t="shared" si="9"/>
        <v>0</v>
      </c>
      <c r="BF97" s="29">
        <f t="shared" si="9"/>
        <v>0</v>
      </c>
      <c r="BG97" s="29">
        <f t="shared" si="9"/>
        <v>0</v>
      </c>
      <c r="BH97" s="17"/>
      <c r="BI97" s="17"/>
    </row>
    <row r="98" spans="1:61" s="17" customFormat="1" ht="15.75" hidden="1" customHeight="1">
      <c r="A98" s="101"/>
      <c r="B98" s="114"/>
      <c r="C98" s="116"/>
      <c r="D98" s="118"/>
      <c r="E98" s="157"/>
      <c r="F98" s="116"/>
      <c r="G98" s="120"/>
      <c r="H98" s="109"/>
      <c r="I98" s="90"/>
      <c r="J98" s="90"/>
      <c r="K98" s="20"/>
      <c r="L98" s="20"/>
      <c r="M98" s="20"/>
      <c r="N98" s="97"/>
      <c r="O98" s="21"/>
      <c r="P98" s="27"/>
      <c r="Q98" s="99"/>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row>
    <row r="100" spans="1:61" s="17" customFormat="1" ht="15.75" hidden="1" customHeight="1">
      <c r="A100" s="101">
        <v>45061</v>
      </c>
      <c r="B100" s="114" t="s">
        <v>37</v>
      </c>
      <c r="C100" s="116"/>
      <c r="D100" s="118"/>
      <c r="E100" s="157"/>
      <c r="F100" s="116"/>
      <c r="G100" s="120"/>
      <c r="H100" s="90"/>
      <c r="I100" s="90"/>
      <c r="J100" s="90"/>
      <c r="K100" s="20"/>
      <c r="L100" s="20"/>
      <c r="M100" s="20"/>
      <c r="N100" s="97" t="e">
        <f>O101/L101</f>
        <v>#DIV/0!</v>
      </c>
      <c r="O100" s="21">
        <f t="shared" ref="O100:O105" si="10">L100-M100</f>
        <v>0</v>
      </c>
      <c r="P100" s="27"/>
      <c r="Q100" s="99">
        <f>+L101-P101</f>
        <v>0</v>
      </c>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f t="shared" si="10"/>
        <v>0</v>
      </c>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44990</v>
      </c>
      <c r="B102" s="114" t="s">
        <v>37</v>
      </c>
      <c r="C102" s="116"/>
      <c r="D102" s="118"/>
      <c r="E102" s="116"/>
      <c r="F102" s="116"/>
      <c r="G102" s="120"/>
      <c r="H102" s="90"/>
      <c r="I102" s="90"/>
      <c r="J102" s="90"/>
      <c r="K102" s="20"/>
      <c r="L102" s="20"/>
      <c r="M102" s="20"/>
      <c r="N102" s="97" t="e">
        <f>O103/L103</f>
        <v>#DIV/0!</v>
      </c>
      <c r="O102" s="21">
        <f t="shared" si="10"/>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44990</v>
      </c>
      <c r="B104" s="114" t="s">
        <v>37</v>
      </c>
      <c r="C104" s="116"/>
      <c r="D104" s="118"/>
      <c r="E104" s="116"/>
      <c r="F104" s="116"/>
      <c r="G104" s="120"/>
      <c r="H104" s="90"/>
      <c r="I104" s="90"/>
      <c r="J104" s="90"/>
      <c r="K104" s="20"/>
      <c r="L104" s="20"/>
      <c r="M104" s="20"/>
      <c r="N104" s="97" t="e">
        <f>O105/L105</f>
        <v>#DIV/0!</v>
      </c>
      <c r="O104" s="21">
        <f t="shared" si="10"/>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10"/>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c r="BH105" s="1"/>
      <c r="BI105" s="1"/>
    </row>
    <row r="106" spans="1:61" ht="24.75" hidden="1" customHeight="1">
      <c r="A106" s="111" t="s">
        <v>46</v>
      </c>
      <c r="B106" s="112"/>
      <c r="C106" s="112"/>
      <c r="D106" s="112"/>
      <c r="E106" s="112"/>
      <c r="F106" s="112"/>
      <c r="G106" s="112"/>
      <c r="H106" s="112"/>
      <c r="I106" s="113"/>
      <c r="J106" s="5">
        <f>SUM(J98:J105)</f>
        <v>0</v>
      </c>
      <c r="K106" s="5">
        <f>+SUMPRODUCT(((MOD(ROW(K98:K105),2)=0)*(K98:K105)))</f>
        <v>0</v>
      </c>
      <c r="L106" s="5">
        <f>+SUMPRODUCT(((MOD(ROW(L98:L105),2)=0)*(L98:L105)))</f>
        <v>0</v>
      </c>
      <c r="M106" s="5">
        <f>+SUMPRODUCT(((MOD(ROW(M98:M105),2)=0)*(M98:M105)))</f>
        <v>0</v>
      </c>
      <c r="N106" s="6" t="e">
        <f>O106/L106</f>
        <v>#DIV/0!</v>
      </c>
      <c r="O106" s="5">
        <f>+SUMPRODUCT(((MOD(ROW(O98:O105),2)=0)*(O98:O105)))</f>
        <v>0</v>
      </c>
      <c r="P106" s="5">
        <f>+SUMPRODUCT(((MOD(ROW(P98:P105),2)=0)*(P98:P105)))</f>
        <v>0</v>
      </c>
      <c r="Q106" s="29">
        <f>SUM(Q98:Q105)</f>
        <v>0</v>
      </c>
      <c r="R106" s="29"/>
      <c r="S106" s="29">
        <f t="shared" ref="S106:BG106" si="11">SUM(S98:S105)</f>
        <v>0</v>
      </c>
      <c r="T106" s="29">
        <f t="shared" si="11"/>
        <v>0</v>
      </c>
      <c r="U106" s="29">
        <f t="shared" si="11"/>
        <v>0</v>
      </c>
      <c r="V106" s="29">
        <f t="shared" si="11"/>
        <v>0</v>
      </c>
      <c r="W106" s="29">
        <f t="shared" si="11"/>
        <v>0</v>
      </c>
      <c r="X106" s="29">
        <f t="shared" si="11"/>
        <v>0</v>
      </c>
      <c r="Y106" s="29">
        <f t="shared" si="11"/>
        <v>0</v>
      </c>
      <c r="Z106" s="29">
        <f t="shared" si="11"/>
        <v>0</v>
      </c>
      <c r="AA106" s="29">
        <f t="shared" si="11"/>
        <v>0</v>
      </c>
      <c r="AB106" s="29">
        <f t="shared" si="11"/>
        <v>0</v>
      </c>
      <c r="AC106" s="29">
        <f t="shared" si="11"/>
        <v>0</v>
      </c>
      <c r="AD106" s="29">
        <f t="shared" si="11"/>
        <v>0</v>
      </c>
      <c r="AE106" s="29">
        <f t="shared" si="11"/>
        <v>0</v>
      </c>
      <c r="AF106" s="29">
        <f t="shared" si="11"/>
        <v>0</v>
      </c>
      <c r="AG106" s="29">
        <f t="shared" si="11"/>
        <v>0</v>
      </c>
      <c r="AH106" s="29">
        <f t="shared" si="11"/>
        <v>0</v>
      </c>
      <c r="AI106" s="29">
        <f t="shared" si="11"/>
        <v>0</v>
      </c>
      <c r="AJ106" s="29">
        <f t="shared" si="11"/>
        <v>0</v>
      </c>
      <c r="AK106" s="29">
        <f t="shared" si="11"/>
        <v>0</v>
      </c>
      <c r="AL106" s="29">
        <f t="shared" si="11"/>
        <v>0</v>
      </c>
      <c r="AM106" s="29">
        <f t="shared" si="11"/>
        <v>0</v>
      </c>
      <c r="AN106" s="29">
        <f t="shared" si="11"/>
        <v>0</v>
      </c>
      <c r="AO106" s="29">
        <f t="shared" si="11"/>
        <v>0</v>
      </c>
      <c r="AP106" s="29">
        <f t="shared" si="11"/>
        <v>0</v>
      </c>
      <c r="AQ106" s="29">
        <f t="shared" si="11"/>
        <v>0</v>
      </c>
      <c r="AR106" s="29">
        <f t="shared" si="11"/>
        <v>0</v>
      </c>
      <c r="AS106" s="29">
        <f t="shared" si="11"/>
        <v>0</v>
      </c>
      <c r="AT106" s="29">
        <f t="shared" si="11"/>
        <v>0</v>
      </c>
      <c r="AU106" s="29">
        <f t="shared" si="11"/>
        <v>0</v>
      </c>
      <c r="AV106" s="29">
        <f t="shared" si="11"/>
        <v>0</v>
      </c>
      <c r="AW106" s="29">
        <f t="shared" si="11"/>
        <v>0</v>
      </c>
      <c r="AX106" s="29">
        <f t="shared" si="11"/>
        <v>0</v>
      </c>
      <c r="AY106" s="29">
        <f t="shared" si="11"/>
        <v>0</v>
      </c>
      <c r="AZ106" s="29">
        <f t="shared" si="11"/>
        <v>0</v>
      </c>
      <c r="BA106" s="29">
        <f t="shared" si="11"/>
        <v>0</v>
      </c>
      <c r="BB106" s="29">
        <f t="shared" si="11"/>
        <v>0</v>
      </c>
      <c r="BC106" s="29">
        <f t="shared" si="11"/>
        <v>0</v>
      </c>
      <c r="BD106" s="29">
        <f t="shared" si="11"/>
        <v>0</v>
      </c>
      <c r="BE106" s="29">
        <f t="shared" si="11"/>
        <v>0</v>
      </c>
      <c r="BF106" s="29">
        <f t="shared" si="11"/>
        <v>0</v>
      </c>
      <c r="BG106" s="29">
        <f t="shared" si="11"/>
        <v>0</v>
      </c>
    </row>
    <row r="107" spans="1:61" ht="24.75" customHeight="1">
      <c r="A107" s="122" t="s">
        <v>5</v>
      </c>
      <c r="B107" s="122"/>
      <c r="C107" s="122"/>
      <c r="D107" s="122"/>
      <c r="E107" s="122"/>
      <c r="F107" s="122"/>
      <c r="G107" s="122"/>
      <c r="H107" s="122"/>
      <c r="I107" s="122"/>
      <c r="J107" s="4">
        <f>J77+J88+J97+J106</f>
        <v>6246</v>
      </c>
      <c r="K107" s="4">
        <f>K77+K88+K97+K106</f>
        <v>200</v>
      </c>
      <c r="L107" s="4">
        <f>L77+L88+L97+L106</f>
        <v>100</v>
      </c>
      <c r="M107" s="4">
        <f>M77+M88+M97+M106</f>
        <v>19</v>
      </c>
      <c r="N107" s="33">
        <f>O107/L107</f>
        <v>0.81</v>
      </c>
      <c r="O107" s="4">
        <f>O77+O88+O97+O106</f>
        <v>81</v>
      </c>
      <c r="P107" s="31">
        <f>P77+P88+P97+P106</f>
        <v>54</v>
      </c>
      <c r="Q107" s="31">
        <f>Q77+Q88+Q97+Q106</f>
        <v>143</v>
      </c>
      <c r="R107" s="4"/>
      <c r="S107" s="31">
        <f t="shared" ref="S107:BG107" si="12">S77+S88+S97+S106</f>
        <v>0</v>
      </c>
      <c r="T107" s="31">
        <f t="shared" si="12"/>
        <v>0</v>
      </c>
      <c r="U107" s="31">
        <f t="shared" si="12"/>
        <v>30</v>
      </c>
      <c r="V107" s="31">
        <f t="shared" si="12"/>
        <v>0</v>
      </c>
      <c r="W107" s="31">
        <f t="shared" si="12"/>
        <v>0</v>
      </c>
      <c r="X107" s="31">
        <f t="shared" si="12"/>
        <v>0</v>
      </c>
      <c r="Y107" s="31">
        <f t="shared" si="12"/>
        <v>0</v>
      </c>
      <c r="Z107" s="31">
        <f t="shared" si="12"/>
        <v>0</v>
      </c>
      <c r="AA107" s="31">
        <f t="shared" si="12"/>
        <v>0</v>
      </c>
      <c r="AB107" s="31">
        <f t="shared" si="12"/>
        <v>0</v>
      </c>
      <c r="AC107" s="31">
        <f t="shared" si="12"/>
        <v>13</v>
      </c>
      <c r="AD107" s="31">
        <f t="shared" si="12"/>
        <v>10</v>
      </c>
      <c r="AE107" s="31">
        <f t="shared" si="12"/>
        <v>5</v>
      </c>
      <c r="AF107" s="31">
        <f t="shared" si="12"/>
        <v>0</v>
      </c>
      <c r="AG107" s="31">
        <f t="shared" si="12"/>
        <v>10</v>
      </c>
      <c r="AH107" s="31">
        <f t="shared" si="12"/>
        <v>0</v>
      </c>
      <c r="AI107" s="31">
        <f t="shared" si="12"/>
        <v>0</v>
      </c>
      <c r="AJ107" s="31">
        <f t="shared" si="12"/>
        <v>0</v>
      </c>
      <c r="AK107" s="31">
        <f t="shared" si="12"/>
        <v>0</v>
      </c>
      <c r="AL107" s="31">
        <f t="shared" si="12"/>
        <v>13</v>
      </c>
      <c r="AM107" s="31">
        <f t="shared" si="12"/>
        <v>0</v>
      </c>
      <c r="AN107" s="31">
        <f t="shared" si="12"/>
        <v>0</v>
      </c>
      <c r="AO107" s="31">
        <f t="shared" si="12"/>
        <v>0</v>
      </c>
      <c r="AP107" s="31">
        <f t="shared" si="12"/>
        <v>0</v>
      </c>
      <c r="AQ107" s="31">
        <f t="shared" si="12"/>
        <v>0</v>
      </c>
      <c r="AR107" s="31">
        <f t="shared" si="12"/>
        <v>0</v>
      </c>
      <c r="AS107" s="31">
        <f t="shared" si="12"/>
        <v>0</v>
      </c>
      <c r="AT107" s="31">
        <f t="shared" si="12"/>
        <v>0</v>
      </c>
      <c r="AU107" s="31">
        <f t="shared" si="12"/>
        <v>0</v>
      </c>
      <c r="AV107" s="31">
        <f t="shared" si="12"/>
        <v>0</v>
      </c>
      <c r="AW107" s="31">
        <f t="shared" si="12"/>
        <v>0</v>
      </c>
      <c r="AX107" s="31">
        <f t="shared" si="12"/>
        <v>0</v>
      </c>
      <c r="AY107" s="31">
        <f t="shared" si="12"/>
        <v>0</v>
      </c>
      <c r="AZ107" s="31">
        <f t="shared" si="12"/>
        <v>0</v>
      </c>
      <c r="BA107" s="31">
        <f t="shared" si="12"/>
        <v>0</v>
      </c>
      <c r="BB107" s="31">
        <f t="shared" si="12"/>
        <v>0</v>
      </c>
      <c r="BC107" s="31">
        <f t="shared" si="12"/>
        <v>0</v>
      </c>
      <c r="BD107" s="31">
        <f t="shared" si="12"/>
        <v>0</v>
      </c>
      <c r="BE107" s="31">
        <f t="shared" si="12"/>
        <v>0</v>
      </c>
      <c r="BF107" s="31">
        <f t="shared" si="12"/>
        <v>0</v>
      </c>
      <c r="BG107" s="31">
        <f t="shared" si="12"/>
        <v>0</v>
      </c>
    </row>
    <row r="110" spans="1:61" s="25" customFormat="1" ht="35.25" customHeight="1">
      <c r="A110" s="2"/>
      <c r="B110" s="2"/>
      <c r="C110" s="2"/>
      <c r="D110" s="1"/>
      <c r="E110" s="1"/>
      <c r="F110" s="1"/>
      <c r="G110" s="1"/>
      <c r="H110" s="1"/>
      <c r="I110" s="1"/>
      <c r="J110" s="1"/>
      <c r="K110" s="35"/>
      <c r="L110" s="35"/>
      <c r="M110" s="35"/>
      <c r="N110" s="35"/>
      <c r="O110" s="35"/>
      <c r="P110" s="35"/>
      <c r="Q110" s="36"/>
      <c r="S110" s="8"/>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row>
    <row r="113" spans="1:61" s="25" customFormat="1" ht="33" customHeight="1">
      <c r="A113" s="2"/>
      <c r="B113" s="2"/>
      <c r="C113" s="2"/>
      <c r="D113" s="1"/>
      <c r="E113" s="1"/>
      <c r="F113" s="1"/>
      <c r="G113" s="1"/>
      <c r="H113" s="1"/>
      <c r="I113" s="1"/>
      <c r="J113" s="1"/>
      <c r="K113" s="1"/>
      <c r="L113" s="1"/>
      <c r="M113" s="1"/>
      <c r="N113" s="1"/>
      <c r="O113" s="1"/>
      <c r="S113" s="8"/>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row>
  </sheetData>
  <mergeCells count="2526">
    <mergeCell ref="A1:O1"/>
    <mergeCell ref="A2:O2"/>
    <mergeCell ref="S3:S4"/>
    <mergeCell ref="T3:T4"/>
    <mergeCell ref="U3:U4"/>
    <mergeCell ref="V3:V4"/>
    <mergeCell ref="W3:W4"/>
    <mergeCell ref="X3:X4"/>
    <mergeCell ref="Y3:Y4"/>
    <mergeCell ref="Z3:Z4"/>
    <mergeCell ref="AA3:AA4"/>
    <mergeCell ref="AB3:AB4"/>
    <mergeCell ref="AM3:AM4"/>
    <mergeCell ref="AN3:AN4"/>
    <mergeCell ref="AC3:AC4"/>
    <mergeCell ref="AD3:AD4"/>
    <mergeCell ref="AE3:AE4"/>
    <mergeCell ref="AF3:AF4"/>
    <mergeCell ref="AG3:AG4"/>
    <mergeCell ref="AH3:AH4"/>
    <mergeCell ref="AI3:AI4"/>
    <mergeCell ref="AJ3:AJ4"/>
    <mergeCell ref="BC3:BC4"/>
    <mergeCell ref="BD3:BD4"/>
    <mergeCell ref="BE3:BE4"/>
    <mergeCell ref="BF3:BF4"/>
    <mergeCell ref="BG3:BG4"/>
    <mergeCell ref="A5:A6"/>
    <mergeCell ref="B5:B6"/>
    <mergeCell ref="C5:C6"/>
    <mergeCell ref="D5:D6"/>
    <mergeCell ref="E5:E6"/>
    <mergeCell ref="F5:F6"/>
    <mergeCell ref="G5:G6"/>
    <mergeCell ref="H5:H6"/>
    <mergeCell ref="I5:I6"/>
    <mergeCell ref="AK3:AK4"/>
    <mergeCell ref="AL3:AL4"/>
    <mergeCell ref="AK5:AK6"/>
    <mergeCell ref="AL5:AL6"/>
    <mergeCell ref="AA5:AA6"/>
    <mergeCell ref="AB5:AB6"/>
    <mergeCell ref="AC5:AC6"/>
    <mergeCell ref="AD5:AD6"/>
    <mergeCell ref="AE5:AE6"/>
    <mergeCell ref="AF5:AF6"/>
    <mergeCell ref="AO3:AO4"/>
    <mergeCell ref="BC5:BC6"/>
    <mergeCell ref="BD5:BD6"/>
    <mergeCell ref="BE5:BE6"/>
    <mergeCell ref="BF5:BF6"/>
    <mergeCell ref="BG5:BG6"/>
    <mergeCell ref="Y5:Y6"/>
    <mergeCell ref="Z5:Z6"/>
    <mergeCell ref="A7:A8"/>
    <mergeCell ref="B7:B8"/>
    <mergeCell ref="C7:C8"/>
    <mergeCell ref="D7:D8"/>
    <mergeCell ref="E7:E8"/>
    <mergeCell ref="F7:F8"/>
    <mergeCell ref="G7:G8"/>
    <mergeCell ref="J5:J6"/>
    <mergeCell ref="N5:N6"/>
    <mergeCell ref="Q5:Q6"/>
    <mergeCell ref="R5:R6"/>
    <mergeCell ref="S5:S6"/>
    <mergeCell ref="T5:T6"/>
    <mergeCell ref="U5:U6"/>
    <mergeCell ref="V5:V6"/>
    <mergeCell ref="W5:W6"/>
    <mergeCell ref="X5:X6"/>
    <mergeCell ref="N7:N8"/>
    <mergeCell ref="Q7:Q8"/>
    <mergeCell ref="R7:R8"/>
    <mergeCell ref="S7:S8"/>
    <mergeCell ref="T7:T8"/>
    <mergeCell ref="U7:U8"/>
    <mergeCell ref="V7:V8"/>
    <mergeCell ref="W7:W8"/>
    <mergeCell ref="X7:X8"/>
    <mergeCell ref="AT5:AT6"/>
    <mergeCell ref="AU5:AU6"/>
    <mergeCell ref="AV5:AV6"/>
    <mergeCell ref="AW5:AW6"/>
    <mergeCell ref="AX5:AX6"/>
    <mergeCell ref="AY5:AY6"/>
    <mergeCell ref="AZ5:AZ6"/>
    <mergeCell ref="BA5:BA6"/>
    <mergeCell ref="BB5:BB6"/>
    <mergeCell ref="F9:F10"/>
    <mergeCell ref="G9:G10"/>
    <mergeCell ref="AP3:AP4"/>
    <mergeCell ref="AQ3:AQ4"/>
    <mergeCell ref="AR3:AR4"/>
    <mergeCell ref="AS3:AS4"/>
    <mergeCell ref="AT3:AT4"/>
    <mergeCell ref="AU3:AU4"/>
    <mergeCell ref="AV3:AV4"/>
    <mergeCell ref="AW3:AW4"/>
    <mergeCell ref="AX3:AX4"/>
    <mergeCell ref="AY3:AY4"/>
    <mergeCell ref="AZ3:AZ4"/>
    <mergeCell ref="BA3:BA4"/>
    <mergeCell ref="BB3:BB4"/>
    <mergeCell ref="AG5:AG6"/>
    <mergeCell ref="AH5:AH6"/>
    <mergeCell ref="AI5:AI6"/>
    <mergeCell ref="AJ5:AJ6"/>
    <mergeCell ref="I7:I8"/>
    <mergeCell ref="J7:J8"/>
    <mergeCell ref="BB9:BB10"/>
    <mergeCell ref="AR9:AR10"/>
    <mergeCell ref="A9:A10"/>
    <mergeCell ref="B9:B10"/>
    <mergeCell ref="C9:C10"/>
    <mergeCell ref="D9:D10"/>
    <mergeCell ref="E9:E10"/>
    <mergeCell ref="AE7:AE8"/>
    <mergeCell ref="AM5:AM6"/>
    <mergeCell ref="AN5:AN6"/>
    <mergeCell ref="AO5:AO6"/>
    <mergeCell ref="AP5:AP6"/>
    <mergeCell ref="AQ5:AQ6"/>
    <mergeCell ref="AR5:AR6"/>
    <mergeCell ref="AS5:AS6"/>
    <mergeCell ref="H9:H10"/>
    <mergeCell ref="I9:I10"/>
    <mergeCell ref="J9:J10"/>
    <mergeCell ref="N9:N10"/>
    <mergeCell ref="Q9:Q10"/>
    <mergeCell ref="R9:R10"/>
    <mergeCell ref="S9:S10"/>
    <mergeCell ref="T9:T10"/>
    <mergeCell ref="U9:U10"/>
    <mergeCell ref="V9:V10"/>
    <mergeCell ref="AF7:AF8"/>
    <mergeCell ref="AG7:AG8"/>
    <mergeCell ref="AH7:AH8"/>
    <mergeCell ref="AI7:AI8"/>
    <mergeCell ref="AJ7:AJ8"/>
    <mergeCell ref="Y7:Y8"/>
    <mergeCell ref="Z7:Z8"/>
    <mergeCell ref="AA7:AA8"/>
    <mergeCell ref="H7:H8"/>
    <mergeCell ref="AG9:AG10"/>
    <mergeCell ref="AQ9:AQ10"/>
    <mergeCell ref="BC7:BC8"/>
    <mergeCell ref="BD7:BD8"/>
    <mergeCell ref="BE7:BE8"/>
    <mergeCell ref="BF7:BF8"/>
    <mergeCell ref="BG7:BG8"/>
    <mergeCell ref="AB7:AB8"/>
    <mergeCell ref="AC7:AC8"/>
    <mergeCell ref="AD7:AD8"/>
    <mergeCell ref="AK7:AK8"/>
    <mergeCell ref="AL7:AL8"/>
    <mergeCell ref="AM7:AM8"/>
    <mergeCell ref="AN7:AN8"/>
    <mergeCell ref="AO7:AO8"/>
    <mergeCell ref="AP7:AP8"/>
    <mergeCell ref="AQ7:AQ8"/>
    <mergeCell ref="AR7:AR8"/>
    <mergeCell ref="AS7:AS8"/>
    <mergeCell ref="AT7:AT8"/>
    <mergeCell ref="AU7:AU8"/>
    <mergeCell ref="AV7:AV8"/>
    <mergeCell ref="AY7:AY8"/>
    <mergeCell ref="AZ7:AZ8"/>
    <mergeCell ref="BA7:BA8"/>
    <mergeCell ref="BB7:BB8"/>
    <mergeCell ref="AW7:AW8"/>
    <mergeCell ref="AX7:AX8"/>
    <mergeCell ref="AW11:AW12"/>
    <mergeCell ref="AX11:AX12"/>
    <mergeCell ref="BC9:BC10"/>
    <mergeCell ref="BD9:BD10"/>
    <mergeCell ref="BE9:BE10"/>
    <mergeCell ref="BF9:BF10"/>
    <mergeCell ref="BG9:BG10"/>
    <mergeCell ref="A11:A12"/>
    <mergeCell ref="B11:B12"/>
    <mergeCell ref="C11:C12"/>
    <mergeCell ref="D11:D12"/>
    <mergeCell ref="E11:E12"/>
    <mergeCell ref="F11:F12"/>
    <mergeCell ref="G11:G12"/>
    <mergeCell ref="H11:H12"/>
    <mergeCell ref="I11:I12"/>
    <mergeCell ref="J11:J12"/>
    <mergeCell ref="N11:N12"/>
    <mergeCell ref="Q11:Q12"/>
    <mergeCell ref="R11:R12"/>
    <mergeCell ref="S11:S12"/>
    <mergeCell ref="T11:T12"/>
    <mergeCell ref="W9:W10"/>
    <mergeCell ref="X9:X10"/>
    <mergeCell ref="Y9:Y10"/>
    <mergeCell ref="Z9:Z10"/>
    <mergeCell ref="AA9:AA10"/>
    <mergeCell ref="AB9:AB10"/>
    <mergeCell ref="AC9:AC10"/>
    <mergeCell ref="AD9:AD10"/>
    <mergeCell ref="AE9:AE10"/>
    <mergeCell ref="AF9:AF10"/>
    <mergeCell ref="AU9:AU10"/>
    <mergeCell ref="AV9:AV10"/>
    <mergeCell ref="AW9:AW10"/>
    <mergeCell ref="AX9:AX10"/>
    <mergeCell ref="AY9:AY10"/>
    <mergeCell ref="AZ9:AZ10"/>
    <mergeCell ref="BA9:BA10"/>
    <mergeCell ref="AH9:AH10"/>
    <mergeCell ref="AS9:AS10"/>
    <mergeCell ref="AT9:AT10"/>
    <mergeCell ref="AI9:AI10"/>
    <mergeCell ref="AJ9:AJ10"/>
    <mergeCell ref="AK9:AK10"/>
    <mergeCell ref="AL9:AL10"/>
    <mergeCell ref="AM9:AM10"/>
    <mergeCell ref="AN9:AN10"/>
    <mergeCell ref="AO9:AO10"/>
    <mergeCell ref="AP9:AP10"/>
    <mergeCell ref="BE11:BE12"/>
    <mergeCell ref="BF11:BF12"/>
    <mergeCell ref="BG11:BG12"/>
    <mergeCell ref="AY11:AY12"/>
    <mergeCell ref="AZ11:AZ12"/>
    <mergeCell ref="BA11:BA12"/>
    <mergeCell ref="BB11:BB12"/>
    <mergeCell ref="BC11:BC12"/>
    <mergeCell ref="BD11:BD12"/>
    <mergeCell ref="U11:U12"/>
    <mergeCell ref="V11:V12"/>
    <mergeCell ref="W11:W12"/>
    <mergeCell ref="X11:X12"/>
    <mergeCell ref="Y11:Y12"/>
    <mergeCell ref="Z11:Z12"/>
    <mergeCell ref="AA11:AA12"/>
    <mergeCell ref="AB11:AB12"/>
    <mergeCell ref="AC11:AC12"/>
    <mergeCell ref="AD11:AD12"/>
    <mergeCell ref="AE11:AE12"/>
    <mergeCell ref="AF11:AF12"/>
    <mergeCell ref="AG11:AG12"/>
    <mergeCell ref="AH11:AH12"/>
    <mergeCell ref="AI11:AI12"/>
    <mergeCell ref="AJ11:AJ12"/>
    <mergeCell ref="AK11:AK12"/>
    <mergeCell ref="AL11:AL12"/>
    <mergeCell ref="AM11:AM12"/>
    <mergeCell ref="AN11:AN12"/>
    <mergeCell ref="AT11:AT12"/>
    <mergeCell ref="AU11:AU12"/>
    <mergeCell ref="AV11:AV12"/>
    <mergeCell ref="A13:A14"/>
    <mergeCell ref="B13:B14"/>
    <mergeCell ref="C13:C14"/>
    <mergeCell ref="D13:D14"/>
    <mergeCell ref="E13:E14"/>
    <mergeCell ref="AS13:AS14"/>
    <mergeCell ref="AC13:AC14"/>
    <mergeCell ref="AD13:AD14"/>
    <mergeCell ref="AE13:AE14"/>
    <mergeCell ref="AF13:AF14"/>
    <mergeCell ref="F13:F14"/>
    <mergeCell ref="G13:G14"/>
    <mergeCell ref="H13:H14"/>
    <mergeCell ref="I13:I14"/>
    <mergeCell ref="J13:J14"/>
    <mergeCell ref="N13:N14"/>
    <mergeCell ref="AO11:AO12"/>
    <mergeCell ref="AP11:AP12"/>
    <mergeCell ref="AQ11:AQ12"/>
    <mergeCell ref="AR11:AR12"/>
    <mergeCell ref="Q13:Q14"/>
    <mergeCell ref="R13:R14"/>
    <mergeCell ref="S13:S14"/>
    <mergeCell ref="T13:T14"/>
    <mergeCell ref="U13:U14"/>
    <mergeCell ref="V13:V14"/>
    <mergeCell ref="AS11:AS12"/>
    <mergeCell ref="AR13:AR14"/>
    <mergeCell ref="BB13:BB14"/>
    <mergeCell ref="BC13:BC14"/>
    <mergeCell ref="BD13:BD14"/>
    <mergeCell ref="BE13:BE14"/>
    <mergeCell ref="BF13:BF14"/>
    <mergeCell ref="BG13:BG14"/>
    <mergeCell ref="A15:A16"/>
    <mergeCell ref="B15:B16"/>
    <mergeCell ref="C15:C16"/>
    <mergeCell ref="D15:D16"/>
    <mergeCell ref="E15:E16"/>
    <mergeCell ref="F15:F16"/>
    <mergeCell ref="G15:G16"/>
    <mergeCell ref="H15:H16"/>
    <mergeCell ref="I15:I16"/>
    <mergeCell ref="J15:J16"/>
    <mergeCell ref="N15:N16"/>
    <mergeCell ref="Q15:Q16"/>
    <mergeCell ref="R15:R16"/>
    <mergeCell ref="S15:S16"/>
    <mergeCell ref="T15:T16"/>
    <mergeCell ref="AG13:AG14"/>
    <mergeCell ref="AH13:AH14"/>
    <mergeCell ref="W13:W14"/>
    <mergeCell ref="X13:X14"/>
    <mergeCell ref="Y13:Y14"/>
    <mergeCell ref="Z13:Z14"/>
    <mergeCell ref="AA13:AA14"/>
    <mergeCell ref="AB13:AB14"/>
    <mergeCell ref="AT13:AT14"/>
    <mergeCell ref="AI13:AI14"/>
    <mergeCell ref="AJ13:AJ14"/>
    <mergeCell ref="AU13:AU14"/>
    <mergeCell ref="AV13:AV14"/>
    <mergeCell ref="AW13:AW14"/>
    <mergeCell ref="AX13:AX14"/>
    <mergeCell ref="AY13:AY14"/>
    <mergeCell ref="AZ13:AZ14"/>
    <mergeCell ref="BA13:BA14"/>
    <mergeCell ref="AK13:AK14"/>
    <mergeCell ref="AL13:AL14"/>
    <mergeCell ref="AM13:AM14"/>
    <mergeCell ref="AN13:AN14"/>
    <mergeCell ref="AO13:AO14"/>
    <mergeCell ref="AP13:AP14"/>
    <mergeCell ref="AQ13:AQ14"/>
    <mergeCell ref="AY15:AY16"/>
    <mergeCell ref="AZ15:AZ16"/>
    <mergeCell ref="BA15:BA16"/>
    <mergeCell ref="AP15:AP16"/>
    <mergeCell ref="AS15:AS16"/>
    <mergeCell ref="AT15:AT16"/>
    <mergeCell ref="AU15:AU16"/>
    <mergeCell ref="AV15:AV16"/>
    <mergeCell ref="AW15:AW16"/>
    <mergeCell ref="AX15:AX16"/>
    <mergeCell ref="BD15:BD16"/>
    <mergeCell ref="BE15:BE16"/>
    <mergeCell ref="BF15:BF16"/>
    <mergeCell ref="BG15:BG16"/>
    <mergeCell ref="A17:A18"/>
    <mergeCell ref="B17:B18"/>
    <mergeCell ref="C17:C18"/>
    <mergeCell ref="D17:D18"/>
    <mergeCell ref="E17:E18"/>
    <mergeCell ref="F17:F18"/>
    <mergeCell ref="G17:G18"/>
    <mergeCell ref="H17:H18"/>
    <mergeCell ref="I17:I18"/>
    <mergeCell ref="J17:J18"/>
    <mergeCell ref="N17:N18"/>
    <mergeCell ref="Q17:Q18"/>
    <mergeCell ref="R17:R18"/>
    <mergeCell ref="U15:U16"/>
    <mergeCell ref="V15:V16"/>
    <mergeCell ref="W15:W16"/>
    <mergeCell ref="X15:X16"/>
    <mergeCell ref="Y15:Y16"/>
    <mergeCell ref="Z15:Z16"/>
    <mergeCell ref="AA15:AA16"/>
    <mergeCell ref="AB15:AB16"/>
    <mergeCell ref="AC15:AC16"/>
    <mergeCell ref="AD15:AD16"/>
    <mergeCell ref="AD17:AD18"/>
    <mergeCell ref="AN15:AN16"/>
    <mergeCell ref="AO15:AO16"/>
    <mergeCell ref="AQ15:AQ16"/>
    <mergeCell ref="AR15:AR16"/>
    <mergeCell ref="AE15:AE16"/>
    <mergeCell ref="AF15:AF16"/>
    <mergeCell ref="AY17:AY18"/>
    <mergeCell ref="AZ17:AZ18"/>
    <mergeCell ref="BB15:BB16"/>
    <mergeCell ref="BC15:BC16"/>
    <mergeCell ref="AG15:AG16"/>
    <mergeCell ref="AH15:AH16"/>
    <mergeCell ref="AI15:AI16"/>
    <mergeCell ref="AJ15:AJ16"/>
    <mergeCell ref="AK15:AK16"/>
    <mergeCell ref="AL15:AL16"/>
    <mergeCell ref="AM15:AM16"/>
    <mergeCell ref="BB17:BB18"/>
    <mergeCell ref="BC17:BC18"/>
    <mergeCell ref="AM17:AM18"/>
    <mergeCell ref="AN17:AN18"/>
    <mergeCell ref="AQ17:AQ18"/>
    <mergeCell ref="AR17:AR18"/>
    <mergeCell ref="AS17:AS18"/>
    <mergeCell ref="AT17:AT18"/>
    <mergeCell ref="AU17:AU18"/>
    <mergeCell ref="AV17:AV18"/>
    <mergeCell ref="AW17:AW18"/>
    <mergeCell ref="AX17:AX18"/>
    <mergeCell ref="U17:U18"/>
    <mergeCell ref="V17:V18"/>
    <mergeCell ref="W17:W18"/>
    <mergeCell ref="X17:X18"/>
    <mergeCell ref="AJ17:AJ18"/>
    <mergeCell ref="Y17:Y18"/>
    <mergeCell ref="Z17:Z18"/>
    <mergeCell ref="AA17:AA18"/>
    <mergeCell ref="AB17:AB18"/>
    <mergeCell ref="AC17:AC18"/>
    <mergeCell ref="AF19:AF20"/>
    <mergeCell ref="AG19:AG20"/>
    <mergeCell ref="AO17:AO18"/>
    <mergeCell ref="AK17:AK18"/>
    <mergeCell ref="AL17:AL18"/>
    <mergeCell ref="AE17:AE18"/>
    <mergeCell ref="AF17:AF18"/>
    <mergeCell ref="AG17:AG18"/>
    <mergeCell ref="AH17:AH18"/>
    <mergeCell ref="AI17:AI18"/>
    <mergeCell ref="AE19:AE20"/>
    <mergeCell ref="AI19:AI20"/>
    <mergeCell ref="AJ19:AJ20"/>
    <mergeCell ref="AH19:AH20"/>
    <mergeCell ref="AO19:AO20"/>
    <mergeCell ref="AK19:AK20"/>
    <mergeCell ref="AL19:AL20"/>
    <mergeCell ref="BA17:BA18"/>
    <mergeCell ref="AP17:AP18"/>
    <mergeCell ref="BG19:BG20"/>
    <mergeCell ref="AV19:AV20"/>
    <mergeCell ref="AW19:AW20"/>
    <mergeCell ref="AX19:AX20"/>
    <mergeCell ref="AY19:AY20"/>
    <mergeCell ref="BD17:BD18"/>
    <mergeCell ref="BE17:BE18"/>
    <mergeCell ref="BF17:BF18"/>
    <mergeCell ref="BG17:BG18"/>
    <mergeCell ref="A21:A22"/>
    <mergeCell ref="B21:B22"/>
    <mergeCell ref="C21:C22"/>
    <mergeCell ref="D21:D22"/>
    <mergeCell ref="E21:E22"/>
    <mergeCell ref="F21:F22"/>
    <mergeCell ref="G21:G22"/>
    <mergeCell ref="H21:H22"/>
    <mergeCell ref="I21:I22"/>
    <mergeCell ref="Q19:Q20"/>
    <mergeCell ref="R19:R20"/>
    <mergeCell ref="S19:S20"/>
    <mergeCell ref="T19:T20"/>
    <mergeCell ref="U19:U20"/>
    <mergeCell ref="V19:V20"/>
    <mergeCell ref="W19:W20"/>
    <mergeCell ref="X19:X20"/>
    <mergeCell ref="S17:S18"/>
    <mergeCell ref="T17:T18"/>
    <mergeCell ref="A19:A20"/>
    <mergeCell ref="B19:B20"/>
    <mergeCell ref="C19:C20"/>
    <mergeCell ref="D19:D20"/>
    <mergeCell ref="E19:E20"/>
    <mergeCell ref="F19:F20"/>
    <mergeCell ref="G19:G20"/>
    <mergeCell ref="H19:H20"/>
    <mergeCell ref="I19:I20"/>
    <mergeCell ref="J19:J20"/>
    <mergeCell ref="N19:N20"/>
    <mergeCell ref="Y19:Y20"/>
    <mergeCell ref="Z19:Z20"/>
    <mergeCell ref="AA19:AA20"/>
    <mergeCell ref="AB19:AB20"/>
    <mergeCell ref="AC19:AC20"/>
    <mergeCell ref="AD19:AD20"/>
    <mergeCell ref="AP19:AP20"/>
    <mergeCell ref="AQ19:AQ20"/>
    <mergeCell ref="AR19:AR20"/>
    <mergeCell ref="AS19:AS20"/>
    <mergeCell ref="AT19:AT20"/>
    <mergeCell ref="AU19:AU20"/>
    <mergeCell ref="AM19:AM20"/>
    <mergeCell ref="AN19:AN20"/>
    <mergeCell ref="BC21:BC22"/>
    <mergeCell ref="BD21:BD22"/>
    <mergeCell ref="BE21:BE22"/>
    <mergeCell ref="BF21:BF22"/>
    <mergeCell ref="AT21:AT22"/>
    <mergeCell ref="AU21:AU22"/>
    <mergeCell ref="AV21:AV22"/>
    <mergeCell ref="AW21:AW22"/>
    <mergeCell ref="AX21:AX22"/>
    <mergeCell ref="AY21:AY22"/>
    <mergeCell ref="AZ21:AZ22"/>
    <mergeCell ref="BA21:BA22"/>
    <mergeCell ref="BB21:BB22"/>
    <mergeCell ref="BB19:BB20"/>
    <mergeCell ref="BC19:BC20"/>
    <mergeCell ref="BD19:BD20"/>
    <mergeCell ref="BE19:BE20"/>
    <mergeCell ref="BF19:BF20"/>
    <mergeCell ref="AZ19:AZ20"/>
    <mergeCell ref="BA19:BA20"/>
    <mergeCell ref="BG21:BG22"/>
    <mergeCell ref="A23:A24"/>
    <mergeCell ref="B23:B24"/>
    <mergeCell ref="C23:C24"/>
    <mergeCell ref="D23:D24"/>
    <mergeCell ref="E23:E24"/>
    <mergeCell ref="F23:F24"/>
    <mergeCell ref="G23:G24"/>
    <mergeCell ref="J21:J22"/>
    <mergeCell ref="N21:N22"/>
    <mergeCell ref="Q21:Q22"/>
    <mergeCell ref="R21:R22"/>
    <mergeCell ref="S21:S22"/>
    <mergeCell ref="T21:T22"/>
    <mergeCell ref="U21:U22"/>
    <mergeCell ref="V21:V22"/>
    <mergeCell ref="W21:W22"/>
    <mergeCell ref="X21:X22"/>
    <mergeCell ref="Y21:Y22"/>
    <mergeCell ref="Z21:Z22"/>
    <mergeCell ref="AA21:AA22"/>
    <mergeCell ref="AB21:AB22"/>
    <mergeCell ref="AC21:AC22"/>
    <mergeCell ref="AD21:AD22"/>
    <mergeCell ref="AE21:AE22"/>
    <mergeCell ref="AF21:AF22"/>
    <mergeCell ref="AW23:AW24"/>
    <mergeCell ref="AX23:AX24"/>
    <mergeCell ref="AY23:AY24"/>
    <mergeCell ref="AZ23:AZ24"/>
    <mergeCell ref="BA23:BA24"/>
    <mergeCell ref="BB23:BB24"/>
    <mergeCell ref="AI21:AI22"/>
    <mergeCell ref="AJ21:AJ22"/>
    <mergeCell ref="A25:A26"/>
    <mergeCell ref="B25:B26"/>
    <mergeCell ref="C25:C26"/>
    <mergeCell ref="D25:D26"/>
    <mergeCell ref="E25:E26"/>
    <mergeCell ref="AE23:AE24"/>
    <mergeCell ref="AM21:AM22"/>
    <mergeCell ref="AN21:AN22"/>
    <mergeCell ref="AO21:AO22"/>
    <mergeCell ref="AP21:AP22"/>
    <mergeCell ref="AQ21:AQ22"/>
    <mergeCell ref="AR21:AR22"/>
    <mergeCell ref="AS21:AS22"/>
    <mergeCell ref="F25:F26"/>
    <mergeCell ref="G25:G26"/>
    <mergeCell ref="H25:H26"/>
    <mergeCell ref="I25:I26"/>
    <mergeCell ref="J25:J26"/>
    <mergeCell ref="N25:N26"/>
    <mergeCell ref="Q25:Q26"/>
    <mergeCell ref="R25:R26"/>
    <mergeCell ref="S25:S26"/>
    <mergeCell ref="T25:T26"/>
    <mergeCell ref="U25:U26"/>
    <mergeCell ref="V25:V26"/>
    <mergeCell ref="AF23:AF24"/>
    <mergeCell ref="AG23:AG24"/>
    <mergeCell ref="AH23:AH24"/>
    <mergeCell ref="AK21:AK22"/>
    <mergeCell ref="AL21:AL22"/>
    <mergeCell ref="Y23:Y24"/>
    <mergeCell ref="Z23:Z24"/>
    <mergeCell ref="AA23:AA24"/>
    <mergeCell ref="H23:H24"/>
    <mergeCell ref="I23:I24"/>
    <mergeCell ref="J23:J24"/>
    <mergeCell ref="N23:N24"/>
    <mergeCell ref="Q23:Q24"/>
    <mergeCell ref="R23:R24"/>
    <mergeCell ref="S23:S24"/>
    <mergeCell ref="T23:T24"/>
    <mergeCell ref="U23:U24"/>
    <mergeCell ref="V23:V24"/>
    <mergeCell ref="W23:W24"/>
    <mergeCell ref="X23:X24"/>
    <mergeCell ref="AG21:AG22"/>
    <mergeCell ref="AH21:AH22"/>
    <mergeCell ref="BC23:BC24"/>
    <mergeCell ref="BD23:BD24"/>
    <mergeCell ref="BE23:BE24"/>
    <mergeCell ref="BF23:BF24"/>
    <mergeCell ref="BG23:BG24"/>
    <mergeCell ref="AB23:AB24"/>
    <mergeCell ref="AC23:AC24"/>
    <mergeCell ref="AD23:AD24"/>
    <mergeCell ref="AK23:AK24"/>
    <mergeCell ref="AL23:AL24"/>
    <mergeCell ref="AM23:AM24"/>
    <mergeCell ref="AN23:AN24"/>
    <mergeCell ref="AO23:AO24"/>
    <mergeCell ref="AP23:AP24"/>
    <mergeCell ref="AQ23:AQ24"/>
    <mergeCell ref="AR23:AR24"/>
    <mergeCell ref="AS23:AS24"/>
    <mergeCell ref="AT23:AT24"/>
    <mergeCell ref="AU23:AU24"/>
    <mergeCell ref="AV23:AV24"/>
    <mergeCell ref="AI23:AI24"/>
    <mergeCell ref="AJ23:AJ24"/>
    <mergeCell ref="AY25:AY26"/>
    <mergeCell ref="AZ25:AZ26"/>
    <mergeCell ref="BA25:BA26"/>
    <mergeCell ref="BB25:BB26"/>
    <mergeCell ref="BC25:BC26"/>
    <mergeCell ref="BD25:BD26"/>
    <mergeCell ref="BE25:BE26"/>
    <mergeCell ref="BF25:BF26"/>
    <mergeCell ref="BG25:BG26"/>
    <mergeCell ref="A27:A28"/>
    <mergeCell ref="B27:B28"/>
    <mergeCell ref="C27:C28"/>
    <mergeCell ref="D27:D28"/>
    <mergeCell ref="E27:E28"/>
    <mergeCell ref="F27:F28"/>
    <mergeCell ref="G27:G28"/>
    <mergeCell ref="H27:H28"/>
    <mergeCell ref="I27:I28"/>
    <mergeCell ref="J27:J28"/>
    <mergeCell ref="N27:N28"/>
    <mergeCell ref="Q27:Q28"/>
    <mergeCell ref="R27:R28"/>
    <mergeCell ref="S27:S28"/>
    <mergeCell ref="T27:T28"/>
    <mergeCell ref="W25:W26"/>
    <mergeCell ref="X25:X26"/>
    <mergeCell ref="Y25:Y26"/>
    <mergeCell ref="Z25:Z26"/>
    <mergeCell ref="AA25:AA26"/>
    <mergeCell ref="AB25:AB26"/>
    <mergeCell ref="AC25:AC26"/>
    <mergeCell ref="AD25:AD26"/>
    <mergeCell ref="AE27:AE28"/>
    <mergeCell ref="AF27:AF28"/>
    <mergeCell ref="AQ25:AQ26"/>
    <mergeCell ref="AR25:AR26"/>
    <mergeCell ref="AQ27:AQ28"/>
    <mergeCell ref="AR27:AR28"/>
    <mergeCell ref="AG27:AG28"/>
    <mergeCell ref="AH27:AH28"/>
    <mergeCell ref="AI27:AI28"/>
    <mergeCell ref="AJ27:AJ28"/>
    <mergeCell ref="AK27:AK28"/>
    <mergeCell ref="AL27:AL28"/>
    <mergeCell ref="AU25:AU26"/>
    <mergeCell ref="AV25:AV26"/>
    <mergeCell ref="AW25:AW26"/>
    <mergeCell ref="AX25:AX26"/>
    <mergeCell ref="AE25:AE26"/>
    <mergeCell ref="AF25:AF26"/>
    <mergeCell ref="AG25:AG26"/>
    <mergeCell ref="AH25:AH26"/>
    <mergeCell ref="AS25:AS26"/>
    <mergeCell ref="AT25:AT26"/>
    <mergeCell ref="AI25:AI26"/>
    <mergeCell ref="AJ25:AJ26"/>
    <mergeCell ref="AK25:AK26"/>
    <mergeCell ref="AL25:AL26"/>
    <mergeCell ref="AM25:AM26"/>
    <mergeCell ref="AN25:AN26"/>
    <mergeCell ref="AO25:AO26"/>
    <mergeCell ref="AP25:AP26"/>
    <mergeCell ref="AX27:AX28"/>
    <mergeCell ref="AZ27:AZ28"/>
    <mergeCell ref="BA27:BA28"/>
    <mergeCell ref="BB27:BB28"/>
    <mergeCell ref="BC27:BC28"/>
    <mergeCell ref="BD27:BD28"/>
    <mergeCell ref="BE27:BE28"/>
    <mergeCell ref="BF27:BF28"/>
    <mergeCell ref="BG27:BG28"/>
    <mergeCell ref="A29:A30"/>
    <mergeCell ref="B29:B30"/>
    <mergeCell ref="C29:C30"/>
    <mergeCell ref="D29:D30"/>
    <mergeCell ref="E29:E30"/>
    <mergeCell ref="F29:F30"/>
    <mergeCell ref="G29:G30"/>
    <mergeCell ref="H29:H30"/>
    <mergeCell ref="I29:I30"/>
    <mergeCell ref="J29:J30"/>
    <mergeCell ref="N29:N30"/>
    <mergeCell ref="Q29:Q30"/>
    <mergeCell ref="R29:R30"/>
    <mergeCell ref="U27:U28"/>
    <mergeCell ref="V27:V28"/>
    <mergeCell ref="W27:W28"/>
    <mergeCell ref="X27:X28"/>
    <mergeCell ref="Y27:Y28"/>
    <mergeCell ref="Z27:Z28"/>
    <mergeCell ref="AA27:AA28"/>
    <mergeCell ref="AB27:AB28"/>
    <mergeCell ref="AC27:AC28"/>
    <mergeCell ref="AE29:AE30"/>
    <mergeCell ref="AD27:AD28"/>
    <mergeCell ref="AM27:AM28"/>
    <mergeCell ref="AN27:AN28"/>
    <mergeCell ref="AO27:AO28"/>
    <mergeCell ref="AP27:AP28"/>
    <mergeCell ref="AO29:AO30"/>
    <mergeCell ref="AP29:AP30"/>
    <mergeCell ref="AS27:AS28"/>
    <mergeCell ref="AT27:AT28"/>
    <mergeCell ref="AU27:AU28"/>
    <mergeCell ref="AV27:AV28"/>
    <mergeCell ref="AW27:AW28"/>
    <mergeCell ref="AY29:AY30"/>
    <mergeCell ref="AY27:AY28"/>
    <mergeCell ref="AK29:AK30"/>
    <mergeCell ref="AL29:AL30"/>
    <mergeCell ref="AM29:AM30"/>
    <mergeCell ref="AN29:AN30"/>
    <mergeCell ref="AQ29:AQ30"/>
    <mergeCell ref="AR29:AR30"/>
    <mergeCell ref="AS29:AS30"/>
    <mergeCell ref="AT29:AT30"/>
    <mergeCell ref="AU29:AU30"/>
    <mergeCell ref="AV29:AV30"/>
    <mergeCell ref="AW29:AW30"/>
    <mergeCell ref="AX29:AX30"/>
    <mergeCell ref="BG29:BG30"/>
    <mergeCell ref="A31:A32"/>
    <mergeCell ref="B31:B32"/>
    <mergeCell ref="C31:C32"/>
    <mergeCell ref="D31:D32"/>
    <mergeCell ref="E31:E32"/>
    <mergeCell ref="F31:F32"/>
    <mergeCell ref="G31:G32"/>
    <mergeCell ref="H31:H32"/>
    <mergeCell ref="I31:I32"/>
    <mergeCell ref="J31:J32"/>
    <mergeCell ref="N31:N32"/>
    <mergeCell ref="S29:S30"/>
    <mergeCell ref="T29:T30"/>
    <mergeCell ref="U29:U30"/>
    <mergeCell ref="V29:V30"/>
    <mergeCell ref="W29:W30"/>
    <mergeCell ref="X29:X30"/>
    <mergeCell ref="Y29:Y30"/>
    <mergeCell ref="Z29:Z30"/>
    <mergeCell ref="AA29:AA30"/>
    <mergeCell ref="AB29:AB30"/>
    <mergeCell ref="AC29:AC30"/>
    <mergeCell ref="AD29:AD30"/>
    <mergeCell ref="AF31:AF32"/>
    <mergeCell ref="AF29:AF30"/>
    <mergeCell ref="AG29:AG30"/>
    <mergeCell ref="AH29:AH30"/>
    <mergeCell ref="AI29:AI30"/>
    <mergeCell ref="AJ29:AJ30"/>
    <mergeCell ref="AZ29:AZ30"/>
    <mergeCell ref="BG31:BG32"/>
    <mergeCell ref="A33:A34"/>
    <mergeCell ref="B33:B34"/>
    <mergeCell ref="C33:C34"/>
    <mergeCell ref="D33:D34"/>
    <mergeCell ref="E33:E34"/>
    <mergeCell ref="F33:F34"/>
    <mergeCell ref="G33:G34"/>
    <mergeCell ref="H33:H34"/>
    <mergeCell ref="I33:I34"/>
    <mergeCell ref="Q31:Q32"/>
    <mergeCell ref="R31:R32"/>
    <mergeCell ref="S31:S32"/>
    <mergeCell ref="T31:T32"/>
    <mergeCell ref="U31:U32"/>
    <mergeCell ref="V31:V32"/>
    <mergeCell ref="W31:W32"/>
    <mergeCell ref="BA29:BA30"/>
    <mergeCell ref="BB29:BB30"/>
    <mergeCell ref="X31:X32"/>
    <mergeCell ref="Y31:Y32"/>
    <mergeCell ref="Z31:Z32"/>
    <mergeCell ref="AA31:AA32"/>
    <mergeCell ref="AB31:AB32"/>
    <mergeCell ref="AC31:AC32"/>
    <mergeCell ref="AD31:AD32"/>
    <mergeCell ref="AE31:AE32"/>
    <mergeCell ref="BC29:BC30"/>
    <mergeCell ref="BD29:BD30"/>
    <mergeCell ref="BE29:BE30"/>
    <mergeCell ref="BF29:BF30"/>
    <mergeCell ref="AI31:AI32"/>
    <mergeCell ref="AG31:AG32"/>
    <mergeCell ref="AH31:AH32"/>
    <mergeCell ref="AO31:AO32"/>
    <mergeCell ref="AP31:AP32"/>
    <mergeCell ref="AQ31:AQ32"/>
    <mergeCell ref="AR31:AR32"/>
    <mergeCell ref="AS31:AS32"/>
    <mergeCell ref="AT31:AT32"/>
    <mergeCell ref="AM31:AM32"/>
    <mergeCell ref="AN31:AN32"/>
    <mergeCell ref="AU31:AU32"/>
    <mergeCell ref="AV31:AV32"/>
    <mergeCell ref="AW31:AW32"/>
    <mergeCell ref="AX31:AX32"/>
    <mergeCell ref="AY31:AY32"/>
    <mergeCell ref="BC33:BC34"/>
    <mergeCell ref="AZ31:AZ32"/>
    <mergeCell ref="AJ31:AJ32"/>
    <mergeCell ref="AK31:AK32"/>
    <mergeCell ref="AL31:AL32"/>
    <mergeCell ref="BD33:BD34"/>
    <mergeCell ref="BE33:BE34"/>
    <mergeCell ref="BF33:BF34"/>
    <mergeCell ref="AY33:AY34"/>
    <mergeCell ref="AZ33:AZ34"/>
    <mergeCell ref="BA33:BA34"/>
    <mergeCell ref="BB33:BB34"/>
    <mergeCell ref="BA31:BA32"/>
    <mergeCell ref="BB31:BB32"/>
    <mergeCell ref="BC31:BC32"/>
    <mergeCell ref="BD31:BD32"/>
    <mergeCell ref="BE31:BE32"/>
    <mergeCell ref="BF31:BF32"/>
    <mergeCell ref="BG33:BG34"/>
    <mergeCell ref="A35:A36"/>
    <mergeCell ref="B35:B36"/>
    <mergeCell ref="C35:C36"/>
    <mergeCell ref="D35:D36"/>
    <mergeCell ref="E35:E36"/>
    <mergeCell ref="F35:F36"/>
    <mergeCell ref="G35:G36"/>
    <mergeCell ref="J33:J34"/>
    <mergeCell ref="N33:N34"/>
    <mergeCell ref="Q33:Q34"/>
    <mergeCell ref="R33:R34"/>
    <mergeCell ref="S33:S34"/>
    <mergeCell ref="T33:T34"/>
    <mergeCell ref="U33:U34"/>
    <mergeCell ref="V33:V34"/>
    <mergeCell ref="W33:W34"/>
    <mergeCell ref="X33:X34"/>
    <mergeCell ref="Y33:Y34"/>
    <mergeCell ref="AA35:AA36"/>
    <mergeCell ref="AK35:AK36"/>
    <mergeCell ref="AL35:AL36"/>
    <mergeCell ref="AM35:AM36"/>
    <mergeCell ref="AK33:AK34"/>
    <mergeCell ref="AL33:AL34"/>
    <mergeCell ref="Z33:Z34"/>
    <mergeCell ref="AA33:AA34"/>
    <mergeCell ref="AB33:AB34"/>
    <mergeCell ref="AC33:AC34"/>
    <mergeCell ref="AD33:AD34"/>
    <mergeCell ref="AE33:AE34"/>
    <mergeCell ref="AF33:AF34"/>
    <mergeCell ref="BB35:BB36"/>
    <mergeCell ref="AG33:AG34"/>
    <mergeCell ref="AH33:AH34"/>
    <mergeCell ref="AI33:AI34"/>
    <mergeCell ref="AJ33:AJ34"/>
    <mergeCell ref="AX33:AX34"/>
    <mergeCell ref="AM33:AM34"/>
    <mergeCell ref="AN33:AN34"/>
    <mergeCell ref="AO33:AO34"/>
    <mergeCell ref="AP33:AP34"/>
    <mergeCell ref="AQ33:AQ34"/>
    <mergeCell ref="AR33:AR34"/>
    <mergeCell ref="AS33:AS34"/>
    <mergeCell ref="AT33:AT34"/>
    <mergeCell ref="AU33:AU34"/>
    <mergeCell ref="AV33:AV34"/>
    <mergeCell ref="AW33:AW34"/>
    <mergeCell ref="H35:H36"/>
    <mergeCell ref="I35:I36"/>
    <mergeCell ref="J35:J36"/>
    <mergeCell ref="N35:N36"/>
    <mergeCell ref="Q35:Q36"/>
    <mergeCell ref="R35:R36"/>
    <mergeCell ref="S35:S36"/>
    <mergeCell ref="T35:T36"/>
    <mergeCell ref="U35:U36"/>
    <mergeCell ref="V35:V36"/>
    <mergeCell ref="W35:W36"/>
    <mergeCell ref="X35:X36"/>
    <mergeCell ref="BC35:BC36"/>
    <mergeCell ref="BD35:BD36"/>
    <mergeCell ref="BE35:BE36"/>
    <mergeCell ref="A37:A38"/>
    <mergeCell ref="B37:B38"/>
    <mergeCell ref="C37:C38"/>
    <mergeCell ref="D37:D38"/>
    <mergeCell ref="E37:E38"/>
    <mergeCell ref="AE35:AE36"/>
    <mergeCell ref="S37:S38"/>
    <mergeCell ref="T37:T38"/>
    <mergeCell ref="U37:U38"/>
    <mergeCell ref="V37:V38"/>
    <mergeCell ref="AF35:AF36"/>
    <mergeCell ref="AG35:AG36"/>
    <mergeCell ref="AH35:AH36"/>
    <mergeCell ref="AI35:AI36"/>
    <mergeCell ref="AJ35:AJ36"/>
    <mergeCell ref="Y35:Y36"/>
    <mergeCell ref="Z35:Z36"/>
    <mergeCell ref="BF35:BF36"/>
    <mergeCell ref="BG35:BG36"/>
    <mergeCell ref="AB35:AB36"/>
    <mergeCell ref="AC35:AC36"/>
    <mergeCell ref="AD35:AD36"/>
    <mergeCell ref="AP35:AP36"/>
    <mergeCell ref="AQ35:AQ36"/>
    <mergeCell ref="AR35:AR36"/>
    <mergeCell ref="AS35:AS36"/>
    <mergeCell ref="AT35:AT36"/>
    <mergeCell ref="AU35:AU36"/>
    <mergeCell ref="AV35:AV36"/>
    <mergeCell ref="AW35:AW36"/>
    <mergeCell ref="AX35:AX36"/>
    <mergeCell ref="AY35:AY36"/>
    <mergeCell ref="AZ35:AZ36"/>
    <mergeCell ref="BA35:BA36"/>
    <mergeCell ref="AN35:AN36"/>
    <mergeCell ref="AO35:AO36"/>
    <mergeCell ref="A39:A40"/>
    <mergeCell ref="B39:B40"/>
    <mergeCell ref="C39:C40"/>
    <mergeCell ref="D39:D40"/>
    <mergeCell ref="E39:E40"/>
    <mergeCell ref="W37:W38"/>
    <mergeCell ref="X37:X38"/>
    <mergeCell ref="Y37:Y38"/>
    <mergeCell ref="Z37:Z38"/>
    <mergeCell ref="AA37:AA38"/>
    <mergeCell ref="AB37:AB38"/>
    <mergeCell ref="AC37:AC38"/>
    <mergeCell ref="AD37:AD38"/>
    <mergeCell ref="AE37:AE38"/>
    <mergeCell ref="AF37:AF38"/>
    <mergeCell ref="AG37:AG38"/>
    <mergeCell ref="AH37:AH38"/>
    <mergeCell ref="F37:F38"/>
    <mergeCell ref="G37:G38"/>
    <mergeCell ref="H37:H38"/>
    <mergeCell ref="I37:I38"/>
    <mergeCell ref="J37:J38"/>
    <mergeCell ref="N37:N38"/>
    <mergeCell ref="Q37:Q38"/>
    <mergeCell ref="R37:R38"/>
    <mergeCell ref="AE39:AE40"/>
    <mergeCell ref="AF39:AF40"/>
    <mergeCell ref="S39:S40"/>
    <mergeCell ref="T39:T40"/>
    <mergeCell ref="J39:J40"/>
    <mergeCell ref="N39:N40"/>
    <mergeCell ref="E41:E42"/>
    <mergeCell ref="F41:F42"/>
    <mergeCell ref="BC37:BC38"/>
    <mergeCell ref="BD37:BD38"/>
    <mergeCell ref="BE37:BE38"/>
    <mergeCell ref="BF37:BF38"/>
    <mergeCell ref="AU37:AU38"/>
    <mergeCell ref="AV37:AV38"/>
    <mergeCell ref="AW37:AW38"/>
    <mergeCell ref="AX37:AX38"/>
    <mergeCell ref="AY37:AY38"/>
    <mergeCell ref="AZ37:AZ38"/>
    <mergeCell ref="F39:F40"/>
    <mergeCell ref="G39:G40"/>
    <mergeCell ref="H39:H40"/>
    <mergeCell ref="I39:I40"/>
    <mergeCell ref="BA37:BA38"/>
    <mergeCell ref="BB37:BB38"/>
    <mergeCell ref="AO37:AO38"/>
    <mergeCell ref="AP37:AP38"/>
    <mergeCell ref="AQ37:AQ38"/>
    <mergeCell ref="AR37:AR38"/>
    <mergeCell ref="Q39:Q40"/>
    <mergeCell ref="R39:R40"/>
    <mergeCell ref="AI37:AI38"/>
    <mergeCell ref="AJ37:AJ38"/>
    <mergeCell ref="AK37:AK38"/>
    <mergeCell ref="AL37:AL38"/>
    <mergeCell ref="AS37:AS38"/>
    <mergeCell ref="AT37:AT38"/>
    <mergeCell ref="BF39:BF40"/>
    <mergeCell ref="BG39:BG40"/>
    <mergeCell ref="BG37:BG38"/>
    <mergeCell ref="AM37:AM38"/>
    <mergeCell ref="AN37:AN38"/>
    <mergeCell ref="U39:U40"/>
    <mergeCell ref="V39:V40"/>
    <mergeCell ref="W39:W40"/>
    <mergeCell ref="X39:X40"/>
    <mergeCell ref="Y39:Y40"/>
    <mergeCell ref="Z39:Z40"/>
    <mergeCell ref="BE39:BE40"/>
    <mergeCell ref="AL39:AL40"/>
    <mergeCell ref="AA39:AA40"/>
    <mergeCell ref="AB39:AB40"/>
    <mergeCell ref="AC39:AC40"/>
    <mergeCell ref="AD39:AD40"/>
    <mergeCell ref="AQ39:AQ40"/>
    <mergeCell ref="AR39:AR40"/>
    <mergeCell ref="AG39:AG40"/>
    <mergeCell ref="AH39:AH40"/>
    <mergeCell ref="AI39:AI40"/>
    <mergeCell ref="AJ39:AJ40"/>
    <mergeCell ref="AK39:AK40"/>
    <mergeCell ref="BD39:BD40"/>
    <mergeCell ref="AS39:AS40"/>
    <mergeCell ref="AT39:AT40"/>
    <mergeCell ref="AU39:AU40"/>
    <mergeCell ref="AV39:AV40"/>
    <mergeCell ref="AW39:AW40"/>
    <mergeCell ref="AX39:AX40"/>
    <mergeCell ref="AY39:AY40"/>
    <mergeCell ref="AZ39:AZ40"/>
    <mergeCell ref="BA39:BA40"/>
    <mergeCell ref="BB39:BB40"/>
    <mergeCell ref="BC39:BC40"/>
    <mergeCell ref="AM39:AM40"/>
    <mergeCell ref="AN39:AN40"/>
    <mergeCell ref="AO39:AO40"/>
    <mergeCell ref="AP39:AP40"/>
    <mergeCell ref="AJ41:AJ42"/>
    <mergeCell ref="AK41:AK42"/>
    <mergeCell ref="AL41:AL42"/>
    <mergeCell ref="AM41:AM42"/>
    <mergeCell ref="AN41:AN42"/>
    <mergeCell ref="AO41:AO42"/>
    <mergeCell ref="AP41:AP42"/>
    <mergeCell ref="BC41:BC42"/>
    <mergeCell ref="BG41:BG42"/>
    <mergeCell ref="A43:I43"/>
    <mergeCell ref="AW41:AW42"/>
    <mergeCell ref="AX41:AX42"/>
    <mergeCell ref="AY41:AY42"/>
    <mergeCell ref="AZ41:AZ42"/>
    <mergeCell ref="BA41:BA42"/>
    <mergeCell ref="BB41:BB42"/>
    <mergeCell ref="AQ41:AQ42"/>
    <mergeCell ref="AR41:AR42"/>
    <mergeCell ref="H41:H42"/>
    <mergeCell ref="I41:I42"/>
    <mergeCell ref="S41:S42"/>
    <mergeCell ref="T41:T42"/>
    <mergeCell ref="U41:U42"/>
    <mergeCell ref="V41:V42"/>
    <mergeCell ref="W41:W42"/>
    <mergeCell ref="X41:X42"/>
    <mergeCell ref="BE41:BE42"/>
    <mergeCell ref="BF41:BF42"/>
    <mergeCell ref="AS41:AS42"/>
    <mergeCell ref="AT41:AT42"/>
    <mergeCell ref="AU41:AU42"/>
    <mergeCell ref="AV41:AV42"/>
    <mergeCell ref="G41:G42"/>
    <mergeCell ref="BD41:BD42"/>
    <mergeCell ref="J41:J42"/>
    <mergeCell ref="N41:N42"/>
    <mergeCell ref="A41:A42"/>
    <mergeCell ref="B41:B42"/>
    <mergeCell ref="C41:C42"/>
    <mergeCell ref="D41:D42"/>
    <mergeCell ref="N44:N45"/>
    <mergeCell ref="Q44:Q45"/>
    <mergeCell ref="Y41:Y42"/>
    <mergeCell ref="Z41:Z42"/>
    <mergeCell ref="R44:R45"/>
    <mergeCell ref="S44:S45"/>
    <mergeCell ref="T44:T45"/>
    <mergeCell ref="U44:U45"/>
    <mergeCell ref="V44:V45"/>
    <mergeCell ref="W44:W45"/>
    <mergeCell ref="X44:X45"/>
    <mergeCell ref="Y44:Y45"/>
    <mergeCell ref="AE41:AE42"/>
    <mergeCell ref="AF41:AF42"/>
    <mergeCell ref="AG41:AG42"/>
    <mergeCell ref="AH41:AH42"/>
    <mergeCell ref="AI41:AI42"/>
    <mergeCell ref="Q41:Q42"/>
    <mergeCell ref="R41:R42"/>
    <mergeCell ref="AA41:AA42"/>
    <mergeCell ref="AB41:AB42"/>
    <mergeCell ref="AC41:AC42"/>
    <mergeCell ref="AD41:AD42"/>
    <mergeCell ref="BD44:BD45"/>
    <mergeCell ref="BE44:BE45"/>
    <mergeCell ref="BF44:BF45"/>
    <mergeCell ref="BG44:BG45"/>
    <mergeCell ref="AV44:AV45"/>
    <mergeCell ref="AW44:AW45"/>
    <mergeCell ref="AX44:AX45"/>
    <mergeCell ref="AY44:AY45"/>
    <mergeCell ref="AZ44:AZ45"/>
    <mergeCell ref="BA44:BA45"/>
    <mergeCell ref="Z44:Z45"/>
    <mergeCell ref="AA44:AA45"/>
    <mergeCell ref="AB44:AB45"/>
    <mergeCell ref="AC44:AC45"/>
    <mergeCell ref="BB44:BB45"/>
    <mergeCell ref="BC44:BC45"/>
    <mergeCell ref="AP44:AP45"/>
    <mergeCell ref="AQ44:AQ45"/>
    <mergeCell ref="AR44:AR45"/>
    <mergeCell ref="AS44:AS45"/>
    <mergeCell ref="AD44:AD45"/>
    <mergeCell ref="AE44:AE45"/>
    <mergeCell ref="AF44:AF45"/>
    <mergeCell ref="AG44:AG45"/>
    <mergeCell ref="AH44:AH45"/>
    <mergeCell ref="AI44:AI45"/>
    <mergeCell ref="AJ44:AJ45"/>
    <mergeCell ref="AK44:AK45"/>
    <mergeCell ref="AL44:AL45"/>
    <mergeCell ref="AM44:AM45"/>
    <mergeCell ref="AN44:AN45"/>
    <mergeCell ref="AO44:AO45"/>
    <mergeCell ref="A46:A47"/>
    <mergeCell ref="B46:B47"/>
    <mergeCell ref="C46:C47"/>
    <mergeCell ref="D46:D47"/>
    <mergeCell ref="E46:E47"/>
    <mergeCell ref="F46:F47"/>
    <mergeCell ref="G46:G47"/>
    <mergeCell ref="H46:H47"/>
    <mergeCell ref="I46:I47"/>
    <mergeCell ref="J46:J47"/>
    <mergeCell ref="N46:N47"/>
    <mergeCell ref="Q46:Q47"/>
    <mergeCell ref="AT44:AT45"/>
    <mergeCell ref="AU44:AU45"/>
    <mergeCell ref="R46:R47"/>
    <mergeCell ref="S46:S47"/>
    <mergeCell ref="T46:T47"/>
    <mergeCell ref="U46:U47"/>
    <mergeCell ref="V46:V47"/>
    <mergeCell ref="W46:W47"/>
    <mergeCell ref="AJ46:AJ47"/>
    <mergeCell ref="AK46:AK47"/>
    <mergeCell ref="A44:A45"/>
    <mergeCell ref="B44:B45"/>
    <mergeCell ref="C44:C45"/>
    <mergeCell ref="D44:D45"/>
    <mergeCell ref="E44:E45"/>
    <mergeCell ref="F44:F45"/>
    <mergeCell ref="G44:G45"/>
    <mergeCell ref="H44:H45"/>
    <mergeCell ref="I44:I45"/>
    <mergeCell ref="J44:J45"/>
    <mergeCell ref="BG46:BG47"/>
    <mergeCell ref="X46:X47"/>
    <mergeCell ref="Y46:Y47"/>
    <mergeCell ref="Z46:Z47"/>
    <mergeCell ref="AA46:AA47"/>
    <mergeCell ref="AB46:AB47"/>
    <mergeCell ref="AC46:AC47"/>
    <mergeCell ref="AL46:AL47"/>
    <mergeCell ref="AM46:AM47"/>
    <mergeCell ref="AN46:AN47"/>
    <mergeCell ref="AO46:AO47"/>
    <mergeCell ref="AD46:AD47"/>
    <mergeCell ref="AE46:AE47"/>
    <mergeCell ref="AF46:AF47"/>
    <mergeCell ref="AG46:AG47"/>
    <mergeCell ref="AH46:AH47"/>
    <mergeCell ref="AI46:AI47"/>
    <mergeCell ref="AP46:AP47"/>
    <mergeCell ref="AQ46:AQ47"/>
    <mergeCell ref="AR46:AR47"/>
    <mergeCell ref="AS46:AS47"/>
    <mergeCell ref="AT46:AT47"/>
    <mergeCell ref="AU46:AU47"/>
    <mergeCell ref="AV46:AV47"/>
    <mergeCell ref="AW46:AW47"/>
    <mergeCell ref="AX46:AX47"/>
    <mergeCell ref="AY46:AY47"/>
    <mergeCell ref="AZ46:AZ47"/>
    <mergeCell ref="BA46:BA47"/>
    <mergeCell ref="BB46:BB47"/>
    <mergeCell ref="BC46:BC47"/>
    <mergeCell ref="BD46:BD47"/>
    <mergeCell ref="BE46:BE47"/>
    <mergeCell ref="BF46:BF47"/>
    <mergeCell ref="BC48:BC49"/>
    <mergeCell ref="BD48:BD49"/>
    <mergeCell ref="BE48:BE49"/>
    <mergeCell ref="BF48:BF49"/>
    <mergeCell ref="BG48:BG49"/>
    <mergeCell ref="AV48:AV49"/>
    <mergeCell ref="AW48:AW49"/>
    <mergeCell ref="AX48:AX49"/>
    <mergeCell ref="AY48:AY49"/>
    <mergeCell ref="AZ48:AZ49"/>
    <mergeCell ref="A48:A49"/>
    <mergeCell ref="B48:B49"/>
    <mergeCell ref="C48:C49"/>
    <mergeCell ref="D48:D49"/>
    <mergeCell ref="E48:E49"/>
    <mergeCell ref="F48:F49"/>
    <mergeCell ref="G48:G49"/>
    <mergeCell ref="H48:H49"/>
    <mergeCell ref="I48:I49"/>
    <mergeCell ref="J48:J49"/>
    <mergeCell ref="N48:N49"/>
    <mergeCell ref="Q48:Q49"/>
    <mergeCell ref="AA48:AA49"/>
    <mergeCell ref="AB48:AB49"/>
    <mergeCell ref="AC48:AC49"/>
    <mergeCell ref="R48:R49"/>
    <mergeCell ref="S48:S49"/>
    <mergeCell ref="T48:T49"/>
    <mergeCell ref="U48:U49"/>
    <mergeCell ref="V48:V49"/>
    <mergeCell ref="W48:W49"/>
    <mergeCell ref="X48:X49"/>
    <mergeCell ref="BB48:BB49"/>
    <mergeCell ref="AJ48:AJ49"/>
    <mergeCell ref="AK48:AK49"/>
    <mergeCell ref="AL48:AL49"/>
    <mergeCell ref="AM48:AM49"/>
    <mergeCell ref="AN48:AN49"/>
    <mergeCell ref="AO48:AO49"/>
    <mergeCell ref="A50:I50"/>
    <mergeCell ref="A51:A52"/>
    <mergeCell ref="B51:B52"/>
    <mergeCell ref="C51:C52"/>
    <mergeCell ref="D51:D52"/>
    <mergeCell ref="E51:E52"/>
    <mergeCell ref="F51:F52"/>
    <mergeCell ref="G51:G52"/>
    <mergeCell ref="H51:H52"/>
    <mergeCell ref="I51:I52"/>
    <mergeCell ref="J51:J52"/>
    <mergeCell ref="N51:N52"/>
    <mergeCell ref="Q51:Q52"/>
    <mergeCell ref="R51:R52"/>
    <mergeCell ref="S51:S52"/>
    <mergeCell ref="T51:T52"/>
    <mergeCell ref="BA48:BA49"/>
    <mergeCell ref="AP48:AP49"/>
    <mergeCell ref="AQ48:AQ49"/>
    <mergeCell ref="AR48:AR49"/>
    <mergeCell ref="AS48:AS49"/>
    <mergeCell ref="AT48:AT49"/>
    <mergeCell ref="AU48:AU49"/>
    <mergeCell ref="AA51:AA52"/>
    <mergeCell ref="AB51:AB52"/>
    <mergeCell ref="AC51:AC52"/>
    <mergeCell ref="AD51:AD52"/>
    <mergeCell ref="AE51:AE52"/>
    <mergeCell ref="AF51:AF52"/>
    <mergeCell ref="Y48:Y49"/>
    <mergeCell ref="Z48:Z49"/>
    <mergeCell ref="AQ51:AQ52"/>
    <mergeCell ref="AR51:AR52"/>
    <mergeCell ref="AG51:AG52"/>
    <mergeCell ref="AH51:AH52"/>
    <mergeCell ref="AI51:AI52"/>
    <mergeCell ref="AJ51:AJ52"/>
    <mergeCell ref="AK51:AK52"/>
    <mergeCell ref="AL51:AL52"/>
    <mergeCell ref="AD48:AD49"/>
    <mergeCell ref="AE48:AE49"/>
    <mergeCell ref="AF48:AF49"/>
    <mergeCell ref="AG48:AG49"/>
    <mergeCell ref="AH48:AH49"/>
    <mergeCell ref="AI48:AI49"/>
    <mergeCell ref="AU51:AU52"/>
    <mergeCell ref="AV51:AV52"/>
    <mergeCell ref="AW51:AW52"/>
    <mergeCell ref="AX51:AX52"/>
    <mergeCell ref="AY51:AY52"/>
    <mergeCell ref="AZ51:AZ52"/>
    <mergeCell ref="BA51:BA52"/>
    <mergeCell ref="BB51:BB52"/>
    <mergeCell ref="BC51:BC52"/>
    <mergeCell ref="BD51:BD52"/>
    <mergeCell ref="BE51:BE52"/>
    <mergeCell ref="BF51:BF52"/>
    <mergeCell ref="BG51:BG52"/>
    <mergeCell ref="A53:A54"/>
    <mergeCell ref="B53:B54"/>
    <mergeCell ref="C53:C54"/>
    <mergeCell ref="D53:D54"/>
    <mergeCell ref="E53:E54"/>
    <mergeCell ref="F53:F54"/>
    <mergeCell ref="G53:G54"/>
    <mergeCell ref="H53:H54"/>
    <mergeCell ref="I53:I54"/>
    <mergeCell ref="J53:J54"/>
    <mergeCell ref="N53:N54"/>
    <mergeCell ref="Q53:Q54"/>
    <mergeCell ref="R53:R54"/>
    <mergeCell ref="U51:U52"/>
    <mergeCell ref="V51:V52"/>
    <mergeCell ref="W51:W52"/>
    <mergeCell ref="X51:X52"/>
    <mergeCell ref="Y51:Y52"/>
    <mergeCell ref="Z51:Z52"/>
    <mergeCell ref="AB53:AB54"/>
    <mergeCell ref="AC53:AC54"/>
    <mergeCell ref="AD53:AD54"/>
    <mergeCell ref="AE53:AE54"/>
    <mergeCell ref="AF53:AF54"/>
    <mergeCell ref="AG53:AG54"/>
    <mergeCell ref="AH53:AH54"/>
    <mergeCell ref="AI53:AI54"/>
    <mergeCell ref="AJ53:AJ54"/>
    <mergeCell ref="AM51:AM52"/>
    <mergeCell ref="AN51:AN52"/>
    <mergeCell ref="AO51:AO52"/>
    <mergeCell ref="AP51:AP52"/>
    <mergeCell ref="AO53:AO54"/>
    <mergeCell ref="AP53:AP54"/>
    <mergeCell ref="AS51:AS52"/>
    <mergeCell ref="AT51:AT52"/>
    <mergeCell ref="AV53:AV54"/>
    <mergeCell ref="AW53:AW54"/>
    <mergeCell ref="AX53:AX54"/>
    <mergeCell ref="AY53:AY54"/>
    <mergeCell ref="AZ53:AZ54"/>
    <mergeCell ref="BA53:BA54"/>
    <mergeCell ref="BB53:BB54"/>
    <mergeCell ref="BC53:BC54"/>
    <mergeCell ref="BD53:BD54"/>
    <mergeCell ref="BE53:BE54"/>
    <mergeCell ref="BF53:BF54"/>
    <mergeCell ref="BG53:BG54"/>
    <mergeCell ref="A55:A56"/>
    <mergeCell ref="B55:B56"/>
    <mergeCell ref="C55:C56"/>
    <mergeCell ref="D55:D56"/>
    <mergeCell ref="E55:E56"/>
    <mergeCell ref="F55:F56"/>
    <mergeCell ref="G55:G56"/>
    <mergeCell ref="H55:H56"/>
    <mergeCell ref="I55:I56"/>
    <mergeCell ref="J55:J56"/>
    <mergeCell ref="N55:N56"/>
    <mergeCell ref="S53:S54"/>
    <mergeCell ref="T53:T54"/>
    <mergeCell ref="U53:U54"/>
    <mergeCell ref="V53:V54"/>
    <mergeCell ref="W53:W54"/>
    <mergeCell ref="X53:X54"/>
    <mergeCell ref="Y53:Y54"/>
    <mergeCell ref="Z53:Z54"/>
    <mergeCell ref="AA53:AA54"/>
    <mergeCell ref="AE55:AE56"/>
    <mergeCell ref="AF55:AF56"/>
    <mergeCell ref="AG55:AG56"/>
    <mergeCell ref="AH55:AH56"/>
    <mergeCell ref="AK53:AK54"/>
    <mergeCell ref="AL53:AL54"/>
    <mergeCell ref="AM53:AM54"/>
    <mergeCell ref="AN53:AN54"/>
    <mergeCell ref="AM55:AM56"/>
    <mergeCell ref="AN55:AN56"/>
    <mergeCell ref="AQ53:AQ54"/>
    <mergeCell ref="AR53:AR54"/>
    <mergeCell ref="AS53:AS54"/>
    <mergeCell ref="AT53:AT54"/>
    <mergeCell ref="AU53:AU54"/>
    <mergeCell ref="AI55:AI56"/>
    <mergeCell ref="AJ55:AJ56"/>
    <mergeCell ref="AK55:AK56"/>
    <mergeCell ref="AL55:AL56"/>
    <mergeCell ref="AO55:AO56"/>
    <mergeCell ref="AP55:AP56"/>
    <mergeCell ref="AQ55:AQ56"/>
    <mergeCell ref="AR55:AR56"/>
    <mergeCell ref="AS55:AS56"/>
    <mergeCell ref="AT55:AT56"/>
    <mergeCell ref="AU55:AU56"/>
    <mergeCell ref="AY55:AY56"/>
    <mergeCell ref="AZ55:AZ56"/>
    <mergeCell ref="BA55:BA56"/>
    <mergeCell ref="BB55:BB56"/>
    <mergeCell ref="BC55:BC56"/>
    <mergeCell ref="BD55:BD56"/>
    <mergeCell ref="BE55:BE56"/>
    <mergeCell ref="BF55:BF56"/>
    <mergeCell ref="BG55:BG56"/>
    <mergeCell ref="A57:A58"/>
    <mergeCell ref="B57:B58"/>
    <mergeCell ref="C57:C58"/>
    <mergeCell ref="D57:D58"/>
    <mergeCell ref="E57:E58"/>
    <mergeCell ref="F57:F58"/>
    <mergeCell ref="G57:G58"/>
    <mergeCell ref="H57:H58"/>
    <mergeCell ref="I57:I58"/>
    <mergeCell ref="Q55:Q56"/>
    <mergeCell ref="R55:R56"/>
    <mergeCell ref="S55:S56"/>
    <mergeCell ref="T55:T56"/>
    <mergeCell ref="U55:U56"/>
    <mergeCell ref="V55:V56"/>
    <mergeCell ref="W55:W56"/>
    <mergeCell ref="X55:X56"/>
    <mergeCell ref="Y55:Y56"/>
    <mergeCell ref="Z55:Z56"/>
    <mergeCell ref="AA55:AA56"/>
    <mergeCell ref="AB55:AB56"/>
    <mergeCell ref="AC55:AC56"/>
    <mergeCell ref="AD55:AD56"/>
    <mergeCell ref="AV55:AV56"/>
    <mergeCell ref="AG57:AG58"/>
    <mergeCell ref="AH57:AH58"/>
    <mergeCell ref="AI57:AI58"/>
    <mergeCell ref="AJ57:AJ58"/>
    <mergeCell ref="BF57:BF58"/>
    <mergeCell ref="BG57:BG58"/>
    <mergeCell ref="A59:A60"/>
    <mergeCell ref="B59:B60"/>
    <mergeCell ref="C59:C60"/>
    <mergeCell ref="D59:D60"/>
    <mergeCell ref="E59:E60"/>
    <mergeCell ref="F59:F60"/>
    <mergeCell ref="G59:G60"/>
    <mergeCell ref="J57:J58"/>
    <mergeCell ref="N57:N58"/>
    <mergeCell ref="Q57:Q58"/>
    <mergeCell ref="R57:R58"/>
    <mergeCell ref="S57:S58"/>
    <mergeCell ref="T57:T58"/>
    <mergeCell ref="U57:U58"/>
    <mergeCell ref="V57:V58"/>
    <mergeCell ref="W57:W58"/>
    <mergeCell ref="AW55:AW56"/>
    <mergeCell ref="AX55:AX56"/>
    <mergeCell ref="X57:X58"/>
    <mergeCell ref="Y57:Y58"/>
    <mergeCell ref="Z57:Z58"/>
    <mergeCell ref="AA57:AA58"/>
    <mergeCell ref="AB57:AB58"/>
    <mergeCell ref="AC57:AC58"/>
    <mergeCell ref="AD57:AD58"/>
    <mergeCell ref="AE57:AE58"/>
    <mergeCell ref="AF57:AF58"/>
    <mergeCell ref="AM57:AM58"/>
    <mergeCell ref="AN57:AN58"/>
    <mergeCell ref="AO57:AO58"/>
    <mergeCell ref="AP57:AP58"/>
    <mergeCell ref="AQ57:AQ58"/>
    <mergeCell ref="AR57:AR58"/>
    <mergeCell ref="AS57:AS58"/>
    <mergeCell ref="AT57:AT58"/>
    <mergeCell ref="AK57:AK58"/>
    <mergeCell ref="AL57:AL58"/>
    <mergeCell ref="AU57:AU58"/>
    <mergeCell ref="AV57:AV58"/>
    <mergeCell ref="AW57:AW58"/>
    <mergeCell ref="BC59:BC60"/>
    <mergeCell ref="BD59:BD60"/>
    <mergeCell ref="BE59:BE60"/>
    <mergeCell ref="BF59:BF60"/>
    <mergeCell ref="AT59:AT60"/>
    <mergeCell ref="AU59:AU60"/>
    <mergeCell ref="AV59:AV60"/>
    <mergeCell ref="AW59:AW60"/>
    <mergeCell ref="AX59:AX60"/>
    <mergeCell ref="AY59:AY60"/>
    <mergeCell ref="AZ59:AZ60"/>
    <mergeCell ref="BA59:BA60"/>
    <mergeCell ref="BB59:BB60"/>
    <mergeCell ref="AX57:AX58"/>
    <mergeCell ref="AY57:AY58"/>
    <mergeCell ref="AZ57:AZ58"/>
    <mergeCell ref="BA57:BA58"/>
    <mergeCell ref="BB57:BB58"/>
    <mergeCell ref="BC57:BC58"/>
    <mergeCell ref="BD57:BD58"/>
    <mergeCell ref="BE57:BE58"/>
    <mergeCell ref="BG59:BG60"/>
    <mergeCell ref="A61:A62"/>
    <mergeCell ref="B61:B62"/>
    <mergeCell ref="C61:C62"/>
    <mergeCell ref="D61:D62"/>
    <mergeCell ref="E61:E62"/>
    <mergeCell ref="H59:H60"/>
    <mergeCell ref="I59:I60"/>
    <mergeCell ref="J59:J60"/>
    <mergeCell ref="N59:N60"/>
    <mergeCell ref="Q59:Q60"/>
    <mergeCell ref="R59:R60"/>
    <mergeCell ref="S59:S60"/>
    <mergeCell ref="T59:T60"/>
    <mergeCell ref="U59:U60"/>
    <mergeCell ref="V59:V60"/>
    <mergeCell ref="W59:W60"/>
    <mergeCell ref="X59:X60"/>
    <mergeCell ref="Y59:Y60"/>
    <mergeCell ref="Z59:Z60"/>
    <mergeCell ref="AA59:AA60"/>
    <mergeCell ref="AB59:AB60"/>
    <mergeCell ref="AC59:AC60"/>
    <mergeCell ref="AD59:AD60"/>
    <mergeCell ref="AL59:AL60"/>
    <mergeCell ref="AM59:AM60"/>
    <mergeCell ref="AN59:AN60"/>
    <mergeCell ref="AO59:AO60"/>
    <mergeCell ref="AP59:AP60"/>
    <mergeCell ref="AQ59:AQ60"/>
    <mergeCell ref="AR59:AR60"/>
    <mergeCell ref="AS59:AS60"/>
    <mergeCell ref="U61:U62"/>
    <mergeCell ref="V61:V62"/>
    <mergeCell ref="W61:W62"/>
    <mergeCell ref="X61:X62"/>
    <mergeCell ref="Y61:Y62"/>
    <mergeCell ref="Z61:Z62"/>
    <mergeCell ref="AA61:AA62"/>
    <mergeCell ref="AB61:AB62"/>
    <mergeCell ref="AE59:AE60"/>
    <mergeCell ref="AF59:AF60"/>
    <mergeCell ref="AG59:AG60"/>
    <mergeCell ref="AH59:AH60"/>
    <mergeCell ref="AE61:AE62"/>
    <mergeCell ref="AF61:AF62"/>
    <mergeCell ref="AG61:AG62"/>
    <mergeCell ref="AH61:AH62"/>
    <mergeCell ref="AK59:AK60"/>
    <mergeCell ref="AI59:AI60"/>
    <mergeCell ref="AJ59:AJ60"/>
    <mergeCell ref="AQ61:AQ62"/>
    <mergeCell ref="AR61:AR62"/>
    <mergeCell ref="AS61:AS62"/>
    <mergeCell ref="AT61:AT62"/>
    <mergeCell ref="BE61:BE62"/>
    <mergeCell ref="BF61:BF62"/>
    <mergeCell ref="AU61:AU62"/>
    <mergeCell ref="AV61:AV62"/>
    <mergeCell ref="AW61:AW62"/>
    <mergeCell ref="AX61:AX62"/>
    <mergeCell ref="AY61:AY62"/>
    <mergeCell ref="AZ61:AZ62"/>
    <mergeCell ref="BG61:BG62"/>
    <mergeCell ref="A63:I63"/>
    <mergeCell ref="A64:I64"/>
    <mergeCell ref="A65:O65"/>
    <mergeCell ref="U65:U66"/>
    <mergeCell ref="A66:O66"/>
    <mergeCell ref="BA61:BA62"/>
    <mergeCell ref="BB61:BB62"/>
    <mergeCell ref="BC61:BC62"/>
    <mergeCell ref="BD61:BD62"/>
    <mergeCell ref="F61:F62"/>
    <mergeCell ref="G61:G62"/>
    <mergeCell ref="H61:H62"/>
    <mergeCell ref="I61:I62"/>
    <mergeCell ref="J61:J62"/>
    <mergeCell ref="N61:N62"/>
    <mergeCell ref="Q61:Q62"/>
    <mergeCell ref="R61:R62"/>
    <mergeCell ref="S61:S62"/>
    <mergeCell ref="T61:T62"/>
    <mergeCell ref="AC61:AC62"/>
    <mergeCell ref="AD61:AD62"/>
    <mergeCell ref="AO67:AO68"/>
    <mergeCell ref="AP67:AP68"/>
    <mergeCell ref="AE67:AE68"/>
    <mergeCell ref="AF67:AF68"/>
    <mergeCell ref="AG67:AG68"/>
    <mergeCell ref="AH67:AH68"/>
    <mergeCell ref="AI67:AI68"/>
    <mergeCell ref="AJ67:AJ68"/>
    <mergeCell ref="AI61:AI62"/>
    <mergeCell ref="AJ61:AJ62"/>
    <mergeCell ref="AK61:AK62"/>
    <mergeCell ref="AL61:AL62"/>
    <mergeCell ref="AM61:AM62"/>
    <mergeCell ref="AN61:AN62"/>
    <mergeCell ref="AO61:AO62"/>
    <mergeCell ref="AP61:AP62"/>
    <mergeCell ref="AK67:AK68"/>
    <mergeCell ref="AL67:AL68"/>
    <mergeCell ref="AM67:AM68"/>
    <mergeCell ref="AN67:AN68"/>
    <mergeCell ref="AX67:AX68"/>
    <mergeCell ref="AY67:AY68"/>
    <mergeCell ref="AZ67:AZ68"/>
    <mergeCell ref="BA67:BA68"/>
    <mergeCell ref="BB67:BB68"/>
    <mergeCell ref="BC67:BC68"/>
    <mergeCell ref="BD67:BD68"/>
    <mergeCell ref="BE67:BE68"/>
    <mergeCell ref="BF67:BF68"/>
    <mergeCell ref="BG67:BG68"/>
    <mergeCell ref="A69:A70"/>
    <mergeCell ref="B69:B70"/>
    <mergeCell ref="C69:C70"/>
    <mergeCell ref="D69:D70"/>
    <mergeCell ref="E69:E70"/>
    <mergeCell ref="F69:F70"/>
    <mergeCell ref="G69:G70"/>
    <mergeCell ref="H69:H70"/>
    <mergeCell ref="I69:I70"/>
    <mergeCell ref="J69:J70"/>
    <mergeCell ref="N69:N70"/>
    <mergeCell ref="S67:S68"/>
    <mergeCell ref="T67:T68"/>
    <mergeCell ref="U67:U68"/>
    <mergeCell ref="V67:V68"/>
    <mergeCell ref="W67:W68"/>
    <mergeCell ref="X67:X68"/>
    <mergeCell ref="Y67:Y68"/>
    <mergeCell ref="Z67:Z68"/>
    <mergeCell ref="AA67:AA68"/>
    <mergeCell ref="AB67:AB68"/>
    <mergeCell ref="AC67:AC68"/>
    <mergeCell ref="AQ67:AQ68"/>
    <mergeCell ref="AR67:AR68"/>
    <mergeCell ref="AS67:AS68"/>
    <mergeCell ref="AT67:AT68"/>
    <mergeCell ref="AU67:AU68"/>
    <mergeCell ref="AI69:AI70"/>
    <mergeCell ref="AJ69:AJ70"/>
    <mergeCell ref="AK69:AK70"/>
    <mergeCell ref="AL69:AL70"/>
    <mergeCell ref="AV67:AV68"/>
    <mergeCell ref="AW67:AW68"/>
    <mergeCell ref="Q69:Q70"/>
    <mergeCell ref="R69:R70"/>
    <mergeCell ref="S69:S70"/>
    <mergeCell ref="T69:T70"/>
    <mergeCell ref="U69:U70"/>
    <mergeCell ref="V69:V70"/>
    <mergeCell ref="W69:W70"/>
    <mergeCell ref="X69:X70"/>
    <mergeCell ref="Y69:Y70"/>
    <mergeCell ref="Z69:Z70"/>
    <mergeCell ref="AA69:AA70"/>
    <mergeCell ref="AB69:AB70"/>
    <mergeCell ref="AC69:AC70"/>
    <mergeCell ref="AD69:AD70"/>
    <mergeCell ref="AE69:AE70"/>
    <mergeCell ref="AF69:AF70"/>
    <mergeCell ref="AG69:AG70"/>
    <mergeCell ref="AO69:AO70"/>
    <mergeCell ref="AP69:AP70"/>
    <mergeCell ref="AD67:AD68"/>
    <mergeCell ref="AQ69:AQ70"/>
    <mergeCell ref="AR69:AR70"/>
    <mergeCell ref="AS69:AS70"/>
    <mergeCell ref="AT69:AT70"/>
    <mergeCell ref="AU69:AU70"/>
    <mergeCell ref="AV69:AV70"/>
    <mergeCell ref="AG71:AG72"/>
    <mergeCell ref="AH71:AH72"/>
    <mergeCell ref="AI71:AI72"/>
    <mergeCell ref="AJ71:AJ72"/>
    <mergeCell ref="BE71:BE72"/>
    <mergeCell ref="BF71:BF72"/>
    <mergeCell ref="BG71:BG72"/>
    <mergeCell ref="AV71:AV72"/>
    <mergeCell ref="AW71:AW72"/>
    <mergeCell ref="AW69:AW70"/>
    <mergeCell ref="AX69:AX70"/>
    <mergeCell ref="AY69:AY70"/>
    <mergeCell ref="AZ69:AZ70"/>
    <mergeCell ref="BA69:BA70"/>
    <mergeCell ref="BB69:BB70"/>
    <mergeCell ref="BC69:BC70"/>
    <mergeCell ref="BD69:BD70"/>
    <mergeCell ref="BE69:BE70"/>
    <mergeCell ref="BF69:BF70"/>
    <mergeCell ref="BG69:BG70"/>
    <mergeCell ref="AH69:AH70"/>
    <mergeCell ref="AM69:AM70"/>
    <mergeCell ref="AN69:AN70"/>
    <mergeCell ref="A73:A74"/>
    <mergeCell ref="B73:B74"/>
    <mergeCell ref="C73:C74"/>
    <mergeCell ref="D73:D74"/>
    <mergeCell ref="E73:E74"/>
    <mergeCell ref="F73:F74"/>
    <mergeCell ref="G73:G74"/>
    <mergeCell ref="J71:J72"/>
    <mergeCell ref="N71:N72"/>
    <mergeCell ref="Q71:Q72"/>
    <mergeCell ref="R71:R72"/>
    <mergeCell ref="S71:S72"/>
    <mergeCell ref="T71:T72"/>
    <mergeCell ref="U71:U72"/>
    <mergeCell ref="V71:V72"/>
    <mergeCell ref="W71:W72"/>
    <mergeCell ref="X71:X72"/>
    <mergeCell ref="A71:A72"/>
    <mergeCell ref="B71:B72"/>
    <mergeCell ref="C71:C72"/>
    <mergeCell ref="D71:D72"/>
    <mergeCell ref="E71:E72"/>
    <mergeCell ref="F71:F72"/>
    <mergeCell ref="G71:G72"/>
    <mergeCell ref="H71:H72"/>
    <mergeCell ref="I71:I72"/>
    <mergeCell ref="Y71:Y72"/>
    <mergeCell ref="Z71:Z72"/>
    <mergeCell ref="AA71:AA72"/>
    <mergeCell ref="AB71:AB72"/>
    <mergeCell ref="AC71:AC72"/>
    <mergeCell ref="AD71:AD72"/>
    <mergeCell ref="AE71:AE72"/>
    <mergeCell ref="AF71:AF72"/>
    <mergeCell ref="AM71:AM72"/>
    <mergeCell ref="AN71:AN72"/>
    <mergeCell ref="AO71:AO72"/>
    <mergeCell ref="AP71:AP72"/>
    <mergeCell ref="AQ71:AQ72"/>
    <mergeCell ref="AR71:AR72"/>
    <mergeCell ref="AS71:AS72"/>
    <mergeCell ref="AT71:AT72"/>
    <mergeCell ref="AU71:AU72"/>
    <mergeCell ref="AK71:AK72"/>
    <mergeCell ref="AL71:AL72"/>
    <mergeCell ref="BB73:BB74"/>
    <mergeCell ref="BC73:BC74"/>
    <mergeCell ref="BD73:BD74"/>
    <mergeCell ref="BE73:BE74"/>
    <mergeCell ref="AR73:AR74"/>
    <mergeCell ref="AS73:AS74"/>
    <mergeCell ref="AT73:AT74"/>
    <mergeCell ref="AU73:AU74"/>
    <mergeCell ref="AV73:AV74"/>
    <mergeCell ref="AW73:AW74"/>
    <mergeCell ref="AX73:AX74"/>
    <mergeCell ref="AY73:AY74"/>
    <mergeCell ref="AZ73:AZ74"/>
    <mergeCell ref="BA73:BA74"/>
    <mergeCell ref="AX71:AX72"/>
    <mergeCell ref="AY71:AY72"/>
    <mergeCell ref="AZ71:AZ72"/>
    <mergeCell ref="BA71:BA72"/>
    <mergeCell ref="BB71:BB72"/>
    <mergeCell ref="BC71:BC72"/>
    <mergeCell ref="BD71:BD72"/>
    <mergeCell ref="BF73:BF74"/>
    <mergeCell ref="BG73:BG74"/>
    <mergeCell ref="A75:A76"/>
    <mergeCell ref="B75:B76"/>
    <mergeCell ref="C75:C76"/>
    <mergeCell ref="D75:D76"/>
    <mergeCell ref="E75:E76"/>
    <mergeCell ref="H73:H74"/>
    <mergeCell ref="I73:I74"/>
    <mergeCell ref="J73:J74"/>
    <mergeCell ref="N73:N74"/>
    <mergeCell ref="Q73:Q74"/>
    <mergeCell ref="R73:R74"/>
    <mergeCell ref="S73:S74"/>
    <mergeCell ref="T73:T74"/>
    <mergeCell ref="U73:U74"/>
    <mergeCell ref="V73:V74"/>
    <mergeCell ref="W73:W74"/>
    <mergeCell ref="X73:X74"/>
    <mergeCell ref="Y73:Y74"/>
    <mergeCell ref="Z73:Z74"/>
    <mergeCell ref="AA73:AA74"/>
    <mergeCell ref="AB73:AB74"/>
    <mergeCell ref="AC73:AC74"/>
    <mergeCell ref="AD73:AD74"/>
    <mergeCell ref="AK73:AK74"/>
    <mergeCell ref="AL73:AL74"/>
    <mergeCell ref="AM73:AM74"/>
    <mergeCell ref="AN73:AN74"/>
    <mergeCell ref="AO73:AO74"/>
    <mergeCell ref="AP73:AP74"/>
    <mergeCell ref="AQ73:AQ74"/>
    <mergeCell ref="AL78:AL79"/>
    <mergeCell ref="AM78:AM79"/>
    <mergeCell ref="AN78:AN79"/>
    <mergeCell ref="F75:F76"/>
    <mergeCell ref="G75:G76"/>
    <mergeCell ref="H75:H76"/>
    <mergeCell ref="I75:I76"/>
    <mergeCell ref="J75:J76"/>
    <mergeCell ref="N75:N76"/>
    <mergeCell ref="Q75:Q76"/>
    <mergeCell ref="R75:R76"/>
    <mergeCell ref="S75:S76"/>
    <mergeCell ref="T75:T76"/>
    <mergeCell ref="U75:U76"/>
    <mergeCell ref="V75:V76"/>
    <mergeCell ref="AE73:AE74"/>
    <mergeCell ref="AF73:AF74"/>
    <mergeCell ref="AG73:AG74"/>
    <mergeCell ref="AH73:AH74"/>
    <mergeCell ref="W75:W76"/>
    <mergeCell ref="X75:X76"/>
    <mergeCell ref="Y75:Y76"/>
    <mergeCell ref="Z75:Z76"/>
    <mergeCell ref="AA75:AA76"/>
    <mergeCell ref="AB75:AB76"/>
    <mergeCell ref="AI73:AI74"/>
    <mergeCell ref="AJ73:AJ74"/>
    <mergeCell ref="AC75:AC76"/>
    <mergeCell ref="AD75:AD76"/>
    <mergeCell ref="AE75:AE76"/>
    <mergeCell ref="AF75:AF76"/>
    <mergeCell ref="AG75:AG76"/>
    <mergeCell ref="AH75:AH76"/>
    <mergeCell ref="AI75:AI76"/>
    <mergeCell ref="AJ75:AJ76"/>
    <mergeCell ref="AK75:AK76"/>
    <mergeCell ref="AL75:AL76"/>
    <mergeCell ref="AM75:AM76"/>
    <mergeCell ref="AN75:AN76"/>
    <mergeCell ref="AY75:AY76"/>
    <mergeCell ref="AZ75:AZ76"/>
    <mergeCell ref="AO75:AO76"/>
    <mergeCell ref="AP75:AP76"/>
    <mergeCell ref="AQ75:AQ76"/>
    <mergeCell ref="AR75:AR76"/>
    <mergeCell ref="AS75:AS76"/>
    <mergeCell ref="AT75:AT76"/>
    <mergeCell ref="AU75:AU76"/>
    <mergeCell ref="AV75:AV76"/>
    <mergeCell ref="AW75:AW76"/>
    <mergeCell ref="AX75:AX76"/>
    <mergeCell ref="C78:C79"/>
    <mergeCell ref="D78:D79"/>
    <mergeCell ref="E78:E79"/>
    <mergeCell ref="F78:F79"/>
    <mergeCell ref="G78:G79"/>
    <mergeCell ref="H78:H79"/>
    <mergeCell ref="I78:I79"/>
    <mergeCell ref="J78:J79"/>
    <mergeCell ref="N78:N79"/>
    <mergeCell ref="Q78:Q79"/>
    <mergeCell ref="R78:R79"/>
    <mergeCell ref="S78:S79"/>
    <mergeCell ref="T78:T79"/>
    <mergeCell ref="U78:U79"/>
    <mergeCell ref="W78:W79"/>
    <mergeCell ref="X78:X79"/>
    <mergeCell ref="Y78:Y79"/>
    <mergeCell ref="BA75:BA76"/>
    <mergeCell ref="BB75:BB76"/>
    <mergeCell ref="BC75:BC76"/>
    <mergeCell ref="BD75:BD76"/>
    <mergeCell ref="BE75:BE76"/>
    <mergeCell ref="BF75:BF76"/>
    <mergeCell ref="BG75:BG76"/>
    <mergeCell ref="BG78:BG79"/>
    <mergeCell ref="A80:A81"/>
    <mergeCell ref="B80:B81"/>
    <mergeCell ref="C80:C81"/>
    <mergeCell ref="D80:D81"/>
    <mergeCell ref="E80:E81"/>
    <mergeCell ref="F80:F81"/>
    <mergeCell ref="G80:G81"/>
    <mergeCell ref="H80:H81"/>
    <mergeCell ref="I80:I81"/>
    <mergeCell ref="J80:J81"/>
    <mergeCell ref="N80:N81"/>
    <mergeCell ref="Q80:Q81"/>
    <mergeCell ref="R80:R81"/>
    <mergeCell ref="S80:S81"/>
    <mergeCell ref="T80:T81"/>
    <mergeCell ref="U80:U81"/>
    <mergeCell ref="V80:V81"/>
    <mergeCell ref="W80:W81"/>
    <mergeCell ref="Z78:Z79"/>
    <mergeCell ref="AA78:AA79"/>
    <mergeCell ref="AB78:AB79"/>
    <mergeCell ref="A77:I77"/>
    <mergeCell ref="A78:A79"/>
    <mergeCell ref="B78:B79"/>
    <mergeCell ref="AC78:AC79"/>
    <mergeCell ref="AD78:AD79"/>
    <mergeCell ref="AE78:AE79"/>
    <mergeCell ref="AF78:AF79"/>
    <mergeCell ref="AG78:AG79"/>
    <mergeCell ref="AH78:AH79"/>
    <mergeCell ref="AI78:AI79"/>
    <mergeCell ref="AJ78:AJ79"/>
    <mergeCell ref="AK78:AK79"/>
    <mergeCell ref="V78:V79"/>
    <mergeCell ref="BG80:BG81"/>
    <mergeCell ref="X80:X81"/>
    <mergeCell ref="Y80:Y81"/>
    <mergeCell ref="Z80:Z81"/>
    <mergeCell ref="AA80:AA81"/>
    <mergeCell ref="AB80:AB81"/>
    <mergeCell ref="AC80:AC81"/>
    <mergeCell ref="AD80:AD81"/>
    <mergeCell ref="AE80:AE81"/>
    <mergeCell ref="AF80:AF81"/>
    <mergeCell ref="AG80:AG81"/>
    <mergeCell ref="AH80:AH81"/>
    <mergeCell ref="AI80:AI81"/>
    <mergeCell ref="AR78:AR79"/>
    <mergeCell ref="AS78:AS79"/>
    <mergeCell ref="AT78:AT79"/>
    <mergeCell ref="AU78:AU79"/>
    <mergeCell ref="AJ80:AJ81"/>
    <mergeCell ref="AK80:AK81"/>
    <mergeCell ref="AL80:AL81"/>
    <mergeCell ref="AM80:AM81"/>
    <mergeCell ref="AN80:AN81"/>
    <mergeCell ref="AO80:AO81"/>
    <mergeCell ref="AX78:AX79"/>
    <mergeCell ref="AY78:AY79"/>
    <mergeCell ref="AZ78:AZ79"/>
    <mergeCell ref="BA78:BA79"/>
    <mergeCell ref="BB78:BB79"/>
    <mergeCell ref="BC78:BC79"/>
    <mergeCell ref="BD78:BD79"/>
    <mergeCell ref="BE78:BE79"/>
    <mergeCell ref="BF78:BF79"/>
    <mergeCell ref="AP80:AP81"/>
    <mergeCell ref="AQ80:AQ81"/>
    <mergeCell ref="AR80:AR81"/>
    <mergeCell ref="AS80:AS81"/>
    <mergeCell ref="AT80:AT81"/>
    <mergeCell ref="AU80:AU81"/>
    <mergeCell ref="AV80:AV81"/>
    <mergeCell ref="AW80:AW81"/>
    <mergeCell ref="AX80:AX81"/>
    <mergeCell ref="AY80:AY81"/>
    <mergeCell ref="AZ80:AZ81"/>
    <mergeCell ref="BA80:BA81"/>
    <mergeCell ref="BB80:BB81"/>
    <mergeCell ref="BC80:BC81"/>
    <mergeCell ref="BD80:BD81"/>
    <mergeCell ref="BE80:BE81"/>
    <mergeCell ref="BF80:BF81"/>
    <mergeCell ref="AO78:AO79"/>
    <mergeCell ref="AP78:AP79"/>
    <mergeCell ref="AQ78:AQ79"/>
    <mergeCell ref="AV78:AV79"/>
    <mergeCell ref="AW78:AW79"/>
    <mergeCell ref="A82:A83"/>
    <mergeCell ref="B82:B83"/>
    <mergeCell ref="C82:C83"/>
    <mergeCell ref="D82:D83"/>
    <mergeCell ref="E82:E83"/>
    <mergeCell ref="F82:F83"/>
    <mergeCell ref="G82:G83"/>
    <mergeCell ref="H82:H83"/>
    <mergeCell ref="I82:I83"/>
    <mergeCell ref="J82:J83"/>
    <mergeCell ref="N82:N83"/>
    <mergeCell ref="Q82:Q83"/>
    <mergeCell ref="R82:R83"/>
    <mergeCell ref="S82:S83"/>
    <mergeCell ref="T82:T83"/>
    <mergeCell ref="U82:U83"/>
    <mergeCell ref="V82:V83"/>
    <mergeCell ref="AZ82:AZ83"/>
    <mergeCell ref="BA82:BA83"/>
    <mergeCell ref="BB82:BB83"/>
    <mergeCell ref="BC82:BC83"/>
    <mergeCell ref="BD82:BD83"/>
    <mergeCell ref="BE82:BE83"/>
    <mergeCell ref="W82:W83"/>
    <mergeCell ref="BC84:BC85"/>
    <mergeCell ref="BD84:BD85"/>
    <mergeCell ref="BE84:BE85"/>
    <mergeCell ref="BF82:BF83"/>
    <mergeCell ref="BG82:BG83"/>
    <mergeCell ref="X82:X83"/>
    <mergeCell ref="Y82:Y83"/>
    <mergeCell ref="Z82:Z83"/>
    <mergeCell ref="AA82:AA83"/>
    <mergeCell ref="AB82:AB83"/>
    <mergeCell ref="AC82:AC83"/>
    <mergeCell ref="AD82:AD83"/>
    <mergeCell ref="AE82:AE83"/>
    <mergeCell ref="AF82:AF83"/>
    <mergeCell ref="AG82:AG83"/>
    <mergeCell ref="AH82:AH83"/>
    <mergeCell ref="AI82:AI83"/>
    <mergeCell ref="AJ82:AJ83"/>
    <mergeCell ref="AK82:AK83"/>
    <mergeCell ref="AL82:AL83"/>
    <mergeCell ref="AM82:AM83"/>
    <mergeCell ref="AN82:AN83"/>
    <mergeCell ref="AO82:AO83"/>
    <mergeCell ref="BG84:BG85"/>
    <mergeCell ref="AM84:AM85"/>
    <mergeCell ref="Q84:Q85"/>
    <mergeCell ref="R84:R85"/>
    <mergeCell ref="S84:S85"/>
    <mergeCell ref="T84:T85"/>
    <mergeCell ref="U84:U85"/>
    <mergeCell ref="V84:V85"/>
    <mergeCell ref="W84:W85"/>
    <mergeCell ref="AP82:AP83"/>
    <mergeCell ref="AQ82:AQ83"/>
    <mergeCell ref="AR82:AR83"/>
    <mergeCell ref="AS82:AS83"/>
    <mergeCell ref="AT82:AT83"/>
    <mergeCell ref="AU82:AU83"/>
    <mergeCell ref="AV82:AV83"/>
    <mergeCell ref="AW82:AW83"/>
    <mergeCell ref="AX82:AX83"/>
    <mergeCell ref="AY82:AY83"/>
    <mergeCell ref="X84:X85"/>
    <mergeCell ref="Y84:Y85"/>
    <mergeCell ref="Z84:Z85"/>
    <mergeCell ref="AA84:AA85"/>
    <mergeCell ref="AB84:AB85"/>
    <mergeCell ref="AC84:AC85"/>
    <mergeCell ref="AD84:AD85"/>
    <mergeCell ref="AE84:AE85"/>
    <mergeCell ref="AF84:AF85"/>
    <mergeCell ref="AG84:AG85"/>
    <mergeCell ref="AH84:AH85"/>
    <mergeCell ref="AI84:AI85"/>
    <mergeCell ref="AJ84:AJ85"/>
    <mergeCell ref="AK84:AK85"/>
    <mergeCell ref="AL84:AL85"/>
    <mergeCell ref="AN84:AN85"/>
    <mergeCell ref="AO84:AO85"/>
    <mergeCell ref="AP84:AP85"/>
    <mergeCell ref="AQ84:AQ85"/>
    <mergeCell ref="AR84:AR85"/>
    <mergeCell ref="AS84:AS85"/>
    <mergeCell ref="AT84:AT85"/>
    <mergeCell ref="AU84:AU85"/>
    <mergeCell ref="AV84:AV85"/>
    <mergeCell ref="AW84:AW85"/>
    <mergeCell ref="AX84:AX85"/>
    <mergeCell ref="AY84:AY85"/>
    <mergeCell ref="AZ84:AZ85"/>
    <mergeCell ref="BA84:BA85"/>
    <mergeCell ref="BB84:BB85"/>
    <mergeCell ref="BG86:BG87"/>
    <mergeCell ref="AV86:AV87"/>
    <mergeCell ref="AW86:AW87"/>
    <mergeCell ref="AX86:AX87"/>
    <mergeCell ref="AY86:AY87"/>
    <mergeCell ref="AZ86:AZ87"/>
    <mergeCell ref="BA86:BA87"/>
    <mergeCell ref="AP86:AP87"/>
    <mergeCell ref="AQ86:AQ87"/>
    <mergeCell ref="AR86:AR87"/>
    <mergeCell ref="AS86:AS87"/>
    <mergeCell ref="AT86:AT87"/>
    <mergeCell ref="AU86:AU87"/>
    <mergeCell ref="A86:A87"/>
    <mergeCell ref="B86:B87"/>
    <mergeCell ref="C86:C87"/>
    <mergeCell ref="D86:D87"/>
    <mergeCell ref="E86:E87"/>
    <mergeCell ref="F86:F87"/>
    <mergeCell ref="G86:G87"/>
    <mergeCell ref="H86:H87"/>
    <mergeCell ref="I86:I87"/>
    <mergeCell ref="J86:J87"/>
    <mergeCell ref="N86:N87"/>
    <mergeCell ref="Q86:Q87"/>
    <mergeCell ref="AA86:AA87"/>
    <mergeCell ref="AB86:AB87"/>
    <mergeCell ref="AC86:AC87"/>
    <mergeCell ref="R86:R87"/>
    <mergeCell ref="S86:S87"/>
    <mergeCell ref="T86:T87"/>
    <mergeCell ref="U86:U87"/>
    <mergeCell ref="V86:V87"/>
    <mergeCell ref="W86:W87"/>
    <mergeCell ref="Y86:Y87"/>
    <mergeCell ref="Z86:Z87"/>
    <mergeCell ref="A88:I88"/>
    <mergeCell ref="A89:A90"/>
    <mergeCell ref="B89:B90"/>
    <mergeCell ref="C89:C90"/>
    <mergeCell ref="D89:D90"/>
    <mergeCell ref="E89:E90"/>
    <mergeCell ref="F89:F90"/>
    <mergeCell ref="G89:G90"/>
    <mergeCell ref="H89:H90"/>
    <mergeCell ref="I89:I90"/>
    <mergeCell ref="J89:J90"/>
    <mergeCell ref="N89:N90"/>
    <mergeCell ref="Q89:Q90"/>
    <mergeCell ref="R89:R90"/>
    <mergeCell ref="S89:S90"/>
    <mergeCell ref="T89:T90"/>
    <mergeCell ref="BF84:BF85"/>
    <mergeCell ref="BC86:BC87"/>
    <mergeCell ref="BD86:BD87"/>
    <mergeCell ref="BE86:BE87"/>
    <mergeCell ref="BF86:BF87"/>
    <mergeCell ref="A84:A85"/>
    <mergeCell ref="B84:B85"/>
    <mergeCell ref="C84:C85"/>
    <mergeCell ref="D84:D85"/>
    <mergeCell ref="E84:E85"/>
    <mergeCell ref="F84:F85"/>
    <mergeCell ref="G84:G85"/>
    <mergeCell ref="H84:H85"/>
    <mergeCell ref="I84:I85"/>
    <mergeCell ref="J84:J85"/>
    <mergeCell ref="N84:N85"/>
    <mergeCell ref="AD86:AD87"/>
    <mergeCell ref="AE86:AE87"/>
    <mergeCell ref="AF86:AF87"/>
    <mergeCell ref="AG86:AG87"/>
    <mergeCell ref="AH86:AH87"/>
    <mergeCell ref="AI86:AI87"/>
    <mergeCell ref="X86:X87"/>
    <mergeCell ref="BB86:BB87"/>
    <mergeCell ref="AJ86:AJ87"/>
    <mergeCell ref="AK86:AK87"/>
    <mergeCell ref="AL86:AL87"/>
    <mergeCell ref="AM86:AM87"/>
    <mergeCell ref="AN86:AN87"/>
    <mergeCell ref="AO86:AO87"/>
    <mergeCell ref="AS89:AS90"/>
    <mergeCell ref="AT89:AT90"/>
    <mergeCell ref="AU89:AU90"/>
    <mergeCell ref="AV89:AV90"/>
    <mergeCell ref="AW89:AW90"/>
    <mergeCell ref="AX89:AX90"/>
    <mergeCell ref="AY89:AY90"/>
    <mergeCell ref="AZ89:AZ90"/>
    <mergeCell ref="BA89:BA90"/>
    <mergeCell ref="BB89:BB90"/>
    <mergeCell ref="AO89:AO90"/>
    <mergeCell ref="AP89:AP90"/>
    <mergeCell ref="BE89:BE90"/>
    <mergeCell ref="BF89:BF90"/>
    <mergeCell ref="BG89:BG90"/>
    <mergeCell ref="A91:A92"/>
    <mergeCell ref="B91:B92"/>
    <mergeCell ref="C91:C92"/>
    <mergeCell ref="D91:D92"/>
    <mergeCell ref="E91:E92"/>
    <mergeCell ref="F91:F92"/>
    <mergeCell ref="G91:G92"/>
    <mergeCell ref="H91:H92"/>
    <mergeCell ref="I91:I92"/>
    <mergeCell ref="J91:J92"/>
    <mergeCell ref="N91:N92"/>
    <mergeCell ref="Q91:Q92"/>
    <mergeCell ref="R91:R92"/>
    <mergeCell ref="U89:U90"/>
    <mergeCell ref="V89:V90"/>
    <mergeCell ref="W89:W90"/>
    <mergeCell ref="X89:X90"/>
    <mergeCell ref="Y91:Y92"/>
    <mergeCell ref="Z91:Z92"/>
    <mergeCell ref="AA91:AA92"/>
    <mergeCell ref="AB91:AB92"/>
    <mergeCell ref="AC91:AC92"/>
    <mergeCell ref="AD91:AD92"/>
    <mergeCell ref="AE91:AE92"/>
    <mergeCell ref="AF91:AF92"/>
    <mergeCell ref="AG91:AG92"/>
    <mergeCell ref="AH91:AH92"/>
    <mergeCell ref="AM89:AM90"/>
    <mergeCell ref="AN89:AN90"/>
    <mergeCell ref="Y89:Y90"/>
    <mergeCell ref="Z89:Z90"/>
    <mergeCell ref="AA89:AA90"/>
    <mergeCell ref="AB89:AB90"/>
    <mergeCell ref="AC89:AC90"/>
    <mergeCell ref="AD89:AD90"/>
    <mergeCell ref="AE89:AE90"/>
    <mergeCell ref="AF89:AF90"/>
    <mergeCell ref="AS91:AS92"/>
    <mergeCell ref="BC89:BC90"/>
    <mergeCell ref="BD89:BD90"/>
    <mergeCell ref="AV91:AV92"/>
    <mergeCell ref="AW91:AW92"/>
    <mergeCell ref="AX91:AX92"/>
    <mergeCell ref="AY91:AY92"/>
    <mergeCell ref="AZ91:AZ92"/>
    <mergeCell ref="BA91:BA92"/>
    <mergeCell ref="BB91:BB92"/>
    <mergeCell ref="BC91:BC92"/>
    <mergeCell ref="BD91:BD92"/>
    <mergeCell ref="AN91:AN92"/>
    <mergeCell ref="AQ89:AQ90"/>
    <mergeCell ref="AR89:AR90"/>
    <mergeCell ref="AG89:AG90"/>
    <mergeCell ref="AH89:AH90"/>
    <mergeCell ref="AI89:AI90"/>
    <mergeCell ref="AJ89:AJ90"/>
    <mergeCell ref="AK89:AK90"/>
    <mergeCell ref="AU91:AU92"/>
    <mergeCell ref="AL89:AL90"/>
    <mergeCell ref="AW93:AW94"/>
    <mergeCell ref="AX93:AX94"/>
    <mergeCell ref="AY93:AY94"/>
    <mergeCell ref="AZ93:AZ94"/>
    <mergeCell ref="BA93:BA94"/>
    <mergeCell ref="BB93:BB94"/>
    <mergeCell ref="BC93:BC94"/>
    <mergeCell ref="BD93:BD94"/>
    <mergeCell ref="BE93:BE94"/>
    <mergeCell ref="BF93:BF94"/>
    <mergeCell ref="AS93:AS94"/>
    <mergeCell ref="BE91:BE92"/>
    <mergeCell ref="BF91:BF92"/>
    <mergeCell ref="BG91:BG92"/>
    <mergeCell ref="A93:A94"/>
    <mergeCell ref="B93:B94"/>
    <mergeCell ref="C93:C94"/>
    <mergeCell ref="D93:D94"/>
    <mergeCell ref="E93:E94"/>
    <mergeCell ref="F93:F94"/>
    <mergeCell ref="G93:G94"/>
    <mergeCell ref="H93:H94"/>
    <mergeCell ref="I93:I94"/>
    <mergeCell ref="J93:J94"/>
    <mergeCell ref="N93:N94"/>
    <mergeCell ref="S91:S92"/>
    <mergeCell ref="T91:T92"/>
    <mergeCell ref="U91:U92"/>
    <mergeCell ref="V91:V92"/>
    <mergeCell ref="W91:W92"/>
    <mergeCell ref="X91:X92"/>
    <mergeCell ref="AB93:AB94"/>
    <mergeCell ref="AI93:AI94"/>
    <mergeCell ref="AJ93:AJ94"/>
    <mergeCell ref="AK93:AK94"/>
    <mergeCell ref="AL93:AL94"/>
    <mergeCell ref="AK95:AK96"/>
    <mergeCell ref="AL95:AL96"/>
    <mergeCell ref="AO93:AO94"/>
    <mergeCell ref="AP93:AP94"/>
    <mergeCell ref="AQ93:AQ94"/>
    <mergeCell ref="AR93:AR94"/>
    <mergeCell ref="AM93:AM94"/>
    <mergeCell ref="AN93:AN94"/>
    <mergeCell ref="AQ91:AQ92"/>
    <mergeCell ref="AR91:AR92"/>
    <mergeCell ref="AT93:AT94"/>
    <mergeCell ref="AT91:AT92"/>
    <mergeCell ref="AI91:AI92"/>
    <mergeCell ref="AJ91:AJ92"/>
    <mergeCell ref="AN95:AN96"/>
    <mergeCell ref="AO95:AO96"/>
    <mergeCell ref="AP95:AP96"/>
    <mergeCell ref="AQ95:AQ96"/>
    <mergeCell ref="AR95:AR96"/>
    <mergeCell ref="AS95:AS96"/>
    <mergeCell ref="AT95:AT96"/>
    <mergeCell ref="AO91:AO92"/>
    <mergeCell ref="AP91:AP92"/>
    <mergeCell ref="AC93:AC94"/>
    <mergeCell ref="AD93:AD94"/>
    <mergeCell ref="AE93:AE94"/>
    <mergeCell ref="AF93:AF94"/>
    <mergeCell ref="AG93:AG94"/>
    <mergeCell ref="AH93:AH94"/>
    <mergeCell ref="AK91:AK92"/>
    <mergeCell ref="AL91:AL92"/>
    <mergeCell ref="AM91:AM92"/>
    <mergeCell ref="D95:D96"/>
    <mergeCell ref="E95:E96"/>
    <mergeCell ref="F95:F96"/>
    <mergeCell ref="G95:G96"/>
    <mergeCell ref="H95:H96"/>
    <mergeCell ref="I95:I96"/>
    <mergeCell ref="Q93:Q94"/>
    <mergeCell ref="R93:R94"/>
    <mergeCell ref="S93:S94"/>
    <mergeCell ref="T93:T94"/>
    <mergeCell ref="U93:U94"/>
    <mergeCell ref="V93:V94"/>
    <mergeCell ref="W93:W94"/>
    <mergeCell ref="X93:X94"/>
    <mergeCell ref="Y93:Y94"/>
    <mergeCell ref="AA95:AA96"/>
    <mergeCell ref="AA93:AA94"/>
    <mergeCell ref="Z93:Z94"/>
    <mergeCell ref="AE95:AE96"/>
    <mergeCell ref="AF95:AF96"/>
    <mergeCell ref="AM95:AM96"/>
    <mergeCell ref="AG95:AG96"/>
    <mergeCell ref="AB95:AB96"/>
    <mergeCell ref="AU93:AU94"/>
    <mergeCell ref="AV93:AV94"/>
    <mergeCell ref="BA95:BA96"/>
    <mergeCell ref="BB95:BB96"/>
    <mergeCell ref="BC95:BC96"/>
    <mergeCell ref="BD95:BD96"/>
    <mergeCell ref="BE95:BE96"/>
    <mergeCell ref="BF95:BF96"/>
    <mergeCell ref="BG95:BG96"/>
    <mergeCell ref="A97:I97"/>
    <mergeCell ref="A98:A99"/>
    <mergeCell ref="B98:B99"/>
    <mergeCell ref="C98:C99"/>
    <mergeCell ref="D98:D99"/>
    <mergeCell ref="E98:E99"/>
    <mergeCell ref="F98:F99"/>
    <mergeCell ref="J95:J96"/>
    <mergeCell ref="N95:N96"/>
    <mergeCell ref="Q95:Q96"/>
    <mergeCell ref="R95:R96"/>
    <mergeCell ref="S95:S96"/>
    <mergeCell ref="T95:T96"/>
    <mergeCell ref="U95:U96"/>
    <mergeCell ref="V95:V96"/>
    <mergeCell ref="W95:W96"/>
    <mergeCell ref="X95:X96"/>
    <mergeCell ref="Y95:Y96"/>
    <mergeCell ref="Z95:Z96"/>
    <mergeCell ref="BG93:BG94"/>
    <mergeCell ref="A95:A96"/>
    <mergeCell ref="B95:B96"/>
    <mergeCell ref="C95:C96"/>
    <mergeCell ref="BG98:BG99"/>
    <mergeCell ref="A100:A101"/>
    <mergeCell ref="B100:B101"/>
    <mergeCell ref="C100:C101"/>
    <mergeCell ref="D100:D101"/>
    <mergeCell ref="E100:E101"/>
    <mergeCell ref="F100:F101"/>
    <mergeCell ref="G98:G99"/>
    <mergeCell ref="H98:H99"/>
    <mergeCell ref="I98:I99"/>
    <mergeCell ref="J98:J99"/>
    <mergeCell ref="N98:N99"/>
    <mergeCell ref="Q98:Q99"/>
    <mergeCell ref="R98:R99"/>
    <mergeCell ref="S98:S99"/>
    <mergeCell ref="T98:T99"/>
    <mergeCell ref="U98:U99"/>
    <mergeCell ref="V98:V99"/>
    <mergeCell ref="AY100:AY101"/>
    <mergeCell ref="AZ100:AZ101"/>
    <mergeCell ref="BA100:BA101"/>
    <mergeCell ref="BB100:BB101"/>
    <mergeCell ref="BC100:BC101"/>
    <mergeCell ref="BD100:BD101"/>
    <mergeCell ref="BE100:BE101"/>
    <mergeCell ref="BF100:BF101"/>
    <mergeCell ref="BG100:BG101"/>
    <mergeCell ref="AD100:AD101"/>
    <mergeCell ref="AE100:AE101"/>
    <mergeCell ref="AU95:AU96"/>
    <mergeCell ref="AH95:AH96"/>
    <mergeCell ref="AI95:AI96"/>
    <mergeCell ref="AJ95:AJ96"/>
    <mergeCell ref="W98:W99"/>
    <mergeCell ref="AV95:AV96"/>
    <mergeCell ref="AW95:AW96"/>
    <mergeCell ref="AX95:AX96"/>
    <mergeCell ref="AY95:AY96"/>
    <mergeCell ref="AZ95:AZ96"/>
    <mergeCell ref="X98:X99"/>
    <mergeCell ref="Y98:Y99"/>
    <mergeCell ref="Z98:Z99"/>
    <mergeCell ref="AA98:AA99"/>
    <mergeCell ref="AB98:AB99"/>
    <mergeCell ref="AC98:AC99"/>
    <mergeCell ref="AP98:AP99"/>
    <mergeCell ref="AQ98:AQ99"/>
    <mergeCell ref="AR98:AR99"/>
    <mergeCell ref="AS98:AS99"/>
    <mergeCell ref="AT98:AT99"/>
    <mergeCell ref="AU98:AU99"/>
    <mergeCell ref="AV98:AV99"/>
    <mergeCell ref="AW98:AW99"/>
    <mergeCell ref="AX98:AX99"/>
    <mergeCell ref="AY98:AY99"/>
    <mergeCell ref="AZ98:AZ99"/>
    <mergeCell ref="AF98:AF99"/>
    <mergeCell ref="AG98:AG99"/>
    <mergeCell ref="AH98:AH99"/>
    <mergeCell ref="AI98:AI99"/>
    <mergeCell ref="AJ98:AJ99"/>
    <mergeCell ref="AC95:AC96"/>
    <mergeCell ref="AD95:AD96"/>
    <mergeCell ref="BA98:BA99"/>
    <mergeCell ref="BB98:BB99"/>
    <mergeCell ref="BC98:BC99"/>
    <mergeCell ref="BD98:BD99"/>
    <mergeCell ref="BE98:BE99"/>
    <mergeCell ref="BF98:BF99"/>
    <mergeCell ref="W100:W101"/>
    <mergeCell ref="AF100:AF101"/>
    <mergeCell ref="AG100:AG101"/>
    <mergeCell ref="AH100:AH101"/>
    <mergeCell ref="AI100:AI101"/>
    <mergeCell ref="X100:X101"/>
    <mergeCell ref="Y100:Y101"/>
    <mergeCell ref="Z100:Z101"/>
    <mergeCell ref="AA100:AA101"/>
    <mergeCell ref="AB100:AB101"/>
    <mergeCell ref="AC100:AC101"/>
    <mergeCell ref="AK98:AK99"/>
    <mergeCell ref="AL98:AL99"/>
    <mergeCell ref="AM98:AM99"/>
    <mergeCell ref="AN98:AN99"/>
    <mergeCell ref="AO98:AO99"/>
    <mergeCell ref="AD98:AD99"/>
    <mergeCell ref="AE98:AE99"/>
    <mergeCell ref="AS100:AS101"/>
    <mergeCell ref="AT100:AT101"/>
    <mergeCell ref="AU100:AU101"/>
    <mergeCell ref="AV100:AV101"/>
    <mergeCell ref="AW100:AW101"/>
    <mergeCell ref="AX100:AX101"/>
    <mergeCell ref="A102:A103"/>
    <mergeCell ref="B102:B103"/>
    <mergeCell ref="C102:C103"/>
    <mergeCell ref="D102:D103"/>
    <mergeCell ref="E102:E103"/>
    <mergeCell ref="F102:F103"/>
    <mergeCell ref="G100:G101"/>
    <mergeCell ref="H100:H101"/>
    <mergeCell ref="I100:I101"/>
    <mergeCell ref="J100:J101"/>
    <mergeCell ref="N100:N101"/>
    <mergeCell ref="Q100:Q101"/>
    <mergeCell ref="R100:R101"/>
    <mergeCell ref="S100:S101"/>
    <mergeCell ref="T100:T101"/>
    <mergeCell ref="U100:U101"/>
    <mergeCell ref="V100:V101"/>
    <mergeCell ref="AF102:AF103"/>
    <mergeCell ref="AG102:AG103"/>
    <mergeCell ref="AH102:AH103"/>
    <mergeCell ref="AI102:AI103"/>
    <mergeCell ref="AD102:AD103"/>
    <mergeCell ref="AE102:AE103"/>
    <mergeCell ref="AJ100:AJ101"/>
    <mergeCell ref="AK100:AK101"/>
    <mergeCell ref="AL100:AL101"/>
    <mergeCell ref="AM100:AM101"/>
    <mergeCell ref="AN100:AN101"/>
    <mergeCell ref="AO100:AO101"/>
    <mergeCell ref="AP100:AP101"/>
    <mergeCell ref="AQ100:AQ101"/>
    <mergeCell ref="AR100:AR101"/>
    <mergeCell ref="BA102:BA103"/>
    <mergeCell ref="BB102:BB103"/>
    <mergeCell ref="AM102:AM103"/>
    <mergeCell ref="AN102:AN103"/>
    <mergeCell ref="AO102:AO103"/>
    <mergeCell ref="AP102:AP103"/>
    <mergeCell ref="AQ102:AQ103"/>
    <mergeCell ref="AR102:AR103"/>
    <mergeCell ref="AS102:AS103"/>
    <mergeCell ref="AT102:AT103"/>
    <mergeCell ref="AU102:AU103"/>
    <mergeCell ref="AV102:AV103"/>
    <mergeCell ref="AW102:AW103"/>
    <mergeCell ref="AX102:AX103"/>
    <mergeCell ref="AY102:AY103"/>
    <mergeCell ref="AZ102:AZ103"/>
    <mergeCell ref="BC102:BC103"/>
    <mergeCell ref="BD102:BD103"/>
    <mergeCell ref="BE102:BE103"/>
    <mergeCell ref="BF102:BF103"/>
    <mergeCell ref="BG102:BG103"/>
    <mergeCell ref="A104:A105"/>
    <mergeCell ref="B104:B105"/>
    <mergeCell ref="C104:C105"/>
    <mergeCell ref="D104:D105"/>
    <mergeCell ref="E104:E105"/>
    <mergeCell ref="F104:F105"/>
    <mergeCell ref="G102:G103"/>
    <mergeCell ref="H102:H103"/>
    <mergeCell ref="I102:I103"/>
    <mergeCell ref="J102:J103"/>
    <mergeCell ref="N102:N103"/>
    <mergeCell ref="Q102:Q103"/>
    <mergeCell ref="R102:R103"/>
    <mergeCell ref="S102:S103"/>
    <mergeCell ref="T102:T103"/>
    <mergeCell ref="U102:U103"/>
    <mergeCell ref="V102:V103"/>
    <mergeCell ref="W102:W103"/>
    <mergeCell ref="X102:X103"/>
    <mergeCell ref="Y102:Y103"/>
    <mergeCell ref="Z102:Z103"/>
    <mergeCell ref="AA102:AA103"/>
    <mergeCell ref="AB102:AB103"/>
    <mergeCell ref="AC102:AC103"/>
    <mergeCell ref="AJ102:AJ103"/>
    <mergeCell ref="AK102:AK103"/>
    <mergeCell ref="AL102:AL103"/>
    <mergeCell ref="A106:I106"/>
    <mergeCell ref="A107:I107"/>
    <mergeCell ref="BB104:BB105"/>
    <mergeCell ref="BC104:BC105"/>
    <mergeCell ref="BD104:BD105"/>
    <mergeCell ref="BE104:BE105"/>
    <mergeCell ref="AP104:AP105"/>
    <mergeCell ref="AQ104:AQ105"/>
    <mergeCell ref="AR104:AR105"/>
    <mergeCell ref="AS104:AS105"/>
    <mergeCell ref="G104:G105"/>
    <mergeCell ref="H104:H105"/>
    <mergeCell ref="I104:I105"/>
    <mergeCell ref="J104:J105"/>
    <mergeCell ref="N104:N105"/>
    <mergeCell ref="Q104:Q105"/>
    <mergeCell ref="R104:R105"/>
    <mergeCell ref="S104:S105"/>
    <mergeCell ref="T104:T105"/>
    <mergeCell ref="U104:U105"/>
    <mergeCell ref="V104:V105"/>
    <mergeCell ref="W104:W105"/>
    <mergeCell ref="X104:X105"/>
    <mergeCell ref="Y104:Y105"/>
    <mergeCell ref="BF104:BF105"/>
    <mergeCell ref="BG104:BG105"/>
    <mergeCell ref="AV104:AV105"/>
    <mergeCell ref="AW104:AW105"/>
    <mergeCell ref="AX104:AX105"/>
    <mergeCell ref="AY104:AY105"/>
    <mergeCell ref="AZ104:AZ105"/>
    <mergeCell ref="BA104:BA105"/>
    <mergeCell ref="Z104:Z105"/>
    <mergeCell ref="AA104:AA105"/>
    <mergeCell ref="AB104:AB105"/>
    <mergeCell ref="AC104:AC105"/>
    <mergeCell ref="AD104:AD105"/>
    <mergeCell ref="AE104:AE105"/>
    <mergeCell ref="AF104:AF105"/>
    <mergeCell ref="AG104:AG105"/>
    <mergeCell ref="AH104:AH105"/>
    <mergeCell ref="AI104:AI105"/>
    <mergeCell ref="AT104:AT105"/>
    <mergeCell ref="AU104:AU105"/>
    <mergeCell ref="AJ104:AJ105"/>
    <mergeCell ref="AK104:AK105"/>
    <mergeCell ref="AL104:AL105"/>
    <mergeCell ref="AM104:AM105"/>
    <mergeCell ref="AN104:AN105"/>
    <mergeCell ref="AO104:AO105"/>
  </mergeCells>
  <phoneticPr fontId="61" type="noConversion"/>
  <pageMargins left="0" right="0" top="0" bottom="0" header="0" footer="0"/>
  <pageSetup paperSize="9" scale="65"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3"/>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4" sqref="A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45285</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42" si="0">L5-M5</f>
        <v>0</v>
      </c>
      <c r="P5" s="27">
        <v>0</v>
      </c>
      <c r="Q5" s="99">
        <f>+L6-P6</f>
        <v>1</v>
      </c>
      <c r="R5" s="85" t="s">
        <v>87</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2194+35</f>
        <v>2229</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6.5" customHeight="1">
      <c r="A7" s="108">
        <v>45285</v>
      </c>
      <c r="B7" s="87" t="s">
        <v>37</v>
      </c>
      <c r="C7" s="89">
        <v>1</v>
      </c>
      <c r="D7" s="91" t="s">
        <v>38</v>
      </c>
      <c r="E7" s="89">
        <v>84217</v>
      </c>
      <c r="F7" s="89" t="s">
        <v>49</v>
      </c>
      <c r="G7" s="93" t="s">
        <v>71</v>
      </c>
      <c r="H7" s="90" t="s">
        <v>47</v>
      </c>
      <c r="I7" s="90">
        <v>2804</v>
      </c>
      <c r="J7" s="90">
        <v>2804</v>
      </c>
      <c r="K7" s="20">
        <v>28</v>
      </c>
      <c r="L7" s="20">
        <v>28</v>
      </c>
      <c r="M7" s="20">
        <v>28</v>
      </c>
      <c r="N7" s="97">
        <f>O8/L8</f>
        <v>0.5166726425242022</v>
      </c>
      <c r="O7" s="21">
        <f t="shared" si="0"/>
        <v>0</v>
      </c>
      <c r="P7" s="27">
        <v>241</v>
      </c>
      <c r="Q7" s="99">
        <f>+L8-P8</f>
        <v>164</v>
      </c>
      <c r="R7" s="85"/>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380+305+280+275+155+323+260+280+365+138+28</f>
        <v>2789</v>
      </c>
      <c r="L8" s="18">
        <f>270+420+350+255+363+280+320+300+203+28</f>
        <v>2789</v>
      </c>
      <c r="M8" s="18">
        <f>75+240+191+116+194+124+141+139+100+28</f>
        <v>1348</v>
      </c>
      <c r="N8" s="98"/>
      <c r="O8" s="19">
        <f t="shared" si="0"/>
        <v>1441</v>
      </c>
      <c r="P8" s="22">
        <f>75+240+269+187+501+328+274+264+246+241</f>
        <v>2625</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45285</v>
      </c>
      <c r="B9" s="87" t="s">
        <v>37</v>
      </c>
      <c r="C9" s="89">
        <v>1</v>
      </c>
      <c r="D9" s="91" t="s">
        <v>38</v>
      </c>
      <c r="E9" s="89">
        <v>84217</v>
      </c>
      <c r="F9" s="89" t="s">
        <v>76</v>
      </c>
      <c r="G9" s="93" t="s">
        <v>71</v>
      </c>
      <c r="H9" s="90" t="s">
        <v>80</v>
      </c>
      <c r="I9" s="90">
        <v>1452</v>
      </c>
      <c r="J9" s="90">
        <v>1452</v>
      </c>
      <c r="K9" s="20">
        <v>27</v>
      </c>
      <c r="L9" s="20">
        <v>27</v>
      </c>
      <c r="M9" s="20">
        <v>10</v>
      </c>
      <c r="N9" s="97">
        <f>O10/L10</f>
        <v>0.72552447552447552</v>
      </c>
      <c r="O9" s="21">
        <f t="shared" si="0"/>
        <v>17</v>
      </c>
      <c r="P9" s="27">
        <v>137</v>
      </c>
      <c r="Q9" s="99">
        <f>+L10-P10</f>
        <v>35</v>
      </c>
      <c r="R9" s="85"/>
      <c r="S9" s="96"/>
      <c r="T9" s="96">
        <v>2</v>
      </c>
      <c r="U9" s="96">
        <v>4</v>
      </c>
      <c r="V9" s="96"/>
      <c r="W9" s="96"/>
      <c r="X9" s="96"/>
      <c r="Y9" s="96"/>
      <c r="Z9" s="96"/>
      <c r="AA9" s="96"/>
      <c r="AB9" s="96"/>
      <c r="AC9" s="96"/>
      <c r="AD9" s="96"/>
      <c r="AE9" s="96">
        <v>2</v>
      </c>
      <c r="AF9" s="96"/>
      <c r="AG9" s="96"/>
      <c r="AH9" s="96">
        <v>5</v>
      </c>
      <c r="AI9" s="96"/>
      <c r="AJ9" s="96"/>
      <c r="AK9" s="96"/>
      <c r="AL9" s="96">
        <v>4</v>
      </c>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53+88+29+47+80+98+101+49+27</f>
        <v>572</v>
      </c>
      <c r="L10" s="18">
        <f>10+44+80+80+83+80+94+74+27</f>
        <v>572</v>
      </c>
      <c r="M10" s="18">
        <f>10+30+20+23+20+20+24+10</f>
        <v>157</v>
      </c>
      <c r="N10" s="98"/>
      <c r="O10" s="19">
        <f t="shared" si="0"/>
        <v>415</v>
      </c>
      <c r="P10" s="22">
        <f>10+74+20+37+30+186+43+137</f>
        <v>537</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45285</v>
      </c>
      <c r="B11" s="87" t="s">
        <v>37</v>
      </c>
      <c r="C11" s="89">
        <v>1</v>
      </c>
      <c r="D11" s="91" t="s">
        <v>38</v>
      </c>
      <c r="E11" s="89">
        <v>84217</v>
      </c>
      <c r="F11" s="89" t="s">
        <v>76</v>
      </c>
      <c r="G11" s="93" t="s">
        <v>71</v>
      </c>
      <c r="H11" s="90" t="s">
        <v>75</v>
      </c>
      <c r="I11" s="90">
        <v>2615</v>
      </c>
      <c r="J11" s="90">
        <v>2615</v>
      </c>
      <c r="K11" s="20">
        <f>215+63</f>
        <v>278</v>
      </c>
      <c r="L11" s="20">
        <f>255+63</f>
        <v>318</v>
      </c>
      <c r="M11" s="20">
        <f>131+15</f>
        <v>146</v>
      </c>
      <c r="N11" s="97">
        <f>O12/L12</f>
        <v>0.6109358569926393</v>
      </c>
      <c r="O11" s="21">
        <f t="shared" si="0"/>
        <v>172</v>
      </c>
      <c r="P11" s="27">
        <f>131+117</f>
        <v>248</v>
      </c>
      <c r="Q11" s="99">
        <f>+L12-P12</f>
        <v>213</v>
      </c>
      <c r="R11" s="85"/>
      <c r="S11" s="96">
        <v>6</v>
      </c>
      <c r="T11" s="96">
        <f>63+5</f>
        <v>68</v>
      </c>
      <c r="U11" s="96">
        <v>8</v>
      </c>
      <c r="V11" s="96"/>
      <c r="W11" s="96"/>
      <c r="X11" s="96">
        <v>3</v>
      </c>
      <c r="Y11" s="96"/>
      <c r="Z11" s="96"/>
      <c r="AA11" s="96"/>
      <c r="AB11" s="96"/>
      <c r="AC11" s="96">
        <v>26</v>
      </c>
      <c r="AD11" s="96"/>
      <c r="AE11" s="96">
        <v>3</v>
      </c>
      <c r="AF11" s="96">
        <f>18+5</f>
        <v>23</v>
      </c>
      <c r="AG11" s="96">
        <v>7</v>
      </c>
      <c r="AH11" s="96">
        <v>18</v>
      </c>
      <c r="AI11" s="96"/>
      <c r="AJ11" s="96"/>
      <c r="AK11" s="96"/>
      <c r="AL11" s="96">
        <v>10</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111+127+62+63+122+58+130+215+63</f>
        <v>951</v>
      </c>
      <c r="L12" s="18">
        <f>10+198+92+63+122+58+90+255+63</f>
        <v>951</v>
      </c>
      <c r="M12" s="18">
        <f>70+33+11+39+20+51+131+15</f>
        <v>370</v>
      </c>
      <c r="N12" s="98"/>
      <c r="O12" s="19">
        <f t="shared" si="0"/>
        <v>581</v>
      </c>
      <c r="P12" s="22">
        <f>80+47+182+62+68+51+131+117</f>
        <v>738</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5.75" customHeight="1">
      <c r="A13" s="108">
        <v>45285</v>
      </c>
      <c r="B13" s="87" t="s">
        <v>37</v>
      </c>
      <c r="C13" s="89">
        <v>1</v>
      </c>
      <c r="D13" s="91" t="s">
        <v>38</v>
      </c>
      <c r="E13" s="89">
        <v>84212</v>
      </c>
      <c r="F13" s="89" t="s">
        <v>49</v>
      </c>
      <c r="G13" s="93" t="s">
        <v>55</v>
      </c>
      <c r="H13" s="90" t="s">
        <v>67</v>
      </c>
      <c r="I13" s="90">
        <v>1813</v>
      </c>
      <c r="J13" s="90">
        <v>1813</v>
      </c>
      <c r="K13" s="20">
        <v>4</v>
      </c>
      <c r="L13" s="20">
        <v>4</v>
      </c>
      <c r="M13" s="20">
        <v>4</v>
      </c>
      <c r="N13" s="97">
        <f>O14/L14</f>
        <v>0.75717439293598232</v>
      </c>
      <c r="O13" s="21">
        <f t="shared" si="0"/>
        <v>0</v>
      </c>
      <c r="P13" s="27">
        <v>4</v>
      </c>
      <c r="Q13" s="99">
        <f>+L14-P14</f>
        <v>0</v>
      </c>
      <c r="R13" s="85"/>
      <c r="S13" s="96"/>
      <c r="T13" s="96"/>
      <c r="U13" s="96"/>
      <c r="V13" s="96"/>
      <c r="W13" s="96"/>
      <c r="X13" s="96"/>
      <c r="Y13" s="96"/>
      <c r="Z13" s="96"/>
      <c r="AA13" s="96"/>
      <c r="AB13" s="96"/>
      <c r="AC13" s="96"/>
      <c r="AD13" s="96"/>
      <c r="AE13" s="96"/>
      <c r="AF13" s="96"/>
      <c r="AG13" s="96"/>
      <c r="AH13" s="96"/>
      <c r="AI13" s="96"/>
      <c r="AJ13" s="96"/>
      <c r="AK13" s="96"/>
      <c r="AL13" s="96"/>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272+145+148+175+345+259+198+95+65+82+13+11+4</f>
        <v>1812</v>
      </c>
      <c r="L14" s="18">
        <f>30+110+235+150+484+100+160+348+142+38+11+4</f>
        <v>1812</v>
      </c>
      <c r="M14" s="18">
        <f>5+10+50+40+110+10+55+118+27+11+4</f>
        <v>440</v>
      </c>
      <c r="N14" s="98"/>
      <c r="O14" s="19">
        <f t="shared" si="0"/>
        <v>1372</v>
      </c>
      <c r="P14" s="22">
        <f>5+10+65+80+262+130+217+170+330+32+171+120+146+59+11+4</f>
        <v>1812</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5.75" customHeight="1">
      <c r="A15" s="108">
        <v>45285</v>
      </c>
      <c r="B15" s="87" t="s">
        <v>37</v>
      </c>
      <c r="C15" s="89">
        <v>1</v>
      </c>
      <c r="D15" s="91" t="s">
        <v>38</v>
      </c>
      <c r="E15" s="89">
        <v>84212</v>
      </c>
      <c r="F15" s="89" t="s">
        <v>49</v>
      </c>
      <c r="G15" s="93" t="s">
        <v>55</v>
      </c>
      <c r="H15" s="90" t="s">
        <v>62</v>
      </c>
      <c r="I15" s="90">
        <v>2218</v>
      </c>
      <c r="J15" s="90">
        <v>1640</v>
      </c>
      <c r="K15" s="20">
        <v>21</v>
      </c>
      <c r="L15" s="20">
        <v>21</v>
      </c>
      <c r="M15" s="20">
        <v>13</v>
      </c>
      <c r="N15" s="97">
        <f>O16/L16</f>
        <v>0.66829268292682931</v>
      </c>
      <c r="O15" s="21">
        <f t="shared" si="0"/>
        <v>8</v>
      </c>
      <c r="P15" s="27">
        <v>183</v>
      </c>
      <c r="Q15" s="99">
        <f>+L16-P16</f>
        <v>0</v>
      </c>
      <c r="R15" s="85"/>
      <c r="S15" s="96"/>
      <c r="T15" s="96">
        <v>2</v>
      </c>
      <c r="U15" s="96"/>
      <c r="V15" s="96"/>
      <c r="W15" s="96"/>
      <c r="X15" s="96"/>
      <c r="Y15" s="96"/>
      <c r="Z15" s="96"/>
      <c r="AA15" s="96"/>
      <c r="AB15" s="96"/>
      <c r="AC15" s="96">
        <v>4</v>
      </c>
      <c r="AD15" s="96"/>
      <c r="AE15" s="96"/>
      <c r="AF15" s="96"/>
      <c r="AG15" s="96"/>
      <c r="AH15" s="96"/>
      <c r="AI15" s="96"/>
      <c r="AJ15" s="96"/>
      <c r="AK15" s="96"/>
      <c r="AL15" s="96">
        <v>2</v>
      </c>
      <c r="AM15" s="103"/>
      <c r="AN15" s="103"/>
      <c r="AO15" s="103"/>
      <c r="AP15" s="103"/>
      <c r="AQ15" s="103"/>
      <c r="AR15" s="103"/>
      <c r="AS15" s="103"/>
      <c r="AT15" s="103"/>
      <c r="AU15" s="103"/>
      <c r="AV15" s="103"/>
      <c r="AW15" s="103"/>
      <c r="AX15" s="103"/>
      <c r="AY15" s="106"/>
      <c r="AZ15" s="106"/>
      <c r="BA15" s="106"/>
      <c r="BB15" s="106"/>
      <c r="BC15" s="106"/>
      <c r="BD15" s="106"/>
      <c r="BE15" s="103"/>
      <c r="BF15" s="104"/>
      <c r="BG15" s="104"/>
    </row>
    <row r="16" spans="1:59" s="17" customFormat="1" ht="15.75" customHeight="1">
      <c r="A16" s="85"/>
      <c r="B16" s="88"/>
      <c r="C16" s="90"/>
      <c r="D16" s="92"/>
      <c r="E16" s="90"/>
      <c r="F16" s="90"/>
      <c r="G16" s="94"/>
      <c r="H16" s="95"/>
      <c r="I16" s="95"/>
      <c r="J16" s="95"/>
      <c r="K16" s="22">
        <f>166+95+22+85+70+260+370+120+220+200+11+21</f>
        <v>1640</v>
      </c>
      <c r="L16" s="18">
        <f>40+40+160+43+115+140+230+340+210+210+91+21</f>
        <v>1640</v>
      </c>
      <c r="M16" s="18">
        <f>6+14+50+20+50+60+110+90+60+40+31+13</f>
        <v>544</v>
      </c>
      <c r="N16" s="98"/>
      <c r="O16" s="19">
        <f t="shared" si="0"/>
        <v>1096</v>
      </c>
      <c r="P16" s="22">
        <f>6+14+50+28+64+69+71+77+120+253+93+337+179+96+183</f>
        <v>1640</v>
      </c>
      <c r="Q16" s="100"/>
      <c r="R16" s="86"/>
      <c r="S16" s="96"/>
      <c r="T16" s="96"/>
      <c r="U16" s="96"/>
      <c r="V16" s="96"/>
      <c r="W16" s="96"/>
      <c r="X16" s="96"/>
      <c r="Y16" s="96"/>
      <c r="Z16" s="96"/>
      <c r="AA16" s="96"/>
      <c r="AB16" s="96"/>
      <c r="AC16" s="96"/>
      <c r="AD16" s="96"/>
      <c r="AE16" s="96"/>
      <c r="AF16" s="96"/>
      <c r="AG16" s="96"/>
      <c r="AH16" s="96"/>
      <c r="AI16" s="96"/>
      <c r="AJ16" s="96"/>
      <c r="AK16" s="96"/>
      <c r="AL16" s="96"/>
      <c r="AM16" s="103"/>
      <c r="AN16" s="103"/>
      <c r="AO16" s="103"/>
      <c r="AP16" s="103"/>
      <c r="AQ16" s="103"/>
      <c r="AR16" s="103"/>
      <c r="AS16" s="103"/>
      <c r="AT16" s="103"/>
      <c r="AU16" s="103"/>
      <c r="AV16" s="103"/>
      <c r="AW16" s="103"/>
      <c r="AX16" s="103"/>
      <c r="AY16" s="107"/>
      <c r="AZ16" s="107"/>
      <c r="BA16" s="107"/>
      <c r="BB16" s="107"/>
      <c r="BC16" s="107"/>
      <c r="BD16" s="107"/>
      <c r="BE16" s="103"/>
      <c r="BF16" s="105"/>
      <c r="BG16" s="105"/>
    </row>
    <row r="17" spans="1:59" s="17" customFormat="1" ht="15.75" customHeight="1">
      <c r="A17" s="108">
        <v>45285</v>
      </c>
      <c r="B17" s="87" t="s">
        <v>37</v>
      </c>
      <c r="C17" s="89">
        <v>1</v>
      </c>
      <c r="D17" s="91" t="s">
        <v>38</v>
      </c>
      <c r="E17" s="89">
        <v>84212</v>
      </c>
      <c r="F17" s="89" t="s">
        <v>49</v>
      </c>
      <c r="G17" s="93" t="s">
        <v>55</v>
      </c>
      <c r="H17" s="90" t="s">
        <v>50</v>
      </c>
      <c r="I17" s="90">
        <v>588</v>
      </c>
      <c r="J17" s="90">
        <v>588</v>
      </c>
      <c r="K17" s="20">
        <v>5</v>
      </c>
      <c r="L17" s="20">
        <v>5</v>
      </c>
      <c r="M17" s="20">
        <v>5</v>
      </c>
      <c r="N17" s="97">
        <f>O18/L18</f>
        <v>0.55442176870748294</v>
      </c>
      <c r="O17" s="21">
        <f t="shared" si="0"/>
        <v>0</v>
      </c>
      <c r="P17" s="27">
        <v>103</v>
      </c>
      <c r="Q17" s="99">
        <f>+L18-P18</f>
        <v>0</v>
      </c>
      <c r="R17" s="85"/>
      <c r="S17" s="96"/>
      <c r="T17" s="96"/>
      <c r="U17" s="96"/>
      <c r="V17" s="96"/>
      <c r="W17" s="96"/>
      <c r="X17" s="96"/>
      <c r="Y17" s="96"/>
      <c r="Z17" s="96"/>
      <c r="AA17" s="96"/>
      <c r="AB17" s="96"/>
      <c r="AC17" s="96"/>
      <c r="AD17" s="96"/>
      <c r="AE17" s="96"/>
      <c r="AF17" s="96"/>
      <c r="AG17" s="96"/>
      <c r="AH17" s="96"/>
      <c r="AI17" s="96"/>
      <c r="AJ17" s="96"/>
      <c r="AK17" s="96"/>
      <c r="AL17" s="96"/>
      <c r="AM17" s="103"/>
      <c r="AN17" s="103"/>
      <c r="AO17" s="103"/>
      <c r="AP17" s="103"/>
      <c r="AQ17" s="103"/>
      <c r="AR17" s="103"/>
      <c r="AS17" s="103"/>
      <c r="AT17" s="103"/>
      <c r="AU17" s="103"/>
      <c r="AV17" s="103"/>
      <c r="AW17" s="103"/>
      <c r="AX17" s="103"/>
      <c r="AY17" s="106"/>
      <c r="AZ17" s="106"/>
      <c r="BA17" s="106"/>
      <c r="BB17" s="106"/>
      <c r="BC17" s="106"/>
      <c r="BD17" s="106"/>
      <c r="BE17" s="103"/>
      <c r="BF17" s="104"/>
      <c r="BG17" s="104"/>
    </row>
    <row r="18" spans="1:59" s="17" customFormat="1" ht="15.75" customHeight="1">
      <c r="A18" s="85"/>
      <c r="B18" s="88"/>
      <c r="C18" s="90"/>
      <c r="D18" s="92"/>
      <c r="E18" s="90"/>
      <c r="F18" s="90"/>
      <c r="G18" s="94"/>
      <c r="H18" s="95"/>
      <c r="I18" s="95"/>
      <c r="J18" s="95"/>
      <c r="K18" s="72">
        <f>114+135+90+80+60+104+5</f>
        <v>588</v>
      </c>
      <c r="L18" s="18">
        <f>77+105+80+120+57+144+5</f>
        <v>588</v>
      </c>
      <c r="M18" s="18">
        <f>37+57+30+50+27+56+5</f>
        <v>262</v>
      </c>
      <c r="N18" s="98"/>
      <c r="O18" s="19">
        <f t="shared" si="0"/>
        <v>326</v>
      </c>
      <c r="P18" s="22">
        <f>37+57+45+173+97+76+103</f>
        <v>588</v>
      </c>
      <c r="Q18" s="100"/>
      <c r="R18" s="86"/>
      <c r="S18" s="96"/>
      <c r="T18" s="96"/>
      <c r="U18" s="96"/>
      <c r="V18" s="96"/>
      <c r="W18" s="96"/>
      <c r="X18" s="96"/>
      <c r="Y18" s="96"/>
      <c r="Z18" s="96"/>
      <c r="AA18" s="96"/>
      <c r="AB18" s="96"/>
      <c r="AC18" s="96"/>
      <c r="AD18" s="96"/>
      <c r="AE18" s="96"/>
      <c r="AF18" s="96"/>
      <c r="AG18" s="96"/>
      <c r="AH18" s="96"/>
      <c r="AI18" s="96"/>
      <c r="AJ18" s="96"/>
      <c r="AK18" s="96"/>
      <c r="AL18" s="96"/>
      <c r="AM18" s="103"/>
      <c r="AN18" s="103"/>
      <c r="AO18" s="103"/>
      <c r="AP18" s="103"/>
      <c r="AQ18" s="103"/>
      <c r="AR18" s="103"/>
      <c r="AS18" s="103"/>
      <c r="AT18" s="103"/>
      <c r="AU18" s="103"/>
      <c r="AV18" s="103"/>
      <c r="AW18" s="103"/>
      <c r="AX18" s="103"/>
      <c r="AY18" s="107"/>
      <c r="AZ18" s="107"/>
      <c r="BA18" s="107"/>
      <c r="BB18" s="107"/>
      <c r="BC18" s="107"/>
      <c r="BD18" s="107"/>
      <c r="BE18" s="103"/>
      <c r="BF18" s="105"/>
      <c r="BG18" s="105"/>
    </row>
    <row r="19" spans="1:59" s="17" customFormat="1" ht="15.75" customHeight="1">
      <c r="A19" s="108">
        <v>45285</v>
      </c>
      <c r="B19" s="87" t="s">
        <v>37</v>
      </c>
      <c r="C19" s="89">
        <v>1</v>
      </c>
      <c r="D19" s="91" t="s">
        <v>38</v>
      </c>
      <c r="E19" s="89">
        <v>84212</v>
      </c>
      <c r="F19" s="89" t="s">
        <v>49</v>
      </c>
      <c r="G19" s="93" t="s">
        <v>61</v>
      </c>
      <c r="H19" s="89" t="s">
        <v>50</v>
      </c>
      <c r="I19" s="89">
        <v>925</v>
      </c>
      <c r="J19" s="89">
        <v>925</v>
      </c>
      <c r="K19" s="20">
        <v>125</v>
      </c>
      <c r="L19" s="20">
        <v>125</v>
      </c>
      <c r="M19" s="20">
        <v>42</v>
      </c>
      <c r="N19" s="146">
        <f>O20/L20</f>
        <v>0.68867924528301883</v>
      </c>
      <c r="O19" s="21">
        <f t="shared" si="0"/>
        <v>83</v>
      </c>
      <c r="P19" s="27">
        <v>136</v>
      </c>
      <c r="Q19" s="99">
        <f>+L20-P20</f>
        <v>82</v>
      </c>
      <c r="R19" s="108"/>
      <c r="S19" s="149"/>
      <c r="T19" s="149">
        <v>16</v>
      </c>
      <c r="U19" s="149">
        <v>7</v>
      </c>
      <c r="V19" s="149"/>
      <c r="W19" s="149"/>
      <c r="X19" s="149">
        <v>2</v>
      </c>
      <c r="Y19" s="149"/>
      <c r="Z19" s="149"/>
      <c r="AA19" s="149"/>
      <c r="AB19" s="149"/>
      <c r="AC19" s="149">
        <v>7</v>
      </c>
      <c r="AD19" s="149"/>
      <c r="AE19" s="149">
        <v>5</v>
      </c>
      <c r="AF19" s="149">
        <v>7</v>
      </c>
      <c r="AG19" s="149">
        <v>15</v>
      </c>
      <c r="AH19" s="149">
        <v>10</v>
      </c>
      <c r="AI19" s="149"/>
      <c r="AJ19" s="149"/>
      <c r="AK19" s="149"/>
      <c r="AL19" s="149">
        <v>14</v>
      </c>
      <c r="AM19" s="163"/>
      <c r="AN19" s="163"/>
      <c r="AO19" s="163"/>
      <c r="AP19" s="163"/>
      <c r="AQ19" s="163"/>
      <c r="AR19" s="163"/>
      <c r="AS19" s="163"/>
      <c r="AT19" s="163"/>
      <c r="AU19" s="163"/>
      <c r="AV19" s="163"/>
      <c r="AW19" s="163"/>
      <c r="AX19" s="163"/>
      <c r="AY19" s="167"/>
      <c r="AZ19" s="167"/>
      <c r="BA19" s="167"/>
      <c r="BB19" s="167"/>
      <c r="BC19" s="167"/>
      <c r="BD19" s="167"/>
      <c r="BE19" s="163"/>
      <c r="BF19" s="165"/>
      <c r="BG19" s="165"/>
    </row>
    <row r="20" spans="1:59" s="17" customFormat="1" ht="15.75" customHeight="1">
      <c r="A20" s="85"/>
      <c r="B20" s="88"/>
      <c r="C20" s="90"/>
      <c r="D20" s="92"/>
      <c r="E20" s="90"/>
      <c r="F20" s="90"/>
      <c r="G20" s="94"/>
      <c r="H20" s="90"/>
      <c r="I20" s="90"/>
      <c r="J20" s="90"/>
      <c r="K20" s="22">
        <f>53+10+70+60+125</f>
        <v>318</v>
      </c>
      <c r="L20" s="18">
        <f>63+70+60+125</f>
        <v>318</v>
      </c>
      <c r="M20" s="18">
        <f>24+18+15+42</f>
        <v>99</v>
      </c>
      <c r="N20" s="147"/>
      <c r="O20" s="19">
        <f t="shared" si="0"/>
        <v>219</v>
      </c>
      <c r="P20" s="22">
        <f>24+38+38+136</f>
        <v>236</v>
      </c>
      <c r="Q20" s="100"/>
      <c r="R20" s="85"/>
      <c r="S20" s="150"/>
      <c r="T20" s="150"/>
      <c r="U20" s="150"/>
      <c r="V20" s="150"/>
      <c r="W20" s="150"/>
      <c r="X20" s="150"/>
      <c r="Y20" s="150"/>
      <c r="Z20" s="150"/>
      <c r="AA20" s="150"/>
      <c r="AB20" s="150"/>
      <c r="AC20" s="150"/>
      <c r="AD20" s="150"/>
      <c r="AE20" s="150"/>
      <c r="AF20" s="150"/>
      <c r="AG20" s="150"/>
      <c r="AH20" s="150"/>
      <c r="AI20" s="150"/>
      <c r="AJ20" s="150"/>
      <c r="AK20" s="150"/>
      <c r="AL20" s="150"/>
      <c r="AM20" s="164"/>
      <c r="AN20" s="164"/>
      <c r="AO20" s="164"/>
      <c r="AP20" s="164"/>
      <c r="AQ20" s="164"/>
      <c r="AR20" s="164"/>
      <c r="AS20" s="164"/>
      <c r="AT20" s="164"/>
      <c r="AU20" s="164"/>
      <c r="AV20" s="164"/>
      <c r="AW20" s="164"/>
      <c r="AX20" s="164"/>
      <c r="AY20" s="168"/>
      <c r="AZ20" s="168"/>
      <c r="BA20" s="168"/>
      <c r="BB20" s="168"/>
      <c r="BC20" s="168"/>
      <c r="BD20" s="168"/>
      <c r="BE20" s="164"/>
      <c r="BF20" s="166"/>
      <c r="BG20" s="166"/>
    </row>
    <row r="21" spans="1:59" s="17" customFormat="1" ht="15.75" customHeight="1">
      <c r="A21" s="108">
        <v>45285</v>
      </c>
      <c r="B21" s="87" t="s">
        <v>37</v>
      </c>
      <c r="C21" s="89">
        <v>1</v>
      </c>
      <c r="D21" s="91" t="s">
        <v>38</v>
      </c>
      <c r="E21" s="89">
        <v>84212</v>
      </c>
      <c r="F21" s="89" t="s">
        <v>49</v>
      </c>
      <c r="G21" s="93" t="s">
        <v>61</v>
      </c>
      <c r="H21" s="89" t="s">
        <v>62</v>
      </c>
      <c r="I21" s="89">
        <v>1327</v>
      </c>
      <c r="J21" s="89">
        <v>1327</v>
      </c>
      <c r="K21" s="20">
        <v>30</v>
      </c>
      <c r="L21" s="20">
        <v>30</v>
      </c>
      <c r="M21" s="20">
        <v>0</v>
      </c>
      <c r="N21" s="146">
        <f>O22/L22</f>
        <v>0.83636363636363631</v>
      </c>
      <c r="O21" s="21">
        <f t="shared" si="0"/>
        <v>30</v>
      </c>
      <c r="P21" s="27">
        <v>60</v>
      </c>
      <c r="Q21" s="99">
        <f>+L22-P22</f>
        <v>100</v>
      </c>
      <c r="R21" s="108"/>
      <c r="S21" s="149"/>
      <c r="T21" s="149">
        <v>6</v>
      </c>
      <c r="U21" s="149">
        <v>1</v>
      </c>
      <c r="V21" s="149"/>
      <c r="W21" s="149"/>
      <c r="X21" s="149"/>
      <c r="Y21" s="149"/>
      <c r="Z21" s="149">
        <v>8</v>
      </c>
      <c r="AA21" s="149"/>
      <c r="AB21" s="149"/>
      <c r="AC21" s="149">
        <v>3</v>
      </c>
      <c r="AD21" s="149"/>
      <c r="AE21" s="149"/>
      <c r="AF21" s="149"/>
      <c r="AG21" s="149"/>
      <c r="AH21" s="149">
        <v>6</v>
      </c>
      <c r="AI21" s="149"/>
      <c r="AJ21" s="149"/>
      <c r="AK21" s="149"/>
      <c r="AL21" s="149">
        <v>6</v>
      </c>
      <c r="AM21" s="163"/>
      <c r="AN21" s="163"/>
      <c r="AO21" s="163"/>
      <c r="AP21" s="163"/>
      <c r="AQ21" s="163"/>
      <c r="AR21" s="163"/>
      <c r="AS21" s="163"/>
      <c r="AT21" s="163"/>
      <c r="AU21" s="163"/>
      <c r="AV21" s="163"/>
      <c r="AW21" s="163"/>
      <c r="AX21" s="163"/>
      <c r="AY21" s="167"/>
      <c r="AZ21" s="167"/>
      <c r="BA21" s="167"/>
      <c r="BB21" s="167"/>
      <c r="BC21" s="167"/>
      <c r="BD21" s="167"/>
      <c r="BE21" s="163"/>
      <c r="BF21" s="165"/>
      <c r="BG21" s="165"/>
    </row>
    <row r="22" spans="1:59" s="17" customFormat="1" ht="15.75" customHeight="1">
      <c r="A22" s="85"/>
      <c r="B22" s="88"/>
      <c r="C22" s="90"/>
      <c r="D22" s="92"/>
      <c r="E22" s="90"/>
      <c r="F22" s="90"/>
      <c r="G22" s="94"/>
      <c r="H22" s="90"/>
      <c r="I22" s="90"/>
      <c r="J22" s="90"/>
      <c r="K22" s="22">
        <f>49+35+106+30</f>
        <v>220</v>
      </c>
      <c r="L22" s="18">
        <f>49+35+106+30</f>
        <v>220</v>
      </c>
      <c r="M22" s="18">
        <f>5+5+26</f>
        <v>36</v>
      </c>
      <c r="N22" s="147"/>
      <c r="O22" s="19">
        <f t="shared" si="0"/>
        <v>184</v>
      </c>
      <c r="P22" s="22">
        <f>5+25+30+60</f>
        <v>120</v>
      </c>
      <c r="Q22" s="100"/>
      <c r="R22" s="85"/>
      <c r="S22" s="150"/>
      <c r="T22" s="150"/>
      <c r="U22" s="150"/>
      <c r="V22" s="150"/>
      <c r="W22" s="150"/>
      <c r="X22" s="150"/>
      <c r="Y22" s="150"/>
      <c r="Z22" s="150"/>
      <c r="AA22" s="150"/>
      <c r="AB22" s="150"/>
      <c r="AC22" s="150"/>
      <c r="AD22" s="150"/>
      <c r="AE22" s="150"/>
      <c r="AF22" s="150"/>
      <c r="AG22" s="150"/>
      <c r="AH22" s="150"/>
      <c r="AI22" s="150"/>
      <c r="AJ22" s="150"/>
      <c r="AK22" s="150"/>
      <c r="AL22" s="150"/>
      <c r="AM22" s="164"/>
      <c r="AN22" s="164"/>
      <c r="AO22" s="164"/>
      <c r="AP22" s="164"/>
      <c r="AQ22" s="164"/>
      <c r="AR22" s="164"/>
      <c r="AS22" s="164"/>
      <c r="AT22" s="164"/>
      <c r="AU22" s="164"/>
      <c r="AV22" s="164"/>
      <c r="AW22" s="164"/>
      <c r="AX22" s="164"/>
      <c r="AY22" s="168"/>
      <c r="AZ22" s="168"/>
      <c r="BA22" s="168"/>
      <c r="BB22" s="168"/>
      <c r="BC22" s="168"/>
      <c r="BD22" s="168"/>
      <c r="BE22" s="164"/>
      <c r="BF22" s="166"/>
      <c r="BG22" s="166"/>
    </row>
    <row r="23" spans="1:59" s="17" customFormat="1" ht="15.75" customHeight="1">
      <c r="A23" s="108">
        <v>45285</v>
      </c>
      <c r="B23" s="87" t="s">
        <v>37</v>
      </c>
      <c r="C23" s="89">
        <v>1</v>
      </c>
      <c r="D23" s="91" t="s">
        <v>38</v>
      </c>
      <c r="E23" s="89">
        <v>84212</v>
      </c>
      <c r="F23" s="89" t="s">
        <v>49</v>
      </c>
      <c r="G23" s="93" t="s">
        <v>63</v>
      </c>
      <c r="H23" s="89" t="s">
        <v>62</v>
      </c>
      <c r="I23" s="89">
        <v>2344</v>
      </c>
      <c r="J23" s="89">
        <v>2344</v>
      </c>
      <c r="K23" s="20">
        <v>84</v>
      </c>
      <c r="L23" s="20">
        <v>84</v>
      </c>
      <c r="M23" s="20">
        <v>24</v>
      </c>
      <c r="N23" s="146">
        <f>O24/L24</f>
        <v>0.84391080617495717</v>
      </c>
      <c r="O23" s="21">
        <f t="shared" si="0"/>
        <v>60</v>
      </c>
      <c r="P23" s="27">
        <v>105</v>
      </c>
      <c r="Q23" s="99">
        <f>+L24-P24</f>
        <v>103</v>
      </c>
      <c r="R23" s="108"/>
      <c r="S23" s="149"/>
      <c r="T23" s="149">
        <v>15</v>
      </c>
      <c r="U23" s="149"/>
      <c r="V23" s="149"/>
      <c r="W23" s="149"/>
      <c r="X23" s="149"/>
      <c r="Y23" s="149"/>
      <c r="Z23" s="149"/>
      <c r="AA23" s="149"/>
      <c r="AB23" s="149"/>
      <c r="AC23" s="149">
        <v>7</v>
      </c>
      <c r="AD23" s="149"/>
      <c r="AE23" s="149">
        <v>8</v>
      </c>
      <c r="AF23" s="149">
        <v>10</v>
      </c>
      <c r="AG23" s="149"/>
      <c r="AH23" s="149">
        <v>15</v>
      </c>
      <c r="AI23" s="149"/>
      <c r="AJ23" s="149"/>
      <c r="AK23" s="149"/>
      <c r="AL23" s="149">
        <v>5</v>
      </c>
      <c r="AM23" s="163"/>
      <c r="AN23" s="163"/>
      <c r="AO23" s="163"/>
      <c r="AP23" s="163"/>
      <c r="AQ23" s="163"/>
      <c r="AR23" s="163"/>
      <c r="AS23" s="163"/>
      <c r="AT23" s="163"/>
      <c r="AU23" s="163"/>
      <c r="AV23" s="163"/>
      <c r="AW23" s="163"/>
      <c r="AX23" s="163"/>
      <c r="AY23" s="167"/>
      <c r="AZ23" s="167"/>
      <c r="BA23" s="167"/>
      <c r="BB23" s="167"/>
      <c r="BC23" s="167"/>
      <c r="BD23" s="167"/>
      <c r="BE23" s="163"/>
      <c r="BF23" s="165"/>
      <c r="BG23" s="165"/>
    </row>
    <row r="24" spans="1:59" s="17" customFormat="1" ht="15.75" customHeight="1">
      <c r="A24" s="85"/>
      <c r="B24" s="88"/>
      <c r="C24" s="90"/>
      <c r="D24" s="92"/>
      <c r="E24" s="90"/>
      <c r="F24" s="90"/>
      <c r="G24" s="94"/>
      <c r="H24" s="90"/>
      <c r="I24" s="90"/>
      <c r="J24" s="90"/>
      <c r="K24" s="22">
        <f>102+90+70+80+97+60+84</f>
        <v>583</v>
      </c>
      <c r="L24" s="18">
        <f>32+110+120+80+97+60+84</f>
        <v>583</v>
      </c>
      <c r="M24" s="18">
        <f>20+20+10+17+24</f>
        <v>91</v>
      </c>
      <c r="N24" s="147"/>
      <c r="O24" s="19">
        <f t="shared" si="0"/>
        <v>492</v>
      </c>
      <c r="P24" s="22">
        <f>20+80+126+76+73+105</f>
        <v>480</v>
      </c>
      <c r="Q24" s="100"/>
      <c r="R24" s="85"/>
      <c r="S24" s="150"/>
      <c r="T24" s="150"/>
      <c r="U24" s="150"/>
      <c r="V24" s="150"/>
      <c r="W24" s="150"/>
      <c r="X24" s="150"/>
      <c r="Y24" s="150"/>
      <c r="Z24" s="150"/>
      <c r="AA24" s="150"/>
      <c r="AB24" s="150"/>
      <c r="AC24" s="150"/>
      <c r="AD24" s="150"/>
      <c r="AE24" s="150"/>
      <c r="AF24" s="150"/>
      <c r="AG24" s="150"/>
      <c r="AH24" s="150"/>
      <c r="AI24" s="150"/>
      <c r="AJ24" s="150"/>
      <c r="AK24" s="150"/>
      <c r="AL24" s="150"/>
      <c r="AM24" s="164"/>
      <c r="AN24" s="164"/>
      <c r="AO24" s="164"/>
      <c r="AP24" s="164"/>
      <c r="AQ24" s="164"/>
      <c r="AR24" s="164"/>
      <c r="AS24" s="164"/>
      <c r="AT24" s="164"/>
      <c r="AU24" s="164"/>
      <c r="AV24" s="164"/>
      <c r="AW24" s="164"/>
      <c r="AX24" s="164"/>
      <c r="AY24" s="168"/>
      <c r="AZ24" s="168"/>
      <c r="BA24" s="168"/>
      <c r="BB24" s="168"/>
      <c r="BC24" s="168"/>
      <c r="BD24" s="168"/>
      <c r="BE24" s="164"/>
      <c r="BF24" s="166"/>
      <c r="BG24" s="166"/>
    </row>
    <row r="25" spans="1:59" s="17" customFormat="1" ht="15.75" customHeight="1">
      <c r="A25" s="108">
        <v>45285</v>
      </c>
      <c r="B25" s="87" t="s">
        <v>37</v>
      </c>
      <c r="C25" s="89">
        <v>1</v>
      </c>
      <c r="D25" s="91" t="s">
        <v>38</v>
      </c>
      <c r="E25" s="89">
        <v>84212</v>
      </c>
      <c r="F25" s="89" t="s">
        <v>49</v>
      </c>
      <c r="G25" s="93" t="s">
        <v>63</v>
      </c>
      <c r="H25" s="89" t="s">
        <v>41</v>
      </c>
      <c r="I25" s="89">
        <v>1732</v>
      </c>
      <c r="J25" s="89">
        <v>1732</v>
      </c>
      <c r="K25" s="20">
        <v>73</v>
      </c>
      <c r="L25" s="20">
        <v>140</v>
      </c>
      <c r="M25" s="20">
        <v>70</v>
      </c>
      <c r="N25" s="146">
        <f>O26/L26</f>
        <v>0.55882352941176472</v>
      </c>
      <c r="O25" s="21">
        <f t="shared" si="0"/>
        <v>70</v>
      </c>
      <c r="P25" s="27">
        <v>70</v>
      </c>
      <c r="Q25" s="99">
        <f>+L26-P26</f>
        <v>190</v>
      </c>
      <c r="R25" s="108"/>
      <c r="S25" s="149"/>
      <c r="T25" s="149">
        <v>12</v>
      </c>
      <c r="U25" s="149"/>
      <c r="V25" s="149"/>
      <c r="W25" s="149"/>
      <c r="X25" s="149">
        <v>2</v>
      </c>
      <c r="Y25" s="149">
        <v>4</v>
      </c>
      <c r="Z25" s="149"/>
      <c r="AA25" s="149"/>
      <c r="AB25" s="149"/>
      <c r="AC25" s="149">
        <v>11</v>
      </c>
      <c r="AD25" s="149"/>
      <c r="AE25" s="149">
        <v>4</v>
      </c>
      <c r="AF25" s="149">
        <v>7</v>
      </c>
      <c r="AG25" s="149">
        <v>4</v>
      </c>
      <c r="AH25" s="149">
        <v>16</v>
      </c>
      <c r="AI25" s="149"/>
      <c r="AJ25" s="149"/>
      <c r="AK25" s="149"/>
      <c r="AL25" s="149">
        <v>10</v>
      </c>
      <c r="AM25" s="163"/>
      <c r="AN25" s="163"/>
      <c r="AO25" s="163"/>
      <c r="AP25" s="163"/>
      <c r="AQ25" s="163"/>
      <c r="AR25" s="163"/>
      <c r="AS25" s="163"/>
      <c r="AT25" s="163"/>
      <c r="AU25" s="163"/>
      <c r="AV25" s="163"/>
      <c r="AW25" s="163"/>
      <c r="AX25" s="163"/>
      <c r="AY25" s="167"/>
      <c r="AZ25" s="167"/>
      <c r="BA25" s="167"/>
      <c r="BB25" s="167"/>
      <c r="BC25" s="167"/>
      <c r="BD25" s="167"/>
      <c r="BE25" s="163"/>
      <c r="BF25" s="165"/>
      <c r="BG25" s="165"/>
    </row>
    <row r="26" spans="1:59" s="17" customFormat="1" ht="15.75" customHeight="1">
      <c r="A26" s="85"/>
      <c r="B26" s="88"/>
      <c r="C26" s="90"/>
      <c r="D26" s="92"/>
      <c r="E26" s="90"/>
      <c r="F26" s="90"/>
      <c r="G26" s="94"/>
      <c r="H26" s="90"/>
      <c r="I26" s="90"/>
      <c r="J26" s="90"/>
      <c r="K26" s="22">
        <f>120+210+73</f>
        <v>403</v>
      </c>
      <c r="L26" s="18">
        <f>40+160+140</f>
        <v>340</v>
      </c>
      <c r="M26" s="18">
        <f>10+70+70</f>
        <v>150</v>
      </c>
      <c r="N26" s="147"/>
      <c r="O26" s="19">
        <f t="shared" si="0"/>
        <v>190</v>
      </c>
      <c r="P26" s="22">
        <f>10+70+70</f>
        <v>150</v>
      </c>
      <c r="Q26" s="100"/>
      <c r="R26" s="85"/>
      <c r="S26" s="150"/>
      <c r="T26" s="150"/>
      <c r="U26" s="150"/>
      <c r="V26" s="150"/>
      <c r="W26" s="150"/>
      <c r="X26" s="150"/>
      <c r="Y26" s="150"/>
      <c r="Z26" s="150"/>
      <c r="AA26" s="150"/>
      <c r="AB26" s="150"/>
      <c r="AC26" s="150"/>
      <c r="AD26" s="150"/>
      <c r="AE26" s="150"/>
      <c r="AF26" s="150"/>
      <c r="AG26" s="150"/>
      <c r="AH26" s="150"/>
      <c r="AI26" s="150"/>
      <c r="AJ26" s="150"/>
      <c r="AK26" s="150"/>
      <c r="AL26" s="150"/>
      <c r="AM26" s="164"/>
      <c r="AN26" s="164"/>
      <c r="AO26" s="164"/>
      <c r="AP26" s="164"/>
      <c r="AQ26" s="164"/>
      <c r="AR26" s="164"/>
      <c r="AS26" s="164"/>
      <c r="AT26" s="164"/>
      <c r="AU26" s="164"/>
      <c r="AV26" s="164"/>
      <c r="AW26" s="164"/>
      <c r="AX26" s="164"/>
      <c r="AY26" s="168"/>
      <c r="AZ26" s="168"/>
      <c r="BA26" s="168"/>
      <c r="BB26" s="168"/>
      <c r="BC26" s="168"/>
      <c r="BD26" s="168"/>
      <c r="BE26" s="164"/>
      <c r="BF26" s="166"/>
      <c r="BG26" s="166"/>
    </row>
    <row r="27" spans="1:59" s="17" customFormat="1" ht="15.75" customHeight="1">
      <c r="A27" s="108">
        <v>45285</v>
      </c>
      <c r="B27" s="87" t="s">
        <v>37</v>
      </c>
      <c r="C27" s="89">
        <v>1</v>
      </c>
      <c r="D27" s="91" t="s">
        <v>38</v>
      </c>
      <c r="E27" s="89">
        <v>84212</v>
      </c>
      <c r="F27" s="89" t="s">
        <v>49</v>
      </c>
      <c r="G27" s="93" t="s">
        <v>63</v>
      </c>
      <c r="H27" s="89" t="s">
        <v>65</v>
      </c>
      <c r="I27" s="89">
        <v>532</v>
      </c>
      <c r="J27" s="89">
        <v>532</v>
      </c>
      <c r="K27" s="20">
        <v>60</v>
      </c>
      <c r="L27" s="20">
        <v>40</v>
      </c>
      <c r="M27" s="20">
        <v>30</v>
      </c>
      <c r="N27" s="146">
        <f>O28/L28</f>
        <v>0.25</v>
      </c>
      <c r="O27" s="21">
        <f t="shared" si="0"/>
        <v>10</v>
      </c>
      <c r="P27" s="27">
        <v>30</v>
      </c>
      <c r="Q27" s="99">
        <f>+L28-P28</f>
        <v>10</v>
      </c>
      <c r="R27" s="108"/>
      <c r="S27" s="149"/>
      <c r="T27" s="149">
        <v>5</v>
      </c>
      <c r="U27" s="149"/>
      <c r="V27" s="149"/>
      <c r="W27" s="149"/>
      <c r="X27" s="149"/>
      <c r="Y27" s="149"/>
      <c r="Z27" s="149"/>
      <c r="AA27" s="149"/>
      <c r="AB27" s="149"/>
      <c r="AC27" s="149">
        <v>2</v>
      </c>
      <c r="AD27" s="149"/>
      <c r="AE27" s="149"/>
      <c r="AF27" s="149"/>
      <c r="AG27" s="149">
        <v>1</v>
      </c>
      <c r="AH27" s="149">
        <v>2</v>
      </c>
      <c r="AI27" s="149"/>
      <c r="AJ27" s="149"/>
      <c r="AK27" s="149"/>
      <c r="AL27" s="149"/>
      <c r="AM27" s="163"/>
      <c r="AN27" s="163"/>
      <c r="AO27" s="163"/>
      <c r="AP27" s="163"/>
      <c r="AQ27" s="163"/>
      <c r="AR27" s="163"/>
      <c r="AS27" s="163"/>
      <c r="AT27" s="163"/>
      <c r="AU27" s="163"/>
      <c r="AV27" s="163"/>
      <c r="AW27" s="163"/>
      <c r="AX27" s="163"/>
      <c r="AY27" s="167"/>
      <c r="AZ27" s="167"/>
      <c r="BA27" s="167"/>
      <c r="BB27" s="167"/>
      <c r="BC27" s="167"/>
      <c r="BD27" s="167"/>
      <c r="BE27" s="163"/>
      <c r="BF27" s="165"/>
      <c r="BG27" s="165"/>
    </row>
    <row r="28" spans="1:59" s="17" customFormat="1" ht="15.75" customHeight="1">
      <c r="A28" s="85"/>
      <c r="B28" s="88"/>
      <c r="C28" s="90"/>
      <c r="D28" s="92"/>
      <c r="E28" s="90"/>
      <c r="F28" s="90"/>
      <c r="G28" s="94"/>
      <c r="H28" s="90"/>
      <c r="I28" s="90"/>
      <c r="J28" s="90"/>
      <c r="K28" s="22">
        <f>60</f>
        <v>60</v>
      </c>
      <c r="L28" s="18">
        <f>40</f>
        <v>40</v>
      </c>
      <c r="M28" s="18">
        <f>30</f>
        <v>30</v>
      </c>
      <c r="N28" s="147"/>
      <c r="O28" s="19">
        <f t="shared" si="0"/>
        <v>10</v>
      </c>
      <c r="P28" s="22">
        <f>30</f>
        <v>30</v>
      </c>
      <c r="Q28" s="100"/>
      <c r="R28" s="85"/>
      <c r="S28" s="150"/>
      <c r="T28" s="150"/>
      <c r="U28" s="150"/>
      <c r="V28" s="150"/>
      <c r="W28" s="150"/>
      <c r="X28" s="150"/>
      <c r="Y28" s="150"/>
      <c r="Z28" s="150"/>
      <c r="AA28" s="150"/>
      <c r="AB28" s="150"/>
      <c r="AC28" s="150"/>
      <c r="AD28" s="150"/>
      <c r="AE28" s="150"/>
      <c r="AF28" s="150"/>
      <c r="AG28" s="150"/>
      <c r="AH28" s="150"/>
      <c r="AI28" s="150"/>
      <c r="AJ28" s="150"/>
      <c r="AK28" s="150"/>
      <c r="AL28" s="150"/>
      <c r="AM28" s="164"/>
      <c r="AN28" s="164"/>
      <c r="AO28" s="164"/>
      <c r="AP28" s="164"/>
      <c r="AQ28" s="164"/>
      <c r="AR28" s="164"/>
      <c r="AS28" s="164"/>
      <c r="AT28" s="164"/>
      <c r="AU28" s="164"/>
      <c r="AV28" s="164"/>
      <c r="AW28" s="164"/>
      <c r="AX28" s="164"/>
      <c r="AY28" s="168"/>
      <c r="AZ28" s="168"/>
      <c r="BA28" s="168"/>
      <c r="BB28" s="168"/>
      <c r="BC28" s="168"/>
      <c r="BD28" s="168"/>
      <c r="BE28" s="164"/>
      <c r="BF28" s="166"/>
      <c r="BG28" s="166"/>
    </row>
    <row r="29" spans="1:59" s="17" customFormat="1" ht="15.75" customHeight="1">
      <c r="A29" s="108">
        <v>45285</v>
      </c>
      <c r="B29" s="87" t="s">
        <v>37</v>
      </c>
      <c r="C29" s="89">
        <v>1</v>
      </c>
      <c r="D29" s="91" t="s">
        <v>38</v>
      </c>
      <c r="E29" s="89">
        <v>84426</v>
      </c>
      <c r="F29" s="89" t="s">
        <v>49</v>
      </c>
      <c r="G29" s="93" t="s">
        <v>55</v>
      </c>
      <c r="H29" s="90" t="s">
        <v>58</v>
      </c>
      <c r="I29" s="90">
        <v>549</v>
      </c>
      <c r="J29" s="90">
        <v>549</v>
      </c>
      <c r="K29" s="20">
        <v>0</v>
      </c>
      <c r="L29" s="20">
        <v>0</v>
      </c>
      <c r="M29" s="20">
        <v>0</v>
      </c>
      <c r="N29" s="97">
        <f>O30/L30</f>
        <v>0.81238615664845171</v>
      </c>
      <c r="O29" s="21">
        <f t="shared" si="0"/>
        <v>0</v>
      </c>
      <c r="P29" s="27">
        <v>0</v>
      </c>
      <c r="Q29" s="99">
        <f>+L30-P30</f>
        <v>3</v>
      </c>
      <c r="R29" s="108"/>
      <c r="S29" s="96"/>
      <c r="T29" s="96"/>
      <c r="U29" s="96"/>
      <c r="V29" s="96"/>
      <c r="W29" s="96"/>
      <c r="X29" s="96"/>
      <c r="Y29" s="96"/>
      <c r="Z29" s="96"/>
      <c r="AA29" s="96"/>
      <c r="AB29" s="96"/>
      <c r="AC29" s="96"/>
      <c r="AD29" s="96"/>
      <c r="AE29" s="96"/>
      <c r="AF29" s="96"/>
      <c r="AG29" s="96"/>
      <c r="AH29" s="96"/>
      <c r="AI29" s="96"/>
      <c r="AJ29" s="96"/>
      <c r="AK29" s="96"/>
      <c r="AL29" s="96"/>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5"/>
      <c r="B30" s="88"/>
      <c r="C30" s="90"/>
      <c r="D30" s="92"/>
      <c r="E30" s="90"/>
      <c r="F30" s="90"/>
      <c r="G30" s="94"/>
      <c r="H30" s="95"/>
      <c r="I30" s="95"/>
      <c r="J30" s="95"/>
      <c r="K30" s="49">
        <f>483+66</f>
        <v>549</v>
      </c>
      <c r="L30" s="18">
        <f>483+66</f>
        <v>549</v>
      </c>
      <c r="M30" s="18">
        <f>86+17</f>
        <v>103</v>
      </c>
      <c r="N30" s="98"/>
      <c r="O30" s="19">
        <f t="shared" si="0"/>
        <v>446</v>
      </c>
      <c r="P30" s="22">
        <f>453+80+11+2</f>
        <v>546</v>
      </c>
      <c r="Q30" s="100"/>
      <c r="R30" s="85"/>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108">
        <v>45285</v>
      </c>
      <c r="B31" s="87" t="s">
        <v>37</v>
      </c>
      <c r="C31" s="89">
        <v>1</v>
      </c>
      <c r="D31" s="91" t="s">
        <v>38</v>
      </c>
      <c r="E31" s="89">
        <v>84352</v>
      </c>
      <c r="F31" s="89" t="s">
        <v>49</v>
      </c>
      <c r="G31" s="93" t="s">
        <v>55</v>
      </c>
      <c r="H31" s="109" t="s">
        <v>39</v>
      </c>
      <c r="I31" s="90">
        <v>1050</v>
      </c>
      <c r="J31" s="170">
        <v>1053</v>
      </c>
      <c r="K31" s="43">
        <v>0</v>
      </c>
      <c r="L31" s="48">
        <v>0</v>
      </c>
      <c r="M31" s="20">
        <v>0</v>
      </c>
      <c r="N31" s="97">
        <f>O32/L32</f>
        <v>0.64230769230769236</v>
      </c>
      <c r="O31" s="21">
        <f t="shared" si="0"/>
        <v>0</v>
      </c>
      <c r="P31" s="27">
        <v>0</v>
      </c>
      <c r="Q31" s="99">
        <f>+L32-P32</f>
        <v>0</v>
      </c>
      <c r="R31" s="85"/>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171"/>
      <c r="K32" s="47">
        <f>320+108+237+109+43+100+35+68+20</f>
        <v>1040</v>
      </c>
      <c r="L32" s="46">
        <f>10+10+10+235+60+10+150+85+185+102+40+95+28+20</f>
        <v>1040</v>
      </c>
      <c r="M32" s="18">
        <f>75+30+45+42+80+30+8+40+13+9</f>
        <v>372</v>
      </c>
      <c r="N32" s="98"/>
      <c r="O32" s="19">
        <f t="shared" si="0"/>
        <v>668</v>
      </c>
      <c r="P32" s="22">
        <f>105+70+80+92+96+70+74+165+91+21+40+50+46+20+9+11</f>
        <v>1040</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45285</v>
      </c>
      <c r="B33" s="87" t="s">
        <v>37</v>
      </c>
      <c r="C33" s="89">
        <v>1</v>
      </c>
      <c r="D33" s="91" t="s">
        <v>38</v>
      </c>
      <c r="E33" s="89">
        <v>84031</v>
      </c>
      <c r="F33" s="89" t="s">
        <v>49</v>
      </c>
      <c r="G33" s="93" t="s">
        <v>53</v>
      </c>
      <c r="H33" s="90" t="s">
        <v>57</v>
      </c>
      <c r="I33" s="90">
        <v>563</v>
      </c>
      <c r="J33" s="90">
        <v>563</v>
      </c>
      <c r="K33" s="43">
        <v>0</v>
      </c>
      <c r="L33" s="20">
        <v>0</v>
      </c>
      <c r="M33" s="20">
        <v>0</v>
      </c>
      <c r="N33" s="97">
        <f>O34/L34</f>
        <v>0.85343228200371057</v>
      </c>
      <c r="O33" s="21">
        <f t="shared" si="0"/>
        <v>0</v>
      </c>
      <c r="P33" s="27">
        <v>0</v>
      </c>
      <c r="Q33" s="99">
        <f>+L34-P34</f>
        <v>0</v>
      </c>
      <c r="R33" s="85"/>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22">
        <f>516+20+3</f>
        <v>539</v>
      </c>
      <c r="L34" s="18">
        <f>516+20+3</f>
        <v>539</v>
      </c>
      <c r="M34" s="18">
        <f>74+2+3</f>
        <v>79</v>
      </c>
      <c r="N34" s="98"/>
      <c r="O34" s="19">
        <f t="shared" si="0"/>
        <v>460</v>
      </c>
      <c r="P34" s="22">
        <f>516+20+3</f>
        <v>539</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45285</v>
      </c>
      <c r="B35" s="87" t="s">
        <v>37</v>
      </c>
      <c r="C35" s="89">
        <v>1</v>
      </c>
      <c r="D35" s="91" t="s">
        <v>38</v>
      </c>
      <c r="E35" s="89">
        <v>84031</v>
      </c>
      <c r="F35" s="89" t="s">
        <v>49</v>
      </c>
      <c r="G35" s="93" t="s">
        <v>53</v>
      </c>
      <c r="H35" s="90" t="s">
        <v>39</v>
      </c>
      <c r="I35" s="90">
        <v>623</v>
      </c>
      <c r="J35" s="90">
        <v>623</v>
      </c>
      <c r="K35" s="20">
        <v>0</v>
      </c>
      <c r="L35" s="20">
        <v>0</v>
      </c>
      <c r="M35" s="20">
        <v>0</v>
      </c>
      <c r="N35" s="97">
        <f>O36/L36</f>
        <v>0.79710144927536231</v>
      </c>
      <c r="O35" s="21">
        <f t="shared" si="0"/>
        <v>0</v>
      </c>
      <c r="P35" s="27">
        <v>0</v>
      </c>
      <c r="Q35" s="99">
        <f>+L36-P36</f>
        <v>0</v>
      </c>
      <c r="R35" s="85"/>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574+9+30+5+3</f>
        <v>621</v>
      </c>
      <c r="L36" s="18">
        <f>574+9+30+5+3</f>
        <v>621</v>
      </c>
      <c r="M36" s="18">
        <f>109+9+5+3</f>
        <v>126</v>
      </c>
      <c r="N36" s="98"/>
      <c r="O36" s="19">
        <f t="shared" si="0"/>
        <v>495</v>
      </c>
      <c r="P36" s="22">
        <f>574+9+30+5+3</f>
        <v>621</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45285</v>
      </c>
      <c r="B37" s="87" t="s">
        <v>37</v>
      </c>
      <c r="C37" s="89">
        <v>1</v>
      </c>
      <c r="D37" s="91" t="s">
        <v>77</v>
      </c>
      <c r="E37" s="89">
        <v>20785</v>
      </c>
      <c r="F37" s="89" t="s">
        <v>76</v>
      </c>
      <c r="G37" s="93" t="s">
        <v>71</v>
      </c>
      <c r="H37" s="90" t="s">
        <v>70</v>
      </c>
      <c r="I37" s="90">
        <v>1475</v>
      </c>
      <c r="J37" s="90">
        <v>1475</v>
      </c>
      <c r="K37" s="20">
        <v>75</v>
      </c>
      <c r="L37" s="20">
        <v>75</v>
      </c>
      <c r="M37" s="20">
        <v>23</v>
      </c>
      <c r="N37" s="97">
        <f>O38/L38</f>
        <v>0.82874617737003053</v>
      </c>
      <c r="O37" s="21">
        <f t="shared" si="0"/>
        <v>52</v>
      </c>
      <c r="P37" s="27">
        <v>83</v>
      </c>
      <c r="Q37" s="99">
        <f>+L38-P38</f>
        <v>52</v>
      </c>
      <c r="R37" s="85"/>
      <c r="S37" s="96">
        <v>3</v>
      </c>
      <c r="T37" s="96"/>
      <c r="U37" s="96">
        <v>6</v>
      </c>
      <c r="V37" s="96"/>
      <c r="W37" s="96"/>
      <c r="X37" s="96">
        <v>1</v>
      </c>
      <c r="Y37" s="96"/>
      <c r="Z37" s="96"/>
      <c r="AA37" s="96"/>
      <c r="AB37" s="96"/>
      <c r="AC37" s="96">
        <v>7</v>
      </c>
      <c r="AD37" s="96">
        <v>15</v>
      </c>
      <c r="AE37" s="96">
        <v>4</v>
      </c>
      <c r="AF37" s="96"/>
      <c r="AG37" s="96">
        <v>15</v>
      </c>
      <c r="AH37" s="96"/>
      <c r="AI37" s="96"/>
      <c r="AJ37" s="96"/>
      <c r="AK37" s="96"/>
      <c r="AL37" s="96">
        <v>1</v>
      </c>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26+20+20+15+15+29+64+22+41+75</f>
        <v>327</v>
      </c>
      <c r="L38" s="18">
        <f>26+10+30+15+15+29+64+22+41+75</f>
        <v>327</v>
      </c>
      <c r="M38" s="18">
        <f>9+14+6+4+23</f>
        <v>56</v>
      </c>
      <c r="N38" s="98"/>
      <c r="O38" s="19">
        <f t="shared" si="0"/>
        <v>271</v>
      </c>
      <c r="P38" s="22">
        <f>10+10+6+5+20+15+14+16+9+44+20+23+83</f>
        <v>275</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s="17" customFormat="1" ht="15.75" customHeight="1">
      <c r="A39" s="108">
        <v>45285</v>
      </c>
      <c r="B39" s="87" t="s">
        <v>37</v>
      </c>
      <c r="C39" s="89">
        <v>1</v>
      </c>
      <c r="D39" s="91" t="s">
        <v>77</v>
      </c>
      <c r="E39" s="89">
        <v>20785</v>
      </c>
      <c r="F39" s="89" t="s">
        <v>76</v>
      </c>
      <c r="G39" s="93" t="s">
        <v>71</v>
      </c>
      <c r="H39" s="90" t="s">
        <v>75</v>
      </c>
      <c r="I39" s="90">
        <v>501</v>
      </c>
      <c r="J39" s="90">
        <v>501</v>
      </c>
      <c r="K39" s="20">
        <v>0</v>
      </c>
      <c r="L39" s="20">
        <v>0</v>
      </c>
      <c r="M39" s="20">
        <v>0</v>
      </c>
      <c r="N39" s="97">
        <f>O40/L40</f>
        <v>0.9358974358974359</v>
      </c>
      <c r="O39" s="21">
        <f t="shared" si="0"/>
        <v>0</v>
      </c>
      <c r="P39" s="27">
        <v>0</v>
      </c>
      <c r="Q39" s="99">
        <f>+L40-P40</f>
        <v>0</v>
      </c>
      <c r="R39" s="85"/>
      <c r="S39" s="96"/>
      <c r="T39" s="96"/>
      <c r="U39" s="96"/>
      <c r="V39" s="96"/>
      <c r="W39" s="96"/>
      <c r="X39" s="96"/>
      <c r="Y39" s="96"/>
      <c r="Z39" s="96"/>
      <c r="AA39" s="96"/>
      <c r="AB39" s="96"/>
      <c r="AC39" s="96"/>
      <c r="AD39" s="96"/>
      <c r="AE39" s="96"/>
      <c r="AF39" s="96"/>
      <c r="AG39" s="96"/>
      <c r="AH39" s="96"/>
      <c r="AI39" s="96"/>
      <c r="AJ39" s="96"/>
      <c r="AK39" s="96"/>
      <c r="AL39" s="96"/>
      <c r="AM39" s="103"/>
      <c r="AN39" s="103"/>
      <c r="AO39" s="103"/>
      <c r="AP39" s="103"/>
      <c r="AQ39" s="103"/>
      <c r="AR39" s="103"/>
      <c r="AS39" s="103"/>
      <c r="AT39" s="103"/>
      <c r="AU39" s="103"/>
      <c r="AV39" s="103"/>
      <c r="AW39" s="103"/>
      <c r="AX39" s="103"/>
      <c r="AY39" s="106"/>
      <c r="AZ39" s="106"/>
      <c r="BA39" s="106"/>
      <c r="BB39" s="106"/>
      <c r="BC39" s="106"/>
      <c r="BD39" s="106"/>
      <c r="BE39" s="103"/>
      <c r="BF39" s="104"/>
      <c r="BG39" s="104"/>
    </row>
    <row r="40" spans="1:59" s="17" customFormat="1" ht="15.75" customHeight="1">
      <c r="A40" s="85"/>
      <c r="B40" s="88"/>
      <c r="C40" s="90"/>
      <c r="D40" s="92"/>
      <c r="E40" s="90"/>
      <c r="F40" s="90"/>
      <c r="G40" s="94"/>
      <c r="H40" s="95"/>
      <c r="I40" s="95"/>
      <c r="J40" s="95"/>
      <c r="K40" s="22">
        <f>24+31+23</f>
        <v>78</v>
      </c>
      <c r="L40" s="18">
        <f>10+45+5+18</f>
        <v>78</v>
      </c>
      <c r="M40" s="18">
        <f>5</f>
        <v>5</v>
      </c>
      <c r="N40" s="98"/>
      <c r="O40" s="19">
        <f t="shared" si="0"/>
        <v>73</v>
      </c>
      <c r="P40" s="22">
        <f>5+15+58</f>
        <v>78</v>
      </c>
      <c r="Q40" s="100"/>
      <c r="R40" s="86"/>
      <c r="S40" s="96"/>
      <c r="T40" s="96"/>
      <c r="U40" s="96"/>
      <c r="V40" s="96"/>
      <c r="W40" s="96"/>
      <c r="X40" s="96"/>
      <c r="Y40" s="96"/>
      <c r="Z40" s="96"/>
      <c r="AA40" s="96"/>
      <c r="AB40" s="96"/>
      <c r="AC40" s="96"/>
      <c r="AD40" s="96"/>
      <c r="AE40" s="96"/>
      <c r="AF40" s="96"/>
      <c r="AG40" s="96"/>
      <c r="AH40" s="96"/>
      <c r="AI40" s="96"/>
      <c r="AJ40" s="96"/>
      <c r="AK40" s="96"/>
      <c r="AL40" s="96"/>
      <c r="AM40" s="103"/>
      <c r="AN40" s="103"/>
      <c r="AO40" s="103"/>
      <c r="AP40" s="103"/>
      <c r="AQ40" s="103"/>
      <c r="AR40" s="103"/>
      <c r="AS40" s="103"/>
      <c r="AT40" s="103"/>
      <c r="AU40" s="103"/>
      <c r="AV40" s="103"/>
      <c r="AW40" s="103"/>
      <c r="AX40" s="103"/>
      <c r="AY40" s="107"/>
      <c r="AZ40" s="107"/>
      <c r="BA40" s="107"/>
      <c r="BB40" s="107"/>
      <c r="BC40" s="107"/>
      <c r="BD40" s="107"/>
      <c r="BE40" s="103"/>
      <c r="BF40" s="105"/>
      <c r="BG40" s="105"/>
    </row>
    <row r="41" spans="1:59" s="17" customFormat="1" ht="15.75" customHeight="1">
      <c r="A41" s="108">
        <v>45285</v>
      </c>
      <c r="B41" s="87" t="s">
        <v>37</v>
      </c>
      <c r="C41" s="89">
        <v>1</v>
      </c>
      <c r="D41" s="91" t="s">
        <v>77</v>
      </c>
      <c r="E41" s="89">
        <v>20785</v>
      </c>
      <c r="F41" s="89" t="s">
        <v>76</v>
      </c>
      <c r="G41" s="93" t="s">
        <v>71</v>
      </c>
      <c r="H41" s="90" t="s">
        <v>79</v>
      </c>
      <c r="I41" s="90">
        <v>826</v>
      </c>
      <c r="J41" s="90">
        <v>826</v>
      </c>
      <c r="K41" s="20">
        <v>67</v>
      </c>
      <c r="L41" s="20">
        <v>67</v>
      </c>
      <c r="M41" s="20">
        <v>7</v>
      </c>
      <c r="N41" s="97">
        <f>O42/L42</f>
        <v>0.865506329113924</v>
      </c>
      <c r="O41" s="21">
        <f t="shared" si="0"/>
        <v>60</v>
      </c>
      <c r="P41" s="27">
        <v>32</v>
      </c>
      <c r="Q41" s="99">
        <f>+L42-P42</f>
        <v>210</v>
      </c>
      <c r="R41" s="85"/>
      <c r="S41" s="96"/>
      <c r="T41" s="96">
        <v>4</v>
      </c>
      <c r="U41" s="96"/>
      <c r="V41" s="96"/>
      <c r="W41" s="96"/>
      <c r="X41" s="96"/>
      <c r="Y41" s="96"/>
      <c r="Z41" s="96"/>
      <c r="AA41" s="96"/>
      <c r="AB41" s="96"/>
      <c r="AC41" s="96"/>
      <c r="AD41" s="96"/>
      <c r="AE41" s="96">
        <v>9</v>
      </c>
      <c r="AF41" s="96"/>
      <c r="AG41" s="96">
        <v>8</v>
      </c>
      <c r="AH41" s="96">
        <v>18</v>
      </c>
      <c r="AI41" s="96"/>
      <c r="AJ41" s="96">
        <v>11</v>
      </c>
      <c r="AK41" s="96">
        <v>10</v>
      </c>
      <c r="AL41" s="96"/>
      <c r="AM41" s="103"/>
      <c r="AN41" s="103"/>
      <c r="AO41" s="103"/>
      <c r="AP41" s="103"/>
      <c r="AQ41" s="103"/>
      <c r="AR41" s="103"/>
      <c r="AS41" s="103"/>
      <c r="AT41" s="103"/>
      <c r="AU41" s="103"/>
      <c r="AV41" s="103"/>
      <c r="AW41" s="103"/>
      <c r="AX41" s="103"/>
      <c r="AY41" s="106"/>
      <c r="AZ41" s="106"/>
      <c r="BA41" s="106"/>
      <c r="BB41" s="106"/>
      <c r="BC41" s="106"/>
      <c r="BD41" s="106"/>
      <c r="BE41" s="103"/>
      <c r="BF41" s="104"/>
      <c r="BG41" s="104"/>
    </row>
    <row r="42" spans="1:59" s="17" customFormat="1" ht="15.75" customHeight="1">
      <c r="A42" s="85"/>
      <c r="B42" s="88"/>
      <c r="C42" s="90"/>
      <c r="D42" s="92"/>
      <c r="E42" s="90"/>
      <c r="F42" s="90"/>
      <c r="G42" s="94"/>
      <c r="H42" s="95"/>
      <c r="I42" s="95"/>
      <c r="J42" s="95"/>
      <c r="K42" s="22">
        <f>8+32+48+44+34+38+20+74+44+77+59+87+67</f>
        <v>632</v>
      </c>
      <c r="L42" s="18">
        <f>7+30+45+50+45+47+50+44+70+90+87+67</f>
        <v>632</v>
      </c>
      <c r="M42" s="18">
        <f>3+10+5+10+8+5+10+20+7+7</f>
        <v>85</v>
      </c>
      <c r="N42" s="98"/>
      <c r="O42" s="19">
        <f t="shared" si="0"/>
        <v>547</v>
      </c>
      <c r="P42" s="22">
        <f>3+10+12+30+25+114+20+37+30+84+25+32</f>
        <v>422</v>
      </c>
      <c r="Q42" s="100"/>
      <c r="R42" s="86"/>
      <c r="S42" s="96"/>
      <c r="T42" s="96"/>
      <c r="U42" s="96"/>
      <c r="V42" s="96"/>
      <c r="W42" s="96"/>
      <c r="X42" s="96"/>
      <c r="Y42" s="96"/>
      <c r="Z42" s="96"/>
      <c r="AA42" s="96"/>
      <c r="AB42" s="96"/>
      <c r="AC42" s="96"/>
      <c r="AD42" s="96"/>
      <c r="AE42" s="96"/>
      <c r="AF42" s="96"/>
      <c r="AG42" s="96"/>
      <c r="AH42" s="96"/>
      <c r="AI42" s="96"/>
      <c r="AJ42" s="96"/>
      <c r="AK42" s="96"/>
      <c r="AL42" s="96"/>
      <c r="AM42" s="103"/>
      <c r="AN42" s="103"/>
      <c r="AO42" s="103"/>
      <c r="AP42" s="103"/>
      <c r="AQ42" s="103"/>
      <c r="AR42" s="103"/>
      <c r="AS42" s="103"/>
      <c r="AT42" s="103"/>
      <c r="AU42" s="103"/>
      <c r="AV42" s="103"/>
      <c r="AW42" s="103"/>
      <c r="AX42" s="103"/>
      <c r="AY42" s="107"/>
      <c r="AZ42" s="107"/>
      <c r="BA42" s="107"/>
      <c r="BB42" s="107"/>
      <c r="BC42" s="107"/>
      <c r="BD42" s="107"/>
      <c r="BE42" s="103"/>
      <c r="BF42" s="105"/>
      <c r="BG42" s="105"/>
    </row>
    <row r="43" spans="1:59" ht="24.75" customHeight="1">
      <c r="A43" s="111" t="s">
        <v>15</v>
      </c>
      <c r="B43" s="112"/>
      <c r="C43" s="112"/>
      <c r="D43" s="112"/>
      <c r="E43" s="112"/>
      <c r="F43" s="112"/>
      <c r="G43" s="112"/>
      <c r="H43" s="112"/>
      <c r="I43" s="113"/>
      <c r="J43" s="5">
        <f>SUM(J5:J42)</f>
        <v>25620</v>
      </c>
      <c r="K43" s="5">
        <f>+SUMPRODUCT(((MOD(ROW(K5:K42),2)=1)*(K5:K42)))</f>
        <v>877</v>
      </c>
      <c r="L43" s="5">
        <f>+SUMPRODUCT(((MOD(ROW(L5:L42),2)=1)*(L5:L42)))</f>
        <v>964</v>
      </c>
      <c r="M43" s="5">
        <f>+SUMPRODUCT(((MOD(ROW(M5:M42),2)=1)*(M5:M42)))</f>
        <v>402</v>
      </c>
      <c r="N43" s="23">
        <f>O43/L43</f>
        <v>0.58298755186721996</v>
      </c>
      <c r="O43" s="5">
        <f>+SUMPRODUCT(((MOD(ROW(O5:O42),2)=1)*(O5:O42)))</f>
        <v>562</v>
      </c>
      <c r="P43" s="5">
        <f>+SUMPRODUCT(((MOD(ROW(P5:P42),2)=1)*(P5:P42)))</f>
        <v>1432</v>
      </c>
      <c r="Q43" s="5">
        <f>+SUMPRODUCT(((MOD(ROW(Q5:Q42),2)=1)*(Q5:Q42)))</f>
        <v>1163</v>
      </c>
      <c r="R43" s="69"/>
      <c r="S43" s="68">
        <f t="shared" ref="S43:BG43" si="1">SUM(S5:S42)</f>
        <v>9</v>
      </c>
      <c r="T43" s="68">
        <f t="shared" si="1"/>
        <v>130</v>
      </c>
      <c r="U43" s="68">
        <f t="shared" si="1"/>
        <v>26</v>
      </c>
      <c r="V43" s="68">
        <f t="shared" si="1"/>
        <v>0</v>
      </c>
      <c r="W43" s="68">
        <f t="shared" si="1"/>
        <v>0</v>
      </c>
      <c r="X43" s="68">
        <f t="shared" si="1"/>
        <v>8</v>
      </c>
      <c r="Y43" s="5">
        <f t="shared" si="1"/>
        <v>4</v>
      </c>
      <c r="Z43" s="5">
        <f t="shared" si="1"/>
        <v>8</v>
      </c>
      <c r="AA43" s="5">
        <f t="shared" si="1"/>
        <v>0</v>
      </c>
      <c r="AB43" s="5">
        <f t="shared" si="1"/>
        <v>0</v>
      </c>
      <c r="AC43" s="5">
        <f t="shared" si="1"/>
        <v>67</v>
      </c>
      <c r="AD43" s="5">
        <f t="shared" si="1"/>
        <v>15</v>
      </c>
      <c r="AE43" s="5">
        <f t="shared" si="1"/>
        <v>35</v>
      </c>
      <c r="AF43" s="5">
        <f t="shared" si="1"/>
        <v>47</v>
      </c>
      <c r="AG43" s="5">
        <f t="shared" si="1"/>
        <v>50</v>
      </c>
      <c r="AH43" s="5">
        <f t="shared" si="1"/>
        <v>90</v>
      </c>
      <c r="AI43" s="5">
        <f t="shared" si="1"/>
        <v>0</v>
      </c>
      <c r="AJ43" s="5">
        <f t="shared" si="1"/>
        <v>11</v>
      </c>
      <c r="AK43" s="5">
        <f t="shared" si="1"/>
        <v>10</v>
      </c>
      <c r="AL43" s="5">
        <f t="shared" si="1"/>
        <v>52</v>
      </c>
      <c r="AM43" s="5">
        <f t="shared" si="1"/>
        <v>0</v>
      </c>
      <c r="AN43" s="5">
        <f t="shared" si="1"/>
        <v>0</v>
      </c>
      <c r="AO43" s="5">
        <f t="shared" si="1"/>
        <v>0</v>
      </c>
      <c r="AP43" s="5">
        <f t="shared" si="1"/>
        <v>0</v>
      </c>
      <c r="AQ43" s="5">
        <f t="shared" si="1"/>
        <v>0</v>
      </c>
      <c r="AR43" s="5">
        <f t="shared" si="1"/>
        <v>0</v>
      </c>
      <c r="AS43" s="5">
        <f t="shared" si="1"/>
        <v>0</v>
      </c>
      <c r="AT43" s="5">
        <f t="shared" si="1"/>
        <v>0</v>
      </c>
      <c r="AU43" s="5">
        <f t="shared" si="1"/>
        <v>0</v>
      </c>
      <c r="AV43" s="5">
        <f t="shared" si="1"/>
        <v>0</v>
      </c>
      <c r="AW43" s="5">
        <f t="shared" si="1"/>
        <v>0</v>
      </c>
      <c r="AX43" s="5">
        <f t="shared" si="1"/>
        <v>0</v>
      </c>
      <c r="AY43" s="5">
        <f t="shared" si="1"/>
        <v>0</v>
      </c>
      <c r="AZ43" s="5">
        <f t="shared" si="1"/>
        <v>0</v>
      </c>
      <c r="BA43" s="5">
        <f t="shared" si="1"/>
        <v>0</v>
      </c>
      <c r="BB43" s="5">
        <f t="shared" si="1"/>
        <v>0</v>
      </c>
      <c r="BC43" s="5">
        <f t="shared" si="1"/>
        <v>0</v>
      </c>
      <c r="BD43" s="5">
        <f t="shared" si="1"/>
        <v>0</v>
      </c>
      <c r="BE43" s="5">
        <f t="shared" si="1"/>
        <v>0</v>
      </c>
      <c r="BF43" s="5">
        <f t="shared" si="1"/>
        <v>0</v>
      </c>
      <c r="BG43" s="5">
        <f t="shared" si="1"/>
        <v>0</v>
      </c>
    </row>
    <row r="44" spans="1:59" s="17" customFormat="1" ht="15.75" hidden="1" customHeight="1">
      <c r="A44" s="108"/>
      <c r="B44" s="87"/>
      <c r="C44" s="89"/>
      <c r="D44" s="91"/>
      <c r="E44" s="91"/>
      <c r="F44" s="89"/>
      <c r="G44" s="93"/>
      <c r="H44" s="89"/>
      <c r="I44" s="89"/>
      <c r="J44" s="89"/>
      <c r="K44" s="20"/>
      <c r="L44" s="20"/>
      <c r="M44" s="20"/>
      <c r="N44" s="146"/>
      <c r="O44" s="21"/>
      <c r="P44" s="27"/>
      <c r="Q44" s="99"/>
      <c r="R44" s="175"/>
      <c r="S44" s="96"/>
      <c r="T44" s="96"/>
      <c r="U44" s="96"/>
      <c r="V44" s="96"/>
      <c r="W44" s="96"/>
      <c r="X44" s="96"/>
      <c r="Y44" s="149"/>
      <c r="Z44" s="149"/>
      <c r="AA44" s="149"/>
      <c r="AB44" s="149"/>
      <c r="AC44" s="149"/>
      <c r="AD44" s="149"/>
      <c r="AE44" s="149"/>
      <c r="AF44" s="149"/>
      <c r="AG44" s="149"/>
      <c r="AH44" s="149"/>
      <c r="AI44" s="149"/>
      <c r="AJ44" s="149"/>
      <c r="AK44" s="149"/>
      <c r="AL44" s="149"/>
      <c r="AM44" s="163"/>
      <c r="AN44" s="163"/>
      <c r="AO44" s="163"/>
      <c r="AP44" s="163"/>
      <c r="AQ44" s="163"/>
      <c r="AR44" s="163"/>
      <c r="AS44" s="163"/>
      <c r="AT44" s="163"/>
      <c r="AU44" s="163"/>
      <c r="AV44" s="163"/>
      <c r="AW44" s="163"/>
      <c r="AX44" s="163"/>
      <c r="AY44" s="167"/>
      <c r="AZ44" s="167"/>
      <c r="BA44" s="167"/>
      <c r="BB44" s="167"/>
      <c r="BC44" s="167"/>
      <c r="BD44" s="167"/>
      <c r="BE44" s="163"/>
      <c r="BF44" s="165"/>
      <c r="BG44" s="165"/>
    </row>
    <row r="45" spans="1:59" s="17" customFormat="1" ht="15.75" hidden="1" customHeight="1">
      <c r="A45" s="85"/>
      <c r="B45" s="88"/>
      <c r="C45" s="90"/>
      <c r="D45" s="92"/>
      <c r="E45" s="92"/>
      <c r="F45" s="90"/>
      <c r="G45" s="94"/>
      <c r="H45" s="90"/>
      <c r="I45" s="90"/>
      <c r="J45" s="90"/>
      <c r="K45" s="22"/>
      <c r="L45" s="18"/>
      <c r="M45" s="18"/>
      <c r="N45" s="147"/>
      <c r="O45" s="19"/>
      <c r="P45" s="22"/>
      <c r="Q45" s="100"/>
      <c r="R45" s="175"/>
      <c r="S45" s="96"/>
      <c r="T45" s="96"/>
      <c r="U45" s="96"/>
      <c r="V45" s="96"/>
      <c r="W45" s="96"/>
      <c r="X45" s="96"/>
      <c r="Y45" s="150"/>
      <c r="Z45" s="150"/>
      <c r="AA45" s="150"/>
      <c r="AB45" s="150"/>
      <c r="AC45" s="150"/>
      <c r="AD45" s="150"/>
      <c r="AE45" s="150"/>
      <c r="AF45" s="150"/>
      <c r="AG45" s="150"/>
      <c r="AH45" s="150"/>
      <c r="AI45" s="150"/>
      <c r="AJ45" s="150"/>
      <c r="AK45" s="150"/>
      <c r="AL45" s="150"/>
      <c r="AM45" s="164"/>
      <c r="AN45" s="164"/>
      <c r="AO45" s="164"/>
      <c r="AP45" s="164"/>
      <c r="AQ45" s="164"/>
      <c r="AR45" s="164"/>
      <c r="AS45" s="164"/>
      <c r="AT45" s="164"/>
      <c r="AU45" s="164"/>
      <c r="AV45" s="164"/>
      <c r="AW45" s="164"/>
      <c r="AX45" s="164"/>
      <c r="AY45" s="168"/>
      <c r="AZ45" s="168"/>
      <c r="BA45" s="168"/>
      <c r="BB45" s="168"/>
      <c r="BC45" s="168"/>
      <c r="BD45" s="168"/>
      <c r="BE45" s="164"/>
      <c r="BF45" s="166"/>
      <c r="BG45" s="166"/>
    </row>
    <row r="46" spans="1:59" s="17" customFormat="1" ht="15.75" hidden="1" customHeight="1">
      <c r="A46" s="154"/>
      <c r="B46" s="114"/>
      <c r="C46" s="116"/>
      <c r="D46" s="118"/>
      <c r="E46" s="116"/>
      <c r="F46" s="116"/>
      <c r="G46" s="120"/>
      <c r="H46" s="89"/>
      <c r="I46" s="89"/>
      <c r="J46" s="89"/>
      <c r="K46" s="20"/>
      <c r="L46" s="20"/>
      <c r="M46" s="20"/>
      <c r="N46" s="146"/>
      <c r="O46" s="21"/>
      <c r="P46" s="27"/>
      <c r="Q46" s="99"/>
      <c r="R46" s="174"/>
      <c r="S46" s="96"/>
      <c r="T46" s="96"/>
      <c r="U46" s="96"/>
      <c r="V46" s="96"/>
      <c r="W46" s="96"/>
      <c r="X46" s="96"/>
      <c r="Y46" s="149"/>
      <c r="Z46" s="149"/>
      <c r="AA46" s="149"/>
      <c r="AB46" s="149"/>
      <c r="AC46" s="149"/>
      <c r="AD46" s="149"/>
      <c r="AE46" s="149"/>
      <c r="AF46" s="149"/>
      <c r="AG46" s="149"/>
      <c r="AH46" s="149"/>
      <c r="AI46" s="149"/>
      <c r="AJ46" s="149"/>
      <c r="AK46" s="149"/>
      <c r="AL46" s="149"/>
      <c r="AM46" s="163"/>
      <c r="AN46" s="163"/>
      <c r="AO46" s="163"/>
      <c r="AP46" s="163"/>
      <c r="AQ46" s="163"/>
      <c r="AR46" s="163"/>
      <c r="AS46" s="163"/>
      <c r="AT46" s="163"/>
      <c r="AU46" s="163"/>
      <c r="AV46" s="163"/>
      <c r="AW46" s="163"/>
      <c r="AX46" s="163"/>
      <c r="AY46" s="167"/>
      <c r="AZ46" s="167"/>
      <c r="BA46" s="167"/>
      <c r="BB46" s="167"/>
      <c r="BC46" s="167"/>
      <c r="BD46" s="167"/>
      <c r="BE46" s="163"/>
      <c r="BF46" s="165"/>
      <c r="BG46" s="165"/>
    </row>
    <row r="47" spans="1:59" s="17" customFormat="1" ht="15.75" hidden="1" customHeight="1">
      <c r="A47" s="101"/>
      <c r="B47" s="115"/>
      <c r="C47" s="117"/>
      <c r="D47" s="119"/>
      <c r="E47" s="117"/>
      <c r="F47" s="117"/>
      <c r="G47" s="121"/>
      <c r="H47" s="90"/>
      <c r="I47" s="90"/>
      <c r="J47" s="90"/>
      <c r="K47" s="22"/>
      <c r="L47" s="18"/>
      <c r="M47" s="18"/>
      <c r="N47" s="147"/>
      <c r="O47" s="19"/>
      <c r="P47" s="22"/>
      <c r="Q47" s="100"/>
      <c r="R47" s="174"/>
      <c r="S47" s="96"/>
      <c r="T47" s="96"/>
      <c r="U47" s="96"/>
      <c r="V47" s="96"/>
      <c r="W47" s="96"/>
      <c r="X47" s="96"/>
      <c r="Y47" s="150"/>
      <c r="Z47" s="150"/>
      <c r="AA47" s="150"/>
      <c r="AB47" s="150"/>
      <c r="AC47" s="150"/>
      <c r="AD47" s="150"/>
      <c r="AE47" s="150"/>
      <c r="AF47" s="150"/>
      <c r="AG47" s="150"/>
      <c r="AH47" s="150"/>
      <c r="AI47" s="150"/>
      <c r="AJ47" s="150"/>
      <c r="AK47" s="150"/>
      <c r="AL47" s="150"/>
      <c r="AM47" s="164"/>
      <c r="AN47" s="164"/>
      <c r="AO47" s="164"/>
      <c r="AP47" s="164"/>
      <c r="AQ47" s="164"/>
      <c r="AR47" s="164"/>
      <c r="AS47" s="164"/>
      <c r="AT47" s="164"/>
      <c r="AU47" s="164"/>
      <c r="AV47" s="164"/>
      <c r="AW47" s="164"/>
      <c r="AX47" s="164"/>
      <c r="AY47" s="168"/>
      <c r="AZ47" s="168"/>
      <c r="BA47" s="168"/>
      <c r="BB47" s="168"/>
      <c r="BC47" s="168"/>
      <c r="BD47" s="168"/>
      <c r="BE47" s="164"/>
      <c r="BF47" s="166"/>
      <c r="BG47" s="166"/>
    </row>
    <row r="48" spans="1:59" s="17" customFormat="1" ht="15.75" hidden="1" customHeight="1">
      <c r="A48" s="154"/>
      <c r="B48" s="114"/>
      <c r="C48" s="116"/>
      <c r="D48" s="118"/>
      <c r="E48" s="116"/>
      <c r="F48" s="116"/>
      <c r="G48" s="120"/>
      <c r="H48" s="89"/>
      <c r="I48" s="89"/>
      <c r="J48" s="89"/>
      <c r="K48" s="20"/>
      <c r="L48" s="20"/>
      <c r="M48" s="20"/>
      <c r="N48" s="146"/>
      <c r="O48" s="21"/>
      <c r="P48" s="27"/>
      <c r="Q48" s="99"/>
      <c r="R48" s="174"/>
      <c r="S48" s="96"/>
      <c r="T48" s="96"/>
      <c r="U48" s="96"/>
      <c r="V48" s="96"/>
      <c r="W48" s="96"/>
      <c r="X48" s="96"/>
      <c r="Y48" s="149"/>
      <c r="Z48" s="149"/>
      <c r="AA48" s="149"/>
      <c r="AB48" s="149"/>
      <c r="AC48" s="149"/>
      <c r="AD48" s="149"/>
      <c r="AE48" s="149"/>
      <c r="AF48" s="149"/>
      <c r="AG48" s="149"/>
      <c r="AH48" s="149"/>
      <c r="AI48" s="149"/>
      <c r="AJ48" s="149"/>
      <c r="AK48" s="149"/>
      <c r="AL48" s="149"/>
      <c r="AM48" s="163"/>
      <c r="AN48" s="163"/>
      <c r="AO48" s="163"/>
      <c r="AP48" s="163"/>
      <c r="AQ48" s="163"/>
      <c r="AR48" s="163"/>
      <c r="AS48" s="163"/>
      <c r="AT48" s="163"/>
      <c r="AU48" s="163"/>
      <c r="AV48" s="163"/>
      <c r="AW48" s="163"/>
      <c r="AX48" s="163"/>
      <c r="AY48" s="167"/>
      <c r="AZ48" s="167"/>
      <c r="BA48" s="167"/>
      <c r="BB48" s="167"/>
      <c r="BC48" s="167"/>
      <c r="BD48" s="167"/>
      <c r="BE48" s="163"/>
      <c r="BF48" s="165"/>
      <c r="BG48" s="165"/>
    </row>
    <row r="49" spans="1:59" s="17" customFormat="1" ht="15.75" hidden="1" customHeight="1">
      <c r="A49" s="101"/>
      <c r="B49" s="115"/>
      <c r="C49" s="117"/>
      <c r="D49" s="119"/>
      <c r="E49" s="117"/>
      <c r="F49" s="117"/>
      <c r="G49" s="121"/>
      <c r="H49" s="90"/>
      <c r="I49" s="90"/>
      <c r="J49" s="90"/>
      <c r="K49" s="22"/>
      <c r="L49" s="18"/>
      <c r="M49" s="18"/>
      <c r="N49" s="147"/>
      <c r="O49" s="19"/>
      <c r="P49" s="22"/>
      <c r="Q49" s="100"/>
      <c r="R49" s="174"/>
      <c r="S49" s="96"/>
      <c r="T49" s="96"/>
      <c r="U49" s="96"/>
      <c r="V49" s="96"/>
      <c r="W49" s="96"/>
      <c r="X49" s="96"/>
      <c r="Y49" s="150"/>
      <c r="Z49" s="150"/>
      <c r="AA49" s="150"/>
      <c r="AB49" s="150"/>
      <c r="AC49" s="150"/>
      <c r="AD49" s="150"/>
      <c r="AE49" s="150"/>
      <c r="AF49" s="150"/>
      <c r="AG49" s="150"/>
      <c r="AH49" s="150"/>
      <c r="AI49" s="150"/>
      <c r="AJ49" s="150"/>
      <c r="AK49" s="150"/>
      <c r="AL49" s="150"/>
      <c r="AM49" s="164"/>
      <c r="AN49" s="164"/>
      <c r="AO49" s="164"/>
      <c r="AP49" s="164"/>
      <c r="AQ49" s="164"/>
      <c r="AR49" s="164"/>
      <c r="AS49" s="164"/>
      <c r="AT49" s="164"/>
      <c r="AU49" s="164"/>
      <c r="AV49" s="164"/>
      <c r="AW49" s="164"/>
      <c r="AX49" s="164"/>
      <c r="AY49" s="168"/>
      <c r="AZ49" s="168"/>
      <c r="BA49" s="168"/>
      <c r="BB49" s="168"/>
      <c r="BC49" s="168"/>
      <c r="BD49" s="168"/>
      <c r="BE49" s="164"/>
      <c r="BF49" s="166"/>
      <c r="BG49" s="166"/>
    </row>
    <row r="50" spans="1:59" ht="24.75" hidden="1" customHeight="1">
      <c r="A50" s="111" t="s">
        <v>46</v>
      </c>
      <c r="B50" s="112"/>
      <c r="C50" s="112"/>
      <c r="D50" s="112"/>
      <c r="E50" s="112"/>
      <c r="F50" s="112"/>
      <c r="G50" s="112"/>
      <c r="H50" s="112"/>
      <c r="I50" s="113"/>
      <c r="J50" s="5">
        <f>SUM(J44:J49)</f>
        <v>0</v>
      </c>
      <c r="K50" s="5">
        <f>+SUMPRODUCT(((MOD(ROW(K44:K49),2)=0)*(K44:K49)))</f>
        <v>0</v>
      </c>
      <c r="L50" s="5">
        <f>+SUMPRODUCT(((MOD(ROW(L44:L49),2)=0)*(L44:L49)))</f>
        <v>0</v>
      </c>
      <c r="M50" s="5">
        <f>+SUMPRODUCT(((MOD(ROW(M44:M49),2)=0)*(M44:M49)))</f>
        <v>0</v>
      </c>
      <c r="N50" s="23" t="e">
        <f>O50/L50</f>
        <v>#DIV/0!</v>
      </c>
      <c r="O50" s="5">
        <f>+SUMPRODUCT(((MOD(ROW(O44:O49),2)=0)*(O44:O49)))</f>
        <v>0</v>
      </c>
      <c r="P50" s="5">
        <f>+SUMPRODUCT(((MOD(ROW(P44:P49),2)=0)*(P44:P49)))</f>
        <v>0</v>
      </c>
      <c r="Q50" s="29">
        <f>SUM(Q44:Q49)</f>
        <v>0</v>
      </c>
      <c r="R50" s="69"/>
      <c r="S50" s="68">
        <f t="shared" ref="S50:BG50" si="2">SUM(S44:S49)</f>
        <v>0</v>
      </c>
      <c r="T50" s="68">
        <f t="shared" si="2"/>
        <v>0</v>
      </c>
      <c r="U50" s="68">
        <f t="shared" si="2"/>
        <v>0</v>
      </c>
      <c r="V50" s="68">
        <f t="shared" si="2"/>
        <v>0</v>
      </c>
      <c r="W50" s="68">
        <f t="shared" si="2"/>
        <v>0</v>
      </c>
      <c r="X50" s="68">
        <f t="shared" si="2"/>
        <v>0</v>
      </c>
      <c r="Y50" s="5">
        <f t="shared" si="2"/>
        <v>0</v>
      </c>
      <c r="Z50" s="5">
        <f t="shared" si="2"/>
        <v>0</v>
      </c>
      <c r="AA50" s="5">
        <f t="shared" si="2"/>
        <v>0</v>
      </c>
      <c r="AB50" s="5">
        <f t="shared" si="2"/>
        <v>0</v>
      </c>
      <c r="AC50" s="5">
        <f t="shared" si="2"/>
        <v>0</v>
      </c>
      <c r="AD50" s="5">
        <f t="shared" si="2"/>
        <v>0</v>
      </c>
      <c r="AE50" s="5">
        <f t="shared" si="2"/>
        <v>0</v>
      </c>
      <c r="AF50" s="5">
        <f t="shared" si="2"/>
        <v>0</v>
      </c>
      <c r="AG50" s="5">
        <f t="shared" si="2"/>
        <v>0</v>
      </c>
      <c r="AH50" s="5">
        <f t="shared" si="2"/>
        <v>0</v>
      </c>
      <c r="AI50" s="5">
        <f t="shared" si="2"/>
        <v>0</v>
      </c>
      <c r="AJ50" s="5">
        <f t="shared" si="2"/>
        <v>0</v>
      </c>
      <c r="AK50" s="5">
        <f t="shared" si="2"/>
        <v>0</v>
      </c>
      <c r="AL50" s="5">
        <f t="shared" si="2"/>
        <v>0</v>
      </c>
      <c r="AM50" s="5">
        <f t="shared" si="2"/>
        <v>0</v>
      </c>
      <c r="AN50" s="5">
        <f t="shared" si="2"/>
        <v>0</v>
      </c>
      <c r="AO50" s="5">
        <f t="shared" si="2"/>
        <v>0</v>
      </c>
      <c r="AP50" s="5">
        <f t="shared" si="2"/>
        <v>0</v>
      </c>
      <c r="AQ50" s="5">
        <f t="shared" si="2"/>
        <v>0</v>
      </c>
      <c r="AR50" s="5">
        <f t="shared" si="2"/>
        <v>0</v>
      </c>
      <c r="AS50" s="5">
        <f t="shared" si="2"/>
        <v>0</v>
      </c>
      <c r="AT50" s="5">
        <f t="shared" si="2"/>
        <v>0</v>
      </c>
      <c r="AU50" s="5">
        <f t="shared" si="2"/>
        <v>0</v>
      </c>
      <c r="AV50" s="5">
        <f t="shared" si="2"/>
        <v>0</v>
      </c>
      <c r="AW50" s="5">
        <f t="shared" si="2"/>
        <v>0</v>
      </c>
      <c r="AX50" s="5">
        <f t="shared" si="2"/>
        <v>0</v>
      </c>
      <c r="AY50" s="5">
        <f t="shared" si="2"/>
        <v>0</v>
      </c>
      <c r="AZ50" s="5">
        <f t="shared" si="2"/>
        <v>0</v>
      </c>
      <c r="BA50" s="5">
        <f t="shared" si="2"/>
        <v>0</v>
      </c>
      <c r="BB50" s="5">
        <f t="shared" si="2"/>
        <v>0</v>
      </c>
      <c r="BC50" s="5">
        <f t="shared" si="2"/>
        <v>0</v>
      </c>
      <c r="BD50" s="5">
        <f t="shared" si="2"/>
        <v>0</v>
      </c>
      <c r="BE50" s="5">
        <f t="shared" si="2"/>
        <v>0</v>
      </c>
      <c r="BF50" s="5">
        <f t="shared" si="2"/>
        <v>0</v>
      </c>
      <c r="BG50" s="5">
        <f t="shared" si="2"/>
        <v>0</v>
      </c>
    </row>
    <row r="51" spans="1:59" s="17" customFormat="1" ht="15.75" hidden="1" customHeight="1">
      <c r="A51" s="85"/>
      <c r="B51" s="87"/>
      <c r="C51" s="89"/>
      <c r="D51" s="91"/>
      <c r="E51" s="89"/>
      <c r="F51" s="89"/>
      <c r="G51" s="93"/>
      <c r="H51" s="90"/>
      <c r="I51" s="90"/>
      <c r="J51" s="90"/>
      <c r="K51" s="20"/>
      <c r="L51" s="20"/>
      <c r="M51" s="20"/>
      <c r="N51" s="97"/>
      <c r="O51" s="21"/>
      <c r="P51" s="27"/>
      <c r="Q51" s="99"/>
      <c r="R51" s="174"/>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6"/>
      <c r="AZ51" s="106"/>
      <c r="BA51" s="106"/>
      <c r="BB51" s="106"/>
      <c r="BC51" s="106"/>
      <c r="BD51" s="106"/>
      <c r="BE51" s="103"/>
      <c r="BF51" s="104"/>
      <c r="BG51" s="104"/>
    </row>
    <row r="52" spans="1:59" s="17" customFormat="1" ht="15.75" hidden="1" customHeight="1">
      <c r="A52" s="86"/>
      <c r="B52" s="88"/>
      <c r="C52" s="90"/>
      <c r="D52" s="92"/>
      <c r="E52" s="90"/>
      <c r="F52" s="90"/>
      <c r="G52" s="94"/>
      <c r="H52" s="95"/>
      <c r="I52" s="95"/>
      <c r="J52" s="95"/>
      <c r="K52" s="22"/>
      <c r="L52" s="18"/>
      <c r="M52" s="18"/>
      <c r="N52" s="98"/>
      <c r="O52" s="19"/>
      <c r="P52" s="22"/>
      <c r="Q52" s="100"/>
      <c r="R52" s="102"/>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7"/>
      <c r="AZ52" s="107"/>
      <c r="BA52" s="107"/>
      <c r="BB52" s="107"/>
      <c r="BC52" s="107"/>
      <c r="BD52" s="107"/>
      <c r="BE52" s="103"/>
      <c r="BF52" s="105"/>
      <c r="BG52" s="105"/>
    </row>
    <row r="53" spans="1:59" s="17" customFormat="1" ht="15.75" hidden="1" customHeight="1">
      <c r="A53" s="101"/>
      <c r="B53" s="114"/>
      <c r="C53" s="116"/>
      <c r="D53" s="118"/>
      <c r="E53" s="118"/>
      <c r="F53" s="116"/>
      <c r="G53" s="120"/>
      <c r="H53" s="90"/>
      <c r="I53" s="90"/>
      <c r="J53" s="90"/>
      <c r="K53" s="20"/>
      <c r="L53" s="20"/>
      <c r="M53" s="20"/>
      <c r="N53" s="97" t="e">
        <f>O54/L54</f>
        <v>#DIV/0!</v>
      </c>
      <c r="O53" s="21">
        <f t="shared" ref="O53:O60" si="3">L53-M53</f>
        <v>0</v>
      </c>
      <c r="P53" s="27"/>
      <c r="Q53" s="99">
        <f>+L54-P54</f>
        <v>0</v>
      </c>
      <c r="R53" s="174"/>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5.75" hidden="1" customHeight="1">
      <c r="A54" s="102"/>
      <c r="B54" s="115"/>
      <c r="C54" s="117"/>
      <c r="D54" s="119"/>
      <c r="E54" s="119"/>
      <c r="F54" s="117"/>
      <c r="G54" s="121"/>
      <c r="H54" s="95"/>
      <c r="I54" s="95"/>
      <c r="J54" s="95"/>
      <c r="K54" s="22"/>
      <c r="L54" s="18"/>
      <c r="M54" s="18"/>
      <c r="N54" s="98"/>
      <c r="O54" s="19">
        <f t="shared" si="3"/>
        <v>0</v>
      </c>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5.75" hidden="1" customHeight="1">
      <c r="A55" s="101"/>
      <c r="B55" s="114"/>
      <c r="C55" s="116"/>
      <c r="D55" s="118"/>
      <c r="E55" s="118"/>
      <c r="F55" s="116"/>
      <c r="G55" s="120"/>
      <c r="H55" s="90"/>
      <c r="I55" s="90"/>
      <c r="J55" s="90"/>
      <c r="K55" s="20"/>
      <c r="L55" s="20"/>
      <c r="M55" s="20"/>
      <c r="N55" s="97" t="e">
        <f>O56/L56</f>
        <v>#DIV/0!</v>
      </c>
      <c r="O55" s="21">
        <f t="shared" si="3"/>
        <v>0</v>
      </c>
      <c r="P55" s="27"/>
      <c r="Q55" s="99">
        <f>+L56-P56</f>
        <v>0</v>
      </c>
      <c r="R55" s="174"/>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5.75" hidden="1" customHeight="1">
      <c r="A56" s="102"/>
      <c r="B56" s="115"/>
      <c r="C56" s="117"/>
      <c r="D56" s="119"/>
      <c r="E56" s="119"/>
      <c r="F56" s="117"/>
      <c r="G56" s="121"/>
      <c r="H56" s="95"/>
      <c r="I56" s="95"/>
      <c r="J56" s="95"/>
      <c r="K56" s="22"/>
      <c r="L56" s="18"/>
      <c r="M56" s="18"/>
      <c r="N56" s="98"/>
      <c r="O56" s="19">
        <f t="shared" si="3"/>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5.75" hidden="1" customHeight="1">
      <c r="A57" s="101"/>
      <c r="B57" s="114"/>
      <c r="C57" s="116"/>
      <c r="D57" s="118"/>
      <c r="E57" s="118"/>
      <c r="F57" s="116"/>
      <c r="G57" s="120"/>
      <c r="H57" s="90"/>
      <c r="I57" s="90"/>
      <c r="J57" s="90"/>
      <c r="K57" s="20"/>
      <c r="L57" s="20"/>
      <c r="M57" s="20"/>
      <c r="N57" s="97" t="e">
        <f>O58/L58</f>
        <v>#DIV/0!</v>
      </c>
      <c r="O57" s="21">
        <f t="shared" si="3"/>
        <v>0</v>
      </c>
      <c r="P57" s="27"/>
      <c r="Q57" s="99">
        <f>+L58-P58</f>
        <v>0</v>
      </c>
      <c r="R57" s="174"/>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5.75" hidden="1" customHeight="1">
      <c r="A58" s="102"/>
      <c r="B58" s="115"/>
      <c r="C58" s="117"/>
      <c r="D58" s="119"/>
      <c r="E58" s="119"/>
      <c r="F58" s="117"/>
      <c r="G58" s="121"/>
      <c r="H58" s="95"/>
      <c r="I58" s="95"/>
      <c r="J58" s="95"/>
      <c r="K58" s="22"/>
      <c r="L58" s="18"/>
      <c r="M58" s="18"/>
      <c r="N58" s="98"/>
      <c r="O58" s="19">
        <f t="shared" si="3"/>
        <v>0</v>
      </c>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s="17" customFormat="1" ht="15.75" hidden="1" customHeight="1">
      <c r="A59" s="101"/>
      <c r="B59" s="114"/>
      <c r="C59" s="116"/>
      <c r="D59" s="118"/>
      <c r="E59" s="118"/>
      <c r="F59" s="116"/>
      <c r="G59" s="120"/>
      <c r="H59" s="109"/>
      <c r="I59" s="90"/>
      <c r="J59" s="90"/>
      <c r="K59" s="20"/>
      <c r="L59" s="20"/>
      <c r="M59" s="20"/>
      <c r="N59" s="97" t="e">
        <f>O60/L60</f>
        <v>#DIV/0!</v>
      </c>
      <c r="O59" s="21">
        <f t="shared" si="3"/>
        <v>0</v>
      </c>
      <c r="P59" s="27"/>
      <c r="Q59" s="99">
        <f>+L60-P60</f>
        <v>0</v>
      </c>
      <c r="R59" s="174"/>
      <c r="S59" s="96"/>
      <c r="T59" s="96"/>
      <c r="U59" s="96"/>
      <c r="V59" s="96"/>
      <c r="W59" s="96"/>
      <c r="X59" s="96"/>
      <c r="Y59" s="96"/>
      <c r="Z59" s="96"/>
      <c r="AA59" s="96"/>
      <c r="AB59" s="96"/>
      <c r="AC59" s="96"/>
      <c r="AD59" s="96"/>
      <c r="AE59" s="96"/>
      <c r="AF59" s="96"/>
      <c r="AG59" s="96"/>
      <c r="AH59" s="96"/>
      <c r="AI59" s="96"/>
      <c r="AJ59" s="96"/>
      <c r="AK59" s="96"/>
      <c r="AL59" s="96"/>
      <c r="AM59" s="103"/>
      <c r="AN59" s="103"/>
      <c r="AO59" s="103"/>
      <c r="AP59" s="103"/>
      <c r="AQ59" s="103"/>
      <c r="AR59" s="103"/>
      <c r="AS59" s="103"/>
      <c r="AT59" s="103"/>
      <c r="AU59" s="103"/>
      <c r="AV59" s="103"/>
      <c r="AW59" s="103"/>
      <c r="AX59" s="103"/>
      <c r="AY59" s="106"/>
      <c r="AZ59" s="106"/>
      <c r="BA59" s="106"/>
      <c r="BB59" s="106"/>
      <c r="BC59" s="106"/>
      <c r="BD59" s="106"/>
      <c r="BE59" s="103"/>
      <c r="BF59" s="104"/>
      <c r="BG59" s="104"/>
    </row>
    <row r="60" spans="1:59" s="17" customFormat="1" ht="15.75" hidden="1" customHeight="1">
      <c r="A60" s="102"/>
      <c r="B60" s="115"/>
      <c r="C60" s="117"/>
      <c r="D60" s="119"/>
      <c r="E60" s="119"/>
      <c r="F60" s="117"/>
      <c r="G60" s="121"/>
      <c r="H60" s="95"/>
      <c r="I60" s="95"/>
      <c r="J60" s="95"/>
      <c r="K60" s="22"/>
      <c r="L60" s="18"/>
      <c r="M60" s="18"/>
      <c r="N60" s="98"/>
      <c r="O60" s="19">
        <f t="shared" si="3"/>
        <v>0</v>
      </c>
      <c r="P60" s="22"/>
      <c r="Q60" s="100"/>
      <c r="R60" s="102"/>
      <c r="S60" s="96"/>
      <c r="T60" s="96"/>
      <c r="U60" s="96"/>
      <c r="V60" s="96"/>
      <c r="W60" s="96"/>
      <c r="X60" s="96"/>
      <c r="Y60" s="96"/>
      <c r="Z60" s="96"/>
      <c r="AA60" s="96"/>
      <c r="AB60" s="96"/>
      <c r="AC60" s="96"/>
      <c r="AD60" s="96"/>
      <c r="AE60" s="96"/>
      <c r="AF60" s="96"/>
      <c r="AG60" s="96"/>
      <c r="AH60" s="96"/>
      <c r="AI60" s="96"/>
      <c r="AJ60" s="96"/>
      <c r="AK60" s="96"/>
      <c r="AL60" s="96"/>
      <c r="AM60" s="103"/>
      <c r="AN60" s="103"/>
      <c r="AO60" s="103"/>
      <c r="AP60" s="103"/>
      <c r="AQ60" s="103"/>
      <c r="AR60" s="103"/>
      <c r="AS60" s="103"/>
      <c r="AT60" s="103"/>
      <c r="AU60" s="103"/>
      <c r="AV60" s="103"/>
      <c r="AW60" s="103"/>
      <c r="AX60" s="103"/>
      <c r="AY60" s="107"/>
      <c r="AZ60" s="107"/>
      <c r="BA60" s="107"/>
      <c r="BB60" s="107"/>
      <c r="BC60" s="107"/>
      <c r="BD60" s="107"/>
      <c r="BE60" s="103"/>
      <c r="BF60" s="105"/>
      <c r="BG60" s="105"/>
    </row>
    <row r="61" spans="1:59" s="17" customFormat="1" ht="15.75" hidden="1" customHeight="1">
      <c r="A61" s="101"/>
      <c r="B61" s="114"/>
      <c r="C61" s="116"/>
      <c r="D61" s="118"/>
      <c r="E61" s="116"/>
      <c r="F61" s="116"/>
      <c r="G61" s="120"/>
      <c r="H61" s="90"/>
      <c r="I61" s="90"/>
      <c r="J61" s="90"/>
      <c r="K61" s="20"/>
      <c r="L61" s="20"/>
      <c r="M61" s="20"/>
      <c r="N61" s="97" t="e">
        <f>O62/L62</f>
        <v>#DIV/0!</v>
      </c>
      <c r="O61" s="21"/>
      <c r="P61" s="27"/>
      <c r="Q61" s="99"/>
      <c r="R61" s="174"/>
      <c r="S61" s="96"/>
      <c r="T61" s="96"/>
      <c r="U61" s="96"/>
      <c r="V61" s="96"/>
      <c r="W61" s="96"/>
      <c r="X61" s="96"/>
      <c r="Y61" s="96"/>
      <c r="Z61" s="96"/>
      <c r="AA61" s="96"/>
      <c r="AB61" s="96"/>
      <c r="AC61" s="96"/>
      <c r="AD61" s="96"/>
      <c r="AE61" s="96"/>
      <c r="AF61" s="96"/>
      <c r="AG61" s="96"/>
      <c r="AH61" s="96"/>
      <c r="AI61" s="96"/>
      <c r="AJ61" s="96"/>
      <c r="AK61" s="96"/>
      <c r="AL61" s="96"/>
      <c r="AM61" s="103"/>
      <c r="AN61" s="103"/>
      <c r="AO61" s="103"/>
      <c r="AP61" s="103"/>
      <c r="AQ61" s="103"/>
      <c r="AR61" s="103"/>
      <c r="AS61" s="103"/>
      <c r="AT61" s="103"/>
      <c r="AU61" s="103"/>
      <c r="AV61" s="103"/>
      <c r="AW61" s="103"/>
      <c r="AX61" s="103"/>
      <c r="AY61" s="106"/>
      <c r="AZ61" s="106"/>
      <c r="BA61" s="106"/>
      <c r="BB61" s="106"/>
      <c r="BC61" s="106"/>
      <c r="BD61" s="106"/>
      <c r="BE61" s="103"/>
      <c r="BF61" s="104"/>
      <c r="BG61" s="104"/>
    </row>
    <row r="62" spans="1:59" s="17" customFormat="1" ht="15.75" hidden="1" customHeight="1">
      <c r="A62" s="102"/>
      <c r="B62" s="115"/>
      <c r="C62" s="117"/>
      <c r="D62" s="119"/>
      <c r="E62" s="117"/>
      <c r="F62" s="117"/>
      <c r="G62" s="121"/>
      <c r="H62" s="95"/>
      <c r="I62" s="95"/>
      <c r="J62" s="95"/>
      <c r="K62" s="22"/>
      <c r="L62" s="18"/>
      <c r="M62" s="18"/>
      <c r="N62" s="98"/>
      <c r="O62" s="19"/>
      <c r="P62" s="22"/>
      <c r="Q62" s="100"/>
      <c r="R62" s="102"/>
      <c r="S62" s="96"/>
      <c r="T62" s="96"/>
      <c r="U62" s="96"/>
      <c r="V62" s="96"/>
      <c r="W62" s="96"/>
      <c r="X62" s="96"/>
      <c r="Y62" s="96"/>
      <c r="Z62" s="96"/>
      <c r="AA62" s="96"/>
      <c r="AB62" s="96"/>
      <c r="AC62" s="96"/>
      <c r="AD62" s="96"/>
      <c r="AE62" s="96"/>
      <c r="AF62" s="96"/>
      <c r="AG62" s="96"/>
      <c r="AH62" s="96"/>
      <c r="AI62" s="96"/>
      <c r="AJ62" s="96"/>
      <c r="AK62" s="96"/>
      <c r="AL62" s="96"/>
      <c r="AM62" s="103"/>
      <c r="AN62" s="103"/>
      <c r="AO62" s="103"/>
      <c r="AP62" s="103"/>
      <c r="AQ62" s="103"/>
      <c r="AR62" s="103"/>
      <c r="AS62" s="103"/>
      <c r="AT62" s="103"/>
      <c r="AU62" s="103"/>
      <c r="AV62" s="103"/>
      <c r="AW62" s="103"/>
      <c r="AX62" s="103"/>
      <c r="AY62" s="107"/>
      <c r="AZ62" s="107"/>
      <c r="BA62" s="107"/>
      <c r="BB62" s="107"/>
      <c r="BC62" s="107"/>
      <c r="BD62" s="107"/>
      <c r="BE62" s="103"/>
      <c r="BF62" s="105"/>
      <c r="BG62" s="105"/>
    </row>
    <row r="63" spans="1:59" ht="24.75" hidden="1" customHeight="1">
      <c r="A63" s="111" t="s">
        <v>74</v>
      </c>
      <c r="B63" s="112"/>
      <c r="C63" s="112"/>
      <c r="D63" s="112"/>
      <c r="E63" s="112"/>
      <c r="F63" s="112"/>
      <c r="G63" s="112"/>
      <c r="H63" s="112"/>
      <c r="I63" s="113"/>
      <c r="J63" s="5">
        <f>+SUMPRODUCT(((MOD(ROW(J51:J62),2)=1)*(J51:J62)))</f>
        <v>0</v>
      </c>
      <c r="K63" s="5">
        <f>+SUMPRODUCT(((MOD(ROW(K51:K62),2)=1)*(K51:K62)))</f>
        <v>0</v>
      </c>
      <c r="L63" s="5">
        <f>+SUMPRODUCT(((MOD(ROW(L51:L62),2)=1)*(L51:L62)))</f>
        <v>0</v>
      </c>
      <c r="M63" s="5">
        <f>+SUMPRODUCT(((MOD(ROW(M51:M62),2)=1)*(M51:M62)))</f>
        <v>0</v>
      </c>
      <c r="N63" s="23" t="e">
        <f>O63/L63</f>
        <v>#DIV/0!</v>
      </c>
      <c r="O63" s="5">
        <f>+SUMPRODUCT(((MOD(ROW(O51:O62),2)=1)*(O51:O62)))</f>
        <v>0</v>
      </c>
      <c r="P63" s="5">
        <f>+SUMPRODUCT(((MOD(ROW(P51:P62),2)=1)*(P51:P62)))</f>
        <v>0</v>
      </c>
      <c r="Q63" s="29">
        <f>SUM(Q51:Q62)</f>
        <v>0</v>
      </c>
      <c r="R63" s="69"/>
      <c r="S63" s="68">
        <f t="shared" ref="S63:BG63" si="4">SUM(S51:S62)</f>
        <v>0</v>
      </c>
      <c r="T63" s="68">
        <f t="shared" si="4"/>
        <v>0</v>
      </c>
      <c r="U63" s="68">
        <f t="shared" si="4"/>
        <v>0</v>
      </c>
      <c r="V63" s="68">
        <f t="shared" si="4"/>
        <v>0</v>
      </c>
      <c r="W63" s="68">
        <f t="shared" si="4"/>
        <v>0</v>
      </c>
      <c r="X63" s="68">
        <f t="shared" si="4"/>
        <v>0</v>
      </c>
      <c r="Y63" s="5">
        <f t="shared" si="4"/>
        <v>0</v>
      </c>
      <c r="Z63" s="5">
        <f t="shared" si="4"/>
        <v>0</v>
      </c>
      <c r="AA63" s="5">
        <f t="shared" si="4"/>
        <v>0</v>
      </c>
      <c r="AB63" s="5">
        <f t="shared" si="4"/>
        <v>0</v>
      </c>
      <c r="AC63" s="5">
        <f t="shared" si="4"/>
        <v>0</v>
      </c>
      <c r="AD63" s="5">
        <f t="shared" si="4"/>
        <v>0</v>
      </c>
      <c r="AE63" s="5">
        <f t="shared" si="4"/>
        <v>0</v>
      </c>
      <c r="AF63" s="5">
        <f t="shared" si="4"/>
        <v>0</v>
      </c>
      <c r="AG63" s="5">
        <f t="shared" si="4"/>
        <v>0</v>
      </c>
      <c r="AH63" s="5">
        <f t="shared" si="4"/>
        <v>0</v>
      </c>
      <c r="AI63" s="5">
        <f t="shared" si="4"/>
        <v>0</v>
      </c>
      <c r="AJ63" s="5">
        <f t="shared" si="4"/>
        <v>0</v>
      </c>
      <c r="AK63" s="5">
        <f t="shared" si="4"/>
        <v>0</v>
      </c>
      <c r="AL63" s="5">
        <f t="shared" si="4"/>
        <v>0</v>
      </c>
      <c r="AM63" s="5">
        <f t="shared" si="4"/>
        <v>0</v>
      </c>
      <c r="AN63" s="5">
        <f t="shared" si="4"/>
        <v>0</v>
      </c>
      <c r="AO63" s="5">
        <f t="shared" si="4"/>
        <v>0</v>
      </c>
      <c r="AP63" s="5">
        <f t="shared" si="4"/>
        <v>0</v>
      </c>
      <c r="AQ63" s="5">
        <f t="shared" si="4"/>
        <v>0</v>
      </c>
      <c r="AR63" s="5">
        <f t="shared" si="4"/>
        <v>0</v>
      </c>
      <c r="AS63" s="5">
        <f t="shared" si="4"/>
        <v>0</v>
      </c>
      <c r="AT63" s="5">
        <f t="shared" si="4"/>
        <v>0</v>
      </c>
      <c r="AU63" s="5">
        <f t="shared" si="4"/>
        <v>0</v>
      </c>
      <c r="AV63" s="5">
        <f t="shared" si="4"/>
        <v>0</v>
      </c>
      <c r="AW63" s="5">
        <f t="shared" si="4"/>
        <v>0</v>
      </c>
      <c r="AX63" s="5">
        <f t="shared" si="4"/>
        <v>0</v>
      </c>
      <c r="AY63" s="5">
        <f t="shared" si="4"/>
        <v>0</v>
      </c>
      <c r="AZ63" s="5">
        <f t="shared" si="4"/>
        <v>0</v>
      </c>
      <c r="BA63" s="5">
        <f t="shared" si="4"/>
        <v>0</v>
      </c>
      <c r="BB63" s="5">
        <f t="shared" si="4"/>
        <v>0</v>
      </c>
      <c r="BC63" s="5">
        <f t="shared" si="4"/>
        <v>0</v>
      </c>
      <c r="BD63" s="5">
        <f t="shared" si="4"/>
        <v>0</v>
      </c>
      <c r="BE63" s="5">
        <f t="shared" si="4"/>
        <v>0</v>
      </c>
      <c r="BF63" s="5">
        <f t="shared" si="4"/>
        <v>0</v>
      </c>
      <c r="BG63" s="5">
        <f t="shared" si="4"/>
        <v>0</v>
      </c>
    </row>
    <row r="64" spans="1:59" ht="24.75" customHeight="1">
      <c r="A64" s="122" t="s">
        <v>5</v>
      </c>
      <c r="B64" s="122"/>
      <c r="C64" s="122"/>
      <c r="D64" s="122"/>
      <c r="E64" s="122"/>
      <c r="F64" s="122"/>
      <c r="G64" s="122"/>
      <c r="H64" s="122"/>
      <c r="I64" s="122"/>
      <c r="J64" s="30">
        <f>J43+J63+J50</f>
        <v>25620</v>
      </c>
      <c r="K64" s="71">
        <f>K43+K50+K63</f>
        <v>877</v>
      </c>
      <c r="L64" s="71">
        <f>L43+L50+L63</f>
        <v>964</v>
      </c>
      <c r="M64" s="71">
        <f>M43+M50+M63</f>
        <v>402</v>
      </c>
      <c r="N64" s="32">
        <f>O64/L64</f>
        <v>0.58298755186721996</v>
      </c>
      <c r="O64" s="71">
        <f>O43+O50+O63</f>
        <v>562</v>
      </c>
      <c r="P64" s="71">
        <f>P43+P50+P63</f>
        <v>1432</v>
      </c>
      <c r="Q64" s="71">
        <f>Q43+Q50+Q63</f>
        <v>1163</v>
      </c>
      <c r="R64" s="71"/>
      <c r="S64" s="71">
        <f t="shared" ref="S64:BG64" si="5">S43+S50+S63</f>
        <v>9</v>
      </c>
      <c r="T64" s="71">
        <f t="shared" si="5"/>
        <v>130</v>
      </c>
      <c r="U64" s="71">
        <f t="shared" si="5"/>
        <v>26</v>
      </c>
      <c r="V64" s="71">
        <f t="shared" si="5"/>
        <v>0</v>
      </c>
      <c r="W64" s="71">
        <f t="shared" si="5"/>
        <v>0</v>
      </c>
      <c r="X64" s="71">
        <f t="shared" si="5"/>
        <v>8</v>
      </c>
      <c r="Y64" s="71">
        <f t="shared" si="5"/>
        <v>4</v>
      </c>
      <c r="Z64" s="71">
        <f t="shared" si="5"/>
        <v>8</v>
      </c>
      <c r="AA64" s="71">
        <f t="shared" si="5"/>
        <v>0</v>
      </c>
      <c r="AB64" s="71">
        <f t="shared" si="5"/>
        <v>0</v>
      </c>
      <c r="AC64" s="71">
        <f t="shared" si="5"/>
        <v>67</v>
      </c>
      <c r="AD64" s="71">
        <f t="shared" si="5"/>
        <v>15</v>
      </c>
      <c r="AE64" s="71">
        <f t="shared" si="5"/>
        <v>35</v>
      </c>
      <c r="AF64" s="71">
        <f t="shared" si="5"/>
        <v>47</v>
      </c>
      <c r="AG64" s="71">
        <f t="shared" si="5"/>
        <v>50</v>
      </c>
      <c r="AH64" s="71">
        <f t="shared" si="5"/>
        <v>90</v>
      </c>
      <c r="AI64" s="71">
        <f t="shared" si="5"/>
        <v>0</v>
      </c>
      <c r="AJ64" s="71">
        <f t="shared" si="5"/>
        <v>11</v>
      </c>
      <c r="AK64" s="71">
        <f t="shared" si="5"/>
        <v>10</v>
      </c>
      <c r="AL64" s="71">
        <f t="shared" si="5"/>
        <v>52</v>
      </c>
      <c r="AM64" s="71">
        <f t="shared" si="5"/>
        <v>0</v>
      </c>
      <c r="AN64" s="71">
        <f t="shared" si="5"/>
        <v>0</v>
      </c>
      <c r="AO64" s="71">
        <f t="shared" si="5"/>
        <v>0</v>
      </c>
      <c r="AP64" s="71">
        <f t="shared" si="5"/>
        <v>0</v>
      </c>
      <c r="AQ64" s="71">
        <f t="shared" si="5"/>
        <v>0</v>
      </c>
      <c r="AR64" s="71">
        <f t="shared" si="5"/>
        <v>0</v>
      </c>
      <c r="AS64" s="71">
        <f t="shared" si="5"/>
        <v>0</v>
      </c>
      <c r="AT64" s="71">
        <f t="shared" si="5"/>
        <v>0</v>
      </c>
      <c r="AU64" s="71">
        <f t="shared" si="5"/>
        <v>0</v>
      </c>
      <c r="AV64" s="71">
        <f t="shared" si="5"/>
        <v>0</v>
      </c>
      <c r="AW64" s="71">
        <f t="shared" si="5"/>
        <v>0</v>
      </c>
      <c r="AX64" s="71">
        <f t="shared" si="5"/>
        <v>0</v>
      </c>
      <c r="AY64" s="71">
        <f t="shared" si="5"/>
        <v>0</v>
      </c>
      <c r="AZ64" s="71">
        <f t="shared" si="5"/>
        <v>0</v>
      </c>
      <c r="BA64" s="71">
        <f t="shared" si="5"/>
        <v>0</v>
      </c>
      <c r="BB64" s="71">
        <f t="shared" si="5"/>
        <v>0</v>
      </c>
      <c r="BC64" s="71">
        <f t="shared" si="5"/>
        <v>0</v>
      </c>
      <c r="BD64" s="71">
        <f t="shared" si="5"/>
        <v>0</v>
      </c>
      <c r="BE64" s="71">
        <f t="shared" si="5"/>
        <v>0</v>
      </c>
      <c r="BF64" s="71">
        <f t="shared" si="5"/>
        <v>0</v>
      </c>
      <c r="BG64" s="71">
        <f t="shared" si="5"/>
        <v>0</v>
      </c>
    </row>
    <row r="65" spans="1:59" ht="31.8">
      <c r="A65" s="81" t="s">
        <v>36</v>
      </c>
      <c r="B65" s="81"/>
      <c r="C65" s="81"/>
      <c r="D65" s="81"/>
      <c r="E65" s="81"/>
      <c r="F65" s="81"/>
      <c r="G65" s="81"/>
      <c r="H65" s="81"/>
      <c r="I65" s="81"/>
      <c r="J65" s="81"/>
      <c r="K65" s="81"/>
      <c r="L65" s="81"/>
      <c r="M65" s="81"/>
      <c r="N65" s="81"/>
      <c r="O65" s="81"/>
      <c r="P65" s="24"/>
      <c r="Q65" s="24"/>
      <c r="R65" s="67"/>
      <c r="S65" s="67"/>
      <c r="T65" s="67"/>
      <c r="U65" s="176"/>
      <c r="V65" s="66"/>
      <c r="W65" s="65"/>
      <c r="AM65" s="34"/>
      <c r="AN65" s="34"/>
      <c r="AO65" s="34"/>
      <c r="AP65" s="34"/>
      <c r="AQ65" s="34"/>
      <c r="AR65" s="34"/>
      <c r="AS65" s="34"/>
      <c r="AT65" s="34"/>
      <c r="AU65" s="34"/>
      <c r="AV65" s="34"/>
      <c r="AW65" s="34"/>
      <c r="AX65" s="34"/>
      <c r="AY65" s="34"/>
      <c r="AZ65" s="34"/>
      <c r="BA65" s="34"/>
      <c r="BB65" s="34"/>
      <c r="BC65" s="34"/>
      <c r="BD65" s="34"/>
      <c r="BE65" s="34"/>
      <c r="BF65" s="34"/>
      <c r="BG65" s="34"/>
    </row>
    <row r="66" spans="1:59" ht="33.75" customHeight="1">
      <c r="A66" s="82" t="s">
        <v>13</v>
      </c>
      <c r="B66" s="82"/>
      <c r="C66" s="82"/>
      <c r="D66" s="82"/>
      <c r="E66" s="82"/>
      <c r="F66" s="82"/>
      <c r="G66" s="82"/>
      <c r="H66" s="82"/>
      <c r="I66" s="82"/>
      <c r="J66" s="82"/>
      <c r="K66" s="82"/>
      <c r="L66" s="82"/>
      <c r="M66" s="82"/>
      <c r="N66" s="82"/>
      <c r="O66" s="82"/>
      <c r="R66" s="64"/>
      <c r="S66" s="64"/>
      <c r="T66" s="64"/>
      <c r="U66" s="176"/>
      <c r="V66" s="63"/>
      <c r="W66" s="62"/>
      <c r="AM66" s="34"/>
      <c r="AN66" s="34"/>
      <c r="AO66" s="34"/>
      <c r="AP66" s="34"/>
      <c r="AQ66" s="34"/>
      <c r="AR66" s="34"/>
      <c r="AS66" s="34"/>
      <c r="AT66" s="34"/>
      <c r="AU66" s="34"/>
      <c r="AV66" s="34"/>
      <c r="AW66" s="34"/>
      <c r="AX66" s="34"/>
      <c r="AY66" s="34"/>
      <c r="AZ66" s="34"/>
      <c r="BA66" s="34"/>
      <c r="BB66" s="34"/>
      <c r="BC66" s="34"/>
      <c r="BD66" s="34"/>
      <c r="BE66" s="34"/>
      <c r="BF66" s="34"/>
      <c r="BG66" s="34"/>
    </row>
    <row r="67" spans="1:59" ht="62.4">
      <c r="A67" s="9" t="s">
        <v>0</v>
      </c>
      <c r="B67" s="10" t="s">
        <v>34</v>
      </c>
      <c r="C67" s="11" t="s">
        <v>7</v>
      </c>
      <c r="D67" s="12" t="s">
        <v>1</v>
      </c>
      <c r="E67" s="13" t="s">
        <v>4</v>
      </c>
      <c r="F67" s="13" t="s">
        <v>2</v>
      </c>
      <c r="G67" s="13" t="s">
        <v>3</v>
      </c>
      <c r="H67" s="11" t="s">
        <v>6</v>
      </c>
      <c r="I67" s="14" t="s">
        <v>8</v>
      </c>
      <c r="J67" s="14" t="s">
        <v>17</v>
      </c>
      <c r="K67" s="12" t="s">
        <v>9</v>
      </c>
      <c r="L67" s="15" t="s">
        <v>10</v>
      </c>
      <c r="M67" s="15" t="s">
        <v>11</v>
      </c>
      <c r="N67" s="15" t="s">
        <v>12</v>
      </c>
      <c r="O67" s="15" t="s">
        <v>14</v>
      </c>
      <c r="P67" s="26" t="s">
        <v>16</v>
      </c>
      <c r="Q67" s="15" t="s">
        <v>42</v>
      </c>
      <c r="R67" s="15" t="s">
        <v>44</v>
      </c>
      <c r="S67" s="83">
        <v>101</v>
      </c>
      <c r="T67" s="83">
        <v>102</v>
      </c>
      <c r="U67" s="80">
        <v>106</v>
      </c>
      <c r="V67" s="80">
        <v>108</v>
      </c>
      <c r="W67" s="80">
        <v>109</v>
      </c>
      <c r="X67" s="80">
        <v>113</v>
      </c>
      <c r="Y67" s="80">
        <v>114</v>
      </c>
      <c r="Z67" s="80">
        <v>115</v>
      </c>
      <c r="AA67" s="80">
        <v>116</v>
      </c>
      <c r="AB67" s="80">
        <v>199</v>
      </c>
      <c r="AC67" s="80">
        <v>201</v>
      </c>
      <c r="AD67" s="80">
        <v>202</v>
      </c>
      <c r="AE67" s="80">
        <v>203</v>
      </c>
      <c r="AF67" s="80">
        <v>205</v>
      </c>
      <c r="AG67" s="80">
        <v>206</v>
      </c>
      <c r="AH67" s="79">
        <v>209</v>
      </c>
      <c r="AI67" s="79">
        <v>212</v>
      </c>
      <c r="AJ67" s="79">
        <v>216</v>
      </c>
      <c r="AK67" s="79">
        <v>217</v>
      </c>
      <c r="AL67" s="79">
        <v>299</v>
      </c>
      <c r="AM67" s="79">
        <v>301</v>
      </c>
      <c r="AN67" s="79">
        <v>302</v>
      </c>
      <c r="AO67" s="79">
        <v>399</v>
      </c>
      <c r="AP67" s="79">
        <v>401</v>
      </c>
      <c r="AQ67" s="79">
        <v>402</v>
      </c>
      <c r="AR67" s="79">
        <v>411</v>
      </c>
      <c r="AS67" s="79">
        <v>412</v>
      </c>
      <c r="AT67" s="79">
        <v>413</v>
      </c>
      <c r="AU67" s="79">
        <v>499</v>
      </c>
      <c r="AV67" s="79">
        <v>501</v>
      </c>
      <c r="AW67" s="79">
        <v>502</v>
      </c>
      <c r="AX67" s="79">
        <v>599</v>
      </c>
      <c r="AY67" s="79">
        <v>604</v>
      </c>
      <c r="AZ67" s="79">
        <v>605</v>
      </c>
      <c r="BA67" s="79">
        <v>699</v>
      </c>
      <c r="BB67" s="79">
        <v>701</v>
      </c>
      <c r="BC67" s="79">
        <v>702</v>
      </c>
      <c r="BD67" s="79">
        <v>703</v>
      </c>
      <c r="BE67" s="79">
        <v>704</v>
      </c>
      <c r="BF67" s="79">
        <v>799</v>
      </c>
      <c r="BG67" s="84">
        <v>999</v>
      </c>
    </row>
    <row r="68" spans="1:59" ht="62.25" customHeight="1">
      <c r="A68" s="10" t="s">
        <v>18</v>
      </c>
      <c r="B68" s="10" t="s">
        <v>19</v>
      </c>
      <c r="C68" s="13" t="s">
        <v>20</v>
      </c>
      <c r="D68" s="12" t="s">
        <v>21</v>
      </c>
      <c r="E68" s="13" t="s">
        <v>22</v>
      </c>
      <c r="F68" s="13" t="s">
        <v>23</v>
      </c>
      <c r="G68" s="13" t="s">
        <v>25</v>
      </c>
      <c r="H68" s="13" t="s">
        <v>24</v>
      </c>
      <c r="I68" s="14" t="s">
        <v>26</v>
      </c>
      <c r="J68" s="14" t="s">
        <v>27</v>
      </c>
      <c r="K68" s="15" t="s">
        <v>28</v>
      </c>
      <c r="L68" s="15" t="s">
        <v>29</v>
      </c>
      <c r="M68" s="15" t="s">
        <v>30</v>
      </c>
      <c r="N68" s="15" t="s">
        <v>32</v>
      </c>
      <c r="O68" s="15" t="s">
        <v>31</v>
      </c>
      <c r="P68" s="26" t="s">
        <v>33</v>
      </c>
      <c r="Q68" s="15" t="s">
        <v>43</v>
      </c>
      <c r="R68" s="15" t="s">
        <v>45</v>
      </c>
      <c r="S68" s="83"/>
      <c r="T68" s="83"/>
      <c r="U68" s="80"/>
      <c r="V68" s="80"/>
      <c r="W68" s="80"/>
      <c r="X68" s="80"/>
      <c r="Y68" s="80"/>
      <c r="Z68" s="80"/>
      <c r="AA68" s="80"/>
      <c r="AB68" s="80"/>
      <c r="AC68" s="80"/>
      <c r="AD68" s="80"/>
      <c r="AE68" s="80"/>
      <c r="AF68" s="80"/>
      <c r="AG68" s="80"/>
      <c r="AH68" s="79"/>
      <c r="AI68" s="79"/>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84"/>
    </row>
    <row r="69" spans="1:59" s="17" customFormat="1" ht="15.75" hidden="1" customHeight="1">
      <c r="A69" s="108"/>
      <c r="B69" s="87"/>
      <c r="C69" s="89"/>
      <c r="D69" s="91"/>
      <c r="E69" s="89"/>
      <c r="F69" s="89"/>
      <c r="G69" s="93"/>
      <c r="H69" s="89"/>
      <c r="I69" s="89"/>
      <c r="J69" s="89"/>
      <c r="K69" s="20"/>
      <c r="L69" s="20"/>
      <c r="M69" s="20"/>
      <c r="N69" s="146" t="e">
        <f>O70/L70</f>
        <v>#DIV/0!</v>
      </c>
      <c r="O69" s="21">
        <f t="shared" ref="O69:O74" si="6">L69-M69</f>
        <v>0</v>
      </c>
      <c r="P69" s="27"/>
      <c r="Q69" s="99">
        <f>+L70-P70</f>
        <v>0</v>
      </c>
      <c r="R69" s="108"/>
      <c r="S69" s="149"/>
      <c r="T69" s="149"/>
      <c r="U69" s="149"/>
      <c r="V69" s="149"/>
      <c r="W69" s="149"/>
      <c r="X69" s="149"/>
      <c r="Y69" s="149"/>
      <c r="Z69" s="149"/>
      <c r="AA69" s="149"/>
      <c r="AB69" s="149"/>
      <c r="AC69" s="149"/>
      <c r="AD69" s="149"/>
      <c r="AE69" s="149"/>
      <c r="AF69" s="149"/>
      <c r="AG69" s="149"/>
      <c r="AH69" s="149"/>
      <c r="AI69" s="149"/>
      <c r="AJ69" s="149"/>
      <c r="AK69" s="149"/>
      <c r="AL69" s="149"/>
      <c r="AM69" s="163"/>
      <c r="AN69" s="163"/>
      <c r="AO69" s="163"/>
      <c r="AP69" s="163"/>
      <c r="AQ69" s="163"/>
      <c r="AR69" s="163"/>
      <c r="AS69" s="163"/>
      <c r="AT69" s="163"/>
      <c r="AU69" s="163"/>
      <c r="AV69" s="163"/>
      <c r="AW69" s="163"/>
      <c r="AX69" s="163"/>
      <c r="AY69" s="167"/>
      <c r="AZ69" s="167"/>
      <c r="BA69" s="167"/>
      <c r="BB69" s="167"/>
      <c r="BC69" s="167"/>
      <c r="BD69" s="161"/>
      <c r="BE69" s="163"/>
      <c r="BF69" s="165"/>
      <c r="BG69" s="165"/>
    </row>
    <row r="70" spans="1:59" s="17" customFormat="1" ht="15.75" hidden="1" customHeight="1">
      <c r="A70" s="85"/>
      <c r="B70" s="88"/>
      <c r="C70" s="90"/>
      <c r="D70" s="92"/>
      <c r="E70" s="90"/>
      <c r="F70" s="90"/>
      <c r="G70" s="94"/>
      <c r="H70" s="90"/>
      <c r="I70" s="90"/>
      <c r="J70" s="90"/>
      <c r="K70" s="22"/>
      <c r="L70" s="18"/>
      <c r="M70" s="18"/>
      <c r="N70" s="147"/>
      <c r="O70" s="19">
        <f t="shared" si="6"/>
        <v>0</v>
      </c>
      <c r="P70" s="22"/>
      <c r="Q70" s="100"/>
      <c r="R70" s="85"/>
      <c r="S70" s="150"/>
      <c r="T70" s="150"/>
      <c r="U70" s="150"/>
      <c r="V70" s="150"/>
      <c r="W70" s="150"/>
      <c r="X70" s="150"/>
      <c r="Y70" s="150"/>
      <c r="Z70" s="150"/>
      <c r="AA70" s="150"/>
      <c r="AB70" s="150"/>
      <c r="AC70" s="150"/>
      <c r="AD70" s="150"/>
      <c r="AE70" s="150"/>
      <c r="AF70" s="150"/>
      <c r="AG70" s="150"/>
      <c r="AH70" s="150"/>
      <c r="AI70" s="150"/>
      <c r="AJ70" s="150"/>
      <c r="AK70" s="150"/>
      <c r="AL70" s="150"/>
      <c r="AM70" s="164"/>
      <c r="AN70" s="164"/>
      <c r="AO70" s="164"/>
      <c r="AP70" s="164"/>
      <c r="AQ70" s="164"/>
      <c r="AR70" s="164"/>
      <c r="AS70" s="164"/>
      <c r="AT70" s="164"/>
      <c r="AU70" s="164"/>
      <c r="AV70" s="164"/>
      <c r="AW70" s="164"/>
      <c r="AX70" s="164"/>
      <c r="AY70" s="168"/>
      <c r="AZ70" s="168"/>
      <c r="BA70" s="168"/>
      <c r="BB70" s="168"/>
      <c r="BC70" s="168"/>
      <c r="BD70" s="162"/>
      <c r="BE70" s="164"/>
      <c r="BF70" s="166"/>
      <c r="BG70" s="166"/>
    </row>
    <row r="71" spans="1:59" s="17" customFormat="1" ht="18" customHeight="1">
      <c r="A71" s="108">
        <v>45285</v>
      </c>
      <c r="B71" s="138" t="s">
        <v>37</v>
      </c>
      <c r="C71" s="90" t="s">
        <v>56</v>
      </c>
      <c r="D71" s="91" t="s">
        <v>38</v>
      </c>
      <c r="E71" s="89">
        <v>84217</v>
      </c>
      <c r="F71" s="89" t="s">
        <v>49</v>
      </c>
      <c r="G71" s="137" t="s">
        <v>61</v>
      </c>
      <c r="H71" s="95" t="s">
        <v>39</v>
      </c>
      <c r="I71" s="90">
        <v>4497</v>
      </c>
      <c r="J71" s="90">
        <v>4097</v>
      </c>
      <c r="K71" s="20">
        <v>0</v>
      </c>
      <c r="L71" s="20">
        <v>0</v>
      </c>
      <c r="M71" s="20">
        <v>0</v>
      </c>
      <c r="N71" s="97">
        <f>O72/L72</f>
        <v>0.61288747864290949</v>
      </c>
      <c r="O71" s="21">
        <f t="shared" si="6"/>
        <v>0</v>
      </c>
      <c r="P71" s="27">
        <v>26</v>
      </c>
      <c r="Q71" s="99">
        <f>+L72-P72</f>
        <v>0</v>
      </c>
      <c r="R71" s="85"/>
      <c r="S71" s="96"/>
      <c r="T71" s="96"/>
      <c r="U71" s="96"/>
      <c r="V71" s="96"/>
      <c r="W71" s="96"/>
      <c r="X71" s="96"/>
      <c r="Y71" s="96"/>
      <c r="Z71" s="96"/>
      <c r="AA71" s="96"/>
      <c r="AB71" s="96"/>
      <c r="AC71" s="96"/>
      <c r="AD71" s="96"/>
      <c r="AE71" s="96"/>
      <c r="AF71" s="96"/>
      <c r="AG71" s="96"/>
      <c r="AH71" s="96"/>
      <c r="AI71" s="96"/>
      <c r="AJ71" s="96"/>
      <c r="AK71" s="96"/>
      <c r="AL71" s="96"/>
      <c r="AM71" s="103"/>
      <c r="AN71" s="103"/>
      <c r="AO71" s="103"/>
      <c r="AP71" s="103"/>
      <c r="AQ71" s="103"/>
      <c r="AR71" s="103"/>
      <c r="AS71" s="103"/>
      <c r="AT71" s="103"/>
      <c r="AU71" s="103"/>
      <c r="AV71" s="103"/>
      <c r="AW71" s="103"/>
      <c r="AX71" s="103"/>
      <c r="AY71" s="106"/>
      <c r="AZ71" s="106"/>
      <c r="BA71" s="106"/>
      <c r="BB71" s="106"/>
      <c r="BC71" s="106"/>
      <c r="BD71" s="106"/>
      <c r="BE71" s="103"/>
      <c r="BF71" s="104"/>
      <c r="BG71" s="104"/>
    </row>
    <row r="72" spans="1:59" s="17" customFormat="1" ht="17.25" customHeight="1">
      <c r="A72" s="85"/>
      <c r="B72" s="139"/>
      <c r="C72" s="95"/>
      <c r="D72" s="92"/>
      <c r="E72" s="90"/>
      <c r="F72" s="90"/>
      <c r="G72" s="95"/>
      <c r="H72" s="95"/>
      <c r="I72" s="95"/>
      <c r="J72" s="95"/>
      <c r="K72" s="18">
        <f>260+160+50+100+100+240+349+166+150+60+120+30+30+230+80+125+115+200+209+115+50+371+435+245+60+40+7</f>
        <v>4097</v>
      </c>
      <c r="L72" s="18">
        <f>260+160+50+100+140+100+240+150+60+370+60+150+75+245+185+200+450+375+390+290+40+7</f>
        <v>4097</v>
      </c>
      <c r="M72" s="18">
        <f>120+55+27+40+30+60+87+45+34+74+40+100+40+75+74+73+199+146+180+50+30+7</f>
        <v>1586</v>
      </c>
      <c r="N72" s="98"/>
      <c r="O72" s="19">
        <f t="shared" si="6"/>
        <v>2511</v>
      </c>
      <c r="P72" s="49">
        <f>170+70+15+112+30+30+83+50+100+127+218+53+42+60+34+200+66+100+130+190+144+20+151+307+424+312+340+441+22+30+26</f>
        <v>4097</v>
      </c>
      <c r="Q72" s="100"/>
      <c r="R72" s="86"/>
      <c r="S72" s="96"/>
      <c r="T72" s="96"/>
      <c r="U72" s="96"/>
      <c r="V72" s="96"/>
      <c r="W72" s="96"/>
      <c r="X72" s="96"/>
      <c r="Y72" s="96"/>
      <c r="Z72" s="96"/>
      <c r="AA72" s="96"/>
      <c r="AB72" s="96"/>
      <c r="AC72" s="96"/>
      <c r="AD72" s="96"/>
      <c r="AE72" s="96"/>
      <c r="AF72" s="96"/>
      <c r="AG72" s="96"/>
      <c r="AH72" s="96"/>
      <c r="AI72" s="96"/>
      <c r="AJ72" s="96"/>
      <c r="AK72" s="96"/>
      <c r="AL72" s="96"/>
      <c r="AM72" s="103"/>
      <c r="AN72" s="103"/>
      <c r="AO72" s="103"/>
      <c r="AP72" s="103"/>
      <c r="AQ72" s="103"/>
      <c r="AR72" s="103"/>
      <c r="AS72" s="103"/>
      <c r="AT72" s="103"/>
      <c r="AU72" s="103"/>
      <c r="AV72" s="103"/>
      <c r="AW72" s="103"/>
      <c r="AX72" s="103"/>
      <c r="AY72" s="107"/>
      <c r="AZ72" s="107"/>
      <c r="BA72" s="107"/>
      <c r="BB72" s="107"/>
      <c r="BC72" s="107"/>
      <c r="BD72" s="107"/>
      <c r="BE72" s="103"/>
      <c r="BF72" s="105"/>
      <c r="BG72" s="105"/>
    </row>
    <row r="73" spans="1:59" s="17" customFormat="1" ht="18" customHeight="1">
      <c r="A73" s="108">
        <v>45285</v>
      </c>
      <c r="B73" s="132" t="s">
        <v>37</v>
      </c>
      <c r="C73" s="117" t="s">
        <v>56</v>
      </c>
      <c r="D73" s="118" t="s">
        <v>38</v>
      </c>
      <c r="E73" s="116">
        <v>84217</v>
      </c>
      <c r="F73" s="116" t="s">
        <v>49</v>
      </c>
      <c r="G73" s="141" t="s">
        <v>63</v>
      </c>
      <c r="H73" s="95" t="s">
        <v>39</v>
      </c>
      <c r="I73" s="90">
        <v>4970</v>
      </c>
      <c r="J73" s="90">
        <v>2149</v>
      </c>
      <c r="K73" s="20">
        <v>310</v>
      </c>
      <c r="L73" s="20">
        <v>300</v>
      </c>
      <c r="M73" s="20">
        <f>51+116</f>
        <v>167</v>
      </c>
      <c r="N73" s="143">
        <f>O74/L74</f>
        <v>0.52588235294117647</v>
      </c>
      <c r="O73" s="21">
        <f t="shared" si="6"/>
        <v>133</v>
      </c>
      <c r="P73" s="60">
        <f>71+152</f>
        <v>223</v>
      </c>
      <c r="Q73" s="99">
        <f>+L74-P74</f>
        <v>194</v>
      </c>
      <c r="R73" s="101"/>
      <c r="S73" s="96">
        <v>3</v>
      </c>
      <c r="T73" s="96">
        <v>10</v>
      </c>
      <c r="U73" s="96">
        <v>20</v>
      </c>
      <c r="V73" s="96"/>
      <c r="W73" s="96"/>
      <c r="X73" s="96"/>
      <c r="Y73" s="96"/>
      <c r="Z73" s="96"/>
      <c r="AA73" s="96"/>
      <c r="AB73" s="96"/>
      <c r="AC73" s="140">
        <v>15</v>
      </c>
      <c r="AD73" s="96">
        <v>4</v>
      </c>
      <c r="AE73" s="96">
        <v>19</v>
      </c>
      <c r="AF73" s="96">
        <v>7</v>
      </c>
      <c r="AG73" s="96"/>
      <c r="AH73" s="96">
        <v>30</v>
      </c>
      <c r="AI73" s="96"/>
      <c r="AJ73" s="96"/>
      <c r="AK73" s="96">
        <v>4</v>
      </c>
      <c r="AL73" s="96">
        <v>26</v>
      </c>
      <c r="AM73" s="96"/>
      <c r="AN73" s="96"/>
      <c r="AO73" s="96"/>
      <c r="AP73" s="96"/>
      <c r="AQ73" s="96"/>
      <c r="AR73" s="96"/>
      <c r="AS73" s="96"/>
      <c r="AT73" s="96"/>
      <c r="AU73" s="96"/>
      <c r="AV73" s="96"/>
      <c r="AW73" s="96"/>
      <c r="AX73" s="96"/>
      <c r="AY73" s="124"/>
      <c r="AZ73" s="123"/>
      <c r="BA73" s="123"/>
      <c r="BB73" s="123"/>
      <c r="BC73" s="123"/>
      <c r="BD73" s="123"/>
      <c r="BE73" s="123"/>
      <c r="BF73" s="123"/>
      <c r="BG73" s="123"/>
    </row>
    <row r="74" spans="1:59" s="17" customFormat="1" ht="17.25" customHeight="1">
      <c r="A74" s="85"/>
      <c r="B74" s="145"/>
      <c r="C74" s="142"/>
      <c r="D74" s="119"/>
      <c r="E74" s="117"/>
      <c r="F74" s="117"/>
      <c r="G74" s="142"/>
      <c r="H74" s="95"/>
      <c r="I74" s="95"/>
      <c r="J74" s="95"/>
      <c r="K74" s="3">
        <f>300+50+100+200+310</f>
        <v>960</v>
      </c>
      <c r="L74" s="3">
        <f>200+150+100+100+300</f>
        <v>850</v>
      </c>
      <c r="M74" s="3">
        <f>88+64+65+19+167</f>
        <v>403</v>
      </c>
      <c r="N74" s="144"/>
      <c r="O74" s="7">
        <f t="shared" si="6"/>
        <v>447</v>
      </c>
      <c r="P74" s="22">
        <f>88+144+147+54+223</f>
        <v>656</v>
      </c>
      <c r="Q74" s="100"/>
      <c r="R74" s="102"/>
      <c r="S74" s="96"/>
      <c r="T74" s="96"/>
      <c r="U74" s="96"/>
      <c r="V74" s="96"/>
      <c r="W74" s="96"/>
      <c r="X74" s="96"/>
      <c r="Y74" s="96"/>
      <c r="Z74" s="96"/>
      <c r="AA74" s="96"/>
      <c r="AB74" s="96"/>
      <c r="AC74" s="140"/>
      <c r="AD74" s="96"/>
      <c r="AE74" s="96"/>
      <c r="AF74" s="96"/>
      <c r="AG74" s="96"/>
      <c r="AH74" s="96"/>
      <c r="AI74" s="96"/>
      <c r="AJ74" s="96"/>
      <c r="AK74" s="96"/>
      <c r="AL74" s="96"/>
      <c r="AM74" s="96"/>
      <c r="AN74" s="96"/>
      <c r="AO74" s="96"/>
      <c r="AP74" s="96"/>
      <c r="AQ74" s="96"/>
      <c r="AR74" s="96"/>
      <c r="AS74" s="96"/>
      <c r="AT74" s="96"/>
      <c r="AU74" s="96"/>
      <c r="AV74" s="96"/>
      <c r="AW74" s="96"/>
      <c r="AX74" s="96"/>
      <c r="AY74" s="124"/>
      <c r="AZ74" s="124"/>
      <c r="BA74" s="124"/>
      <c r="BB74" s="124"/>
      <c r="BC74" s="124"/>
      <c r="BD74" s="124"/>
      <c r="BE74" s="124"/>
      <c r="BF74" s="124"/>
      <c r="BG74" s="124"/>
    </row>
    <row r="75" spans="1:59" s="17" customFormat="1" ht="18" hidden="1" customHeight="1">
      <c r="A75" s="108"/>
      <c r="B75" s="132"/>
      <c r="C75" s="117"/>
      <c r="D75" s="118"/>
      <c r="E75" s="116"/>
      <c r="F75" s="116"/>
      <c r="G75" s="141"/>
      <c r="H75" s="95"/>
      <c r="I75" s="90"/>
      <c r="J75" s="90"/>
      <c r="K75" s="20"/>
      <c r="L75" s="20"/>
      <c r="M75" s="20"/>
      <c r="N75" s="143"/>
      <c r="O75" s="61"/>
      <c r="P75" s="60"/>
      <c r="Q75" s="172"/>
      <c r="R75" s="101"/>
      <c r="S75" s="96"/>
      <c r="T75" s="96"/>
      <c r="U75" s="96"/>
      <c r="V75" s="96"/>
      <c r="W75" s="96"/>
      <c r="X75" s="96"/>
      <c r="Y75" s="96"/>
      <c r="Z75" s="96"/>
      <c r="AA75" s="96"/>
      <c r="AB75" s="96"/>
      <c r="AC75" s="140"/>
      <c r="AD75" s="96"/>
      <c r="AE75" s="96"/>
      <c r="AF75" s="96"/>
      <c r="AG75" s="96"/>
      <c r="AH75" s="96"/>
      <c r="AI75" s="96"/>
      <c r="AJ75" s="96"/>
      <c r="AK75" s="96"/>
      <c r="AL75" s="96"/>
      <c r="AM75" s="96"/>
      <c r="AN75" s="96"/>
      <c r="AO75" s="96"/>
      <c r="AP75" s="96"/>
      <c r="AQ75" s="96"/>
      <c r="AR75" s="96"/>
      <c r="AS75" s="96"/>
      <c r="AT75" s="96"/>
      <c r="AU75" s="96"/>
      <c r="AV75" s="96"/>
      <c r="AW75" s="96"/>
      <c r="AX75" s="96"/>
      <c r="AY75" s="124"/>
      <c r="AZ75" s="123"/>
      <c r="BA75" s="123"/>
      <c r="BB75" s="123"/>
      <c r="BC75" s="123"/>
      <c r="BD75" s="123"/>
      <c r="BE75" s="123"/>
      <c r="BF75" s="123"/>
      <c r="BG75" s="123"/>
    </row>
    <row r="76" spans="1:59" s="17" customFormat="1" ht="17.25" hidden="1" customHeight="1">
      <c r="A76" s="85"/>
      <c r="B76" s="145"/>
      <c r="C76" s="142"/>
      <c r="D76" s="119"/>
      <c r="E76" s="117"/>
      <c r="F76" s="117"/>
      <c r="G76" s="142"/>
      <c r="H76" s="95"/>
      <c r="I76" s="95"/>
      <c r="J76" s="95"/>
      <c r="K76" s="3"/>
      <c r="L76" s="3"/>
      <c r="M76" s="3"/>
      <c r="N76" s="144"/>
      <c r="O76" s="59"/>
      <c r="P76" s="22"/>
      <c r="Q76" s="173"/>
      <c r="R76" s="102"/>
      <c r="S76" s="96"/>
      <c r="T76" s="96"/>
      <c r="U76" s="96"/>
      <c r="V76" s="96"/>
      <c r="W76" s="96"/>
      <c r="X76" s="96"/>
      <c r="Y76" s="96"/>
      <c r="Z76" s="96"/>
      <c r="AA76" s="96"/>
      <c r="AB76" s="96"/>
      <c r="AC76" s="140"/>
      <c r="AD76" s="96"/>
      <c r="AE76" s="96"/>
      <c r="AF76" s="96"/>
      <c r="AG76" s="96"/>
      <c r="AH76" s="96"/>
      <c r="AI76" s="96"/>
      <c r="AJ76" s="96"/>
      <c r="AK76" s="96"/>
      <c r="AL76" s="96"/>
      <c r="AM76" s="96"/>
      <c r="AN76" s="96"/>
      <c r="AO76" s="96"/>
      <c r="AP76" s="96"/>
      <c r="AQ76" s="96"/>
      <c r="AR76" s="96"/>
      <c r="AS76" s="96"/>
      <c r="AT76" s="96"/>
      <c r="AU76" s="96"/>
      <c r="AV76" s="96"/>
      <c r="AW76" s="96"/>
      <c r="AX76" s="96"/>
      <c r="AY76" s="124"/>
      <c r="AZ76" s="124"/>
      <c r="BA76" s="124"/>
      <c r="BB76" s="124"/>
      <c r="BC76" s="124"/>
      <c r="BD76" s="124"/>
      <c r="BE76" s="124"/>
      <c r="BF76" s="124"/>
      <c r="BG76" s="124"/>
    </row>
    <row r="77" spans="1:59" ht="24.75" customHeight="1">
      <c r="A77" s="111" t="s">
        <v>15</v>
      </c>
      <c r="B77" s="112"/>
      <c r="C77" s="112"/>
      <c r="D77" s="112"/>
      <c r="E77" s="112"/>
      <c r="F77" s="112"/>
      <c r="G77" s="112"/>
      <c r="H77" s="112"/>
      <c r="I77" s="113"/>
      <c r="J77" s="5">
        <f>SUM(J69:J76)</f>
        <v>6246</v>
      </c>
      <c r="K77" s="5">
        <f>+SUMPRODUCT(((MOD(ROW(K69:K76),2)=1)*(K69:K76)))</f>
        <v>310</v>
      </c>
      <c r="L77" s="5">
        <f>+SUMPRODUCT(((MOD(ROW(L69:L76),2)=1)*(L69:L76)))</f>
        <v>300</v>
      </c>
      <c r="M77" s="5">
        <f>+SUMPRODUCT(((MOD(ROW(M69:M76),2)=1)*(M69:M76)))</f>
        <v>167</v>
      </c>
      <c r="N77" s="23">
        <f>O77/L77</f>
        <v>0.44333333333333336</v>
      </c>
      <c r="O77" s="5">
        <f>+SUMPRODUCT(((MOD(ROW(O69:O76),2)=1)*(O69:O76)))</f>
        <v>133</v>
      </c>
      <c r="P77" s="5">
        <f>+SUMPRODUCT(((MOD(ROW(P69:P76),2)=1)*(P69:P76)))</f>
        <v>249</v>
      </c>
      <c r="Q77" s="5">
        <f>+SUMPRODUCT(((MOD(ROW(Q69:Q76),2)=1)*(Q69:Q76)))</f>
        <v>194</v>
      </c>
      <c r="R77" s="5"/>
      <c r="S77" s="5">
        <f t="shared" ref="S77:BG77" si="7">SUM(S69:S76)</f>
        <v>3</v>
      </c>
      <c r="T77" s="5">
        <f t="shared" si="7"/>
        <v>10</v>
      </c>
      <c r="U77" s="5">
        <f t="shared" si="7"/>
        <v>20</v>
      </c>
      <c r="V77" s="5">
        <f t="shared" si="7"/>
        <v>0</v>
      </c>
      <c r="W77" s="5">
        <f t="shared" si="7"/>
        <v>0</v>
      </c>
      <c r="X77" s="5">
        <f t="shared" si="7"/>
        <v>0</v>
      </c>
      <c r="Y77" s="5">
        <f t="shared" si="7"/>
        <v>0</v>
      </c>
      <c r="Z77" s="5">
        <f t="shared" si="7"/>
        <v>0</v>
      </c>
      <c r="AA77" s="5">
        <f t="shared" si="7"/>
        <v>0</v>
      </c>
      <c r="AB77" s="5">
        <f t="shared" si="7"/>
        <v>0</v>
      </c>
      <c r="AC77" s="5">
        <f t="shared" si="7"/>
        <v>15</v>
      </c>
      <c r="AD77" s="5">
        <f t="shared" si="7"/>
        <v>4</v>
      </c>
      <c r="AE77" s="5">
        <f t="shared" si="7"/>
        <v>19</v>
      </c>
      <c r="AF77" s="5">
        <f t="shared" si="7"/>
        <v>7</v>
      </c>
      <c r="AG77" s="5">
        <f t="shared" si="7"/>
        <v>0</v>
      </c>
      <c r="AH77" s="5">
        <f t="shared" si="7"/>
        <v>30</v>
      </c>
      <c r="AI77" s="5">
        <f t="shared" si="7"/>
        <v>0</v>
      </c>
      <c r="AJ77" s="5">
        <f t="shared" si="7"/>
        <v>0</v>
      </c>
      <c r="AK77" s="5">
        <f t="shared" si="7"/>
        <v>4</v>
      </c>
      <c r="AL77" s="5">
        <f t="shared" si="7"/>
        <v>26</v>
      </c>
      <c r="AM77" s="5">
        <f t="shared" si="7"/>
        <v>0</v>
      </c>
      <c r="AN77" s="5">
        <f t="shared" si="7"/>
        <v>0</v>
      </c>
      <c r="AO77" s="5">
        <f t="shared" si="7"/>
        <v>0</v>
      </c>
      <c r="AP77" s="5">
        <f t="shared" si="7"/>
        <v>0</v>
      </c>
      <c r="AQ77" s="5">
        <f t="shared" si="7"/>
        <v>0</v>
      </c>
      <c r="AR77" s="5">
        <f t="shared" si="7"/>
        <v>0</v>
      </c>
      <c r="AS77" s="5">
        <f t="shared" si="7"/>
        <v>0</v>
      </c>
      <c r="AT77" s="5">
        <f t="shared" si="7"/>
        <v>0</v>
      </c>
      <c r="AU77" s="5">
        <f t="shared" si="7"/>
        <v>0</v>
      </c>
      <c r="AV77" s="5">
        <f t="shared" si="7"/>
        <v>0</v>
      </c>
      <c r="AW77" s="5">
        <f t="shared" si="7"/>
        <v>0</v>
      </c>
      <c r="AX77" s="5">
        <f t="shared" si="7"/>
        <v>0</v>
      </c>
      <c r="AY77" s="5">
        <f t="shared" si="7"/>
        <v>0</v>
      </c>
      <c r="AZ77" s="5">
        <f t="shared" si="7"/>
        <v>0</v>
      </c>
      <c r="BA77" s="5">
        <f t="shared" si="7"/>
        <v>0</v>
      </c>
      <c r="BB77" s="5">
        <f t="shared" si="7"/>
        <v>0</v>
      </c>
      <c r="BC77" s="5">
        <f t="shared" si="7"/>
        <v>0</v>
      </c>
      <c r="BD77" s="5">
        <f t="shared" si="7"/>
        <v>0</v>
      </c>
      <c r="BE77" s="5">
        <f t="shared" si="7"/>
        <v>0</v>
      </c>
      <c r="BF77" s="5">
        <f t="shared" si="7"/>
        <v>0</v>
      </c>
      <c r="BG77" s="5">
        <f t="shared" si="7"/>
        <v>0</v>
      </c>
    </row>
    <row r="78" spans="1:59" s="17" customFormat="1" ht="15.75" hidden="1" customHeight="1">
      <c r="A78" s="101"/>
      <c r="B78" s="114"/>
      <c r="C78" s="116"/>
      <c r="D78" s="118"/>
      <c r="E78" s="116"/>
      <c r="F78" s="116"/>
      <c r="G78" s="120"/>
      <c r="H78" s="151"/>
      <c r="I78" s="89"/>
      <c r="J78" s="89"/>
      <c r="K78" s="20"/>
      <c r="L78" s="20"/>
      <c r="M78" s="20"/>
      <c r="N78" s="146"/>
      <c r="O78" s="21"/>
      <c r="P78" s="27"/>
      <c r="Q78" s="99"/>
      <c r="R78" s="148"/>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c r="AY78" s="152"/>
      <c r="AZ78" s="152"/>
      <c r="BA78" s="152"/>
      <c r="BB78" s="152"/>
      <c r="BC78" s="152"/>
      <c r="BD78" s="152"/>
      <c r="BE78" s="149"/>
      <c r="BF78" s="152"/>
      <c r="BG78" s="152"/>
    </row>
    <row r="79" spans="1:59" s="17" customFormat="1" ht="15.75" hidden="1" customHeight="1">
      <c r="A79" s="102"/>
      <c r="B79" s="115"/>
      <c r="C79" s="117"/>
      <c r="D79" s="119"/>
      <c r="E79" s="117"/>
      <c r="F79" s="117"/>
      <c r="G79" s="121"/>
      <c r="H79" s="90"/>
      <c r="I79" s="90"/>
      <c r="J79" s="90"/>
      <c r="K79" s="22"/>
      <c r="L79" s="18"/>
      <c r="M79" s="18"/>
      <c r="N79" s="147"/>
      <c r="O79" s="19"/>
      <c r="P79" s="22"/>
      <c r="Q79" s="100"/>
      <c r="R79" s="101"/>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3"/>
      <c r="AZ79" s="153"/>
      <c r="BA79" s="153"/>
      <c r="BB79" s="153"/>
      <c r="BC79" s="153"/>
      <c r="BD79" s="153"/>
      <c r="BE79" s="150"/>
      <c r="BF79" s="153"/>
      <c r="BG79" s="153"/>
    </row>
    <row r="80" spans="1:59" s="17" customFormat="1" ht="15.75" hidden="1" customHeight="1">
      <c r="A80" s="101"/>
      <c r="B80" s="114"/>
      <c r="C80" s="116"/>
      <c r="D80" s="118"/>
      <c r="E80" s="116"/>
      <c r="F80" s="116"/>
      <c r="G80" s="120"/>
      <c r="H80" s="151"/>
      <c r="I80" s="89"/>
      <c r="J80" s="89"/>
      <c r="K80" s="20"/>
      <c r="L80" s="20"/>
      <c r="M80" s="20"/>
      <c r="N80" s="146"/>
      <c r="O80" s="21"/>
      <c r="P80" s="27"/>
      <c r="Q80" s="99"/>
      <c r="R80" s="148"/>
      <c r="S80" s="149"/>
      <c r="T80" s="149"/>
      <c r="U80" s="149"/>
      <c r="V80" s="149"/>
      <c r="W80" s="149"/>
      <c r="X80" s="149"/>
      <c r="Y80" s="149"/>
      <c r="Z80" s="149"/>
      <c r="AA80" s="149"/>
      <c r="AB80" s="149"/>
      <c r="AC80" s="149"/>
      <c r="AD80" s="149"/>
      <c r="AE80" s="149"/>
      <c r="AF80" s="149"/>
      <c r="AG80" s="149"/>
      <c r="AH80" s="149"/>
      <c r="AI80" s="149"/>
      <c r="AJ80" s="149"/>
      <c r="AK80" s="149"/>
      <c r="AL80" s="149"/>
      <c r="AM80" s="149"/>
      <c r="AN80" s="149"/>
      <c r="AO80" s="149"/>
      <c r="AP80" s="149"/>
      <c r="AQ80" s="149"/>
      <c r="AR80" s="149"/>
      <c r="AS80" s="149"/>
      <c r="AT80" s="149"/>
      <c r="AU80" s="149"/>
      <c r="AV80" s="149"/>
      <c r="AW80" s="149"/>
      <c r="AX80" s="149"/>
      <c r="AY80" s="152"/>
      <c r="AZ80" s="152"/>
      <c r="BA80" s="152"/>
      <c r="BB80" s="152"/>
      <c r="BC80" s="152"/>
      <c r="BD80" s="152"/>
      <c r="BE80" s="149"/>
      <c r="BF80" s="152"/>
      <c r="BG80" s="152"/>
    </row>
    <row r="81" spans="1:61" s="17" customFormat="1" ht="15.75" hidden="1" customHeight="1">
      <c r="A81" s="102"/>
      <c r="B81" s="115"/>
      <c r="C81" s="117"/>
      <c r="D81" s="119"/>
      <c r="E81" s="117"/>
      <c r="F81" s="117"/>
      <c r="G81" s="121"/>
      <c r="H81" s="90"/>
      <c r="I81" s="90"/>
      <c r="J81" s="90"/>
      <c r="K81" s="22"/>
      <c r="L81" s="18"/>
      <c r="M81" s="18"/>
      <c r="N81" s="147"/>
      <c r="O81" s="19"/>
      <c r="P81" s="22"/>
      <c r="Q81" s="100"/>
      <c r="R81" s="101"/>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3"/>
      <c r="AZ81" s="153"/>
      <c r="BA81" s="153"/>
      <c r="BB81" s="153"/>
      <c r="BC81" s="153"/>
      <c r="BD81" s="153"/>
      <c r="BE81" s="150"/>
      <c r="BF81" s="153"/>
      <c r="BG81" s="153"/>
    </row>
    <row r="82" spans="1:61" s="17" customFormat="1" ht="15.75" hidden="1" customHeight="1">
      <c r="A82" s="101"/>
      <c r="B82" s="114"/>
      <c r="C82" s="116"/>
      <c r="D82" s="118"/>
      <c r="E82" s="116"/>
      <c r="F82" s="116"/>
      <c r="G82" s="120"/>
      <c r="H82" s="109"/>
      <c r="I82" s="90"/>
      <c r="J82" s="90"/>
      <c r="K82" s="20"/>
      <c r="L82" s="20"/>
      <c r="M82" s="20"/>
      <c r="N82" s="97"/>
      <c r="O82" s="21"/>
      <c r="P82" s="27"/>
      <c r="Q82" s="99"/>
      <c r="R82" s="154"/>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5"/>
      <c r="AZ82" s="155"/>
      <c r="BA82" s="155"/>
      <c r="BB82" s="155"/>
      <c r="BC82" s="155"/>
      <c r="BD82" s="155"/>
      <c r="BE82" s="96"/>
      <c r="BF82" s="155"/>
      <c r="BG82" s="155"/>
    </row>
    <row r="83" spans="1:61" s="17" customFormat="1" ht="15.75" hidden="1" customHeight="1">
      <c r="A83" s="102"/>
      <c r="B83" s="115"/>
      <c r="C83" s="117"/>
      <c r="D83" s="119"/>
      <c r="E83" s="117"/>
      <c r="F83" s="117"/>
      <c r="G83" s="121"/>
      <c r="H83" s="95"/>
      <c r="I83" s="95"/>
      <c r="J83" s="95"/>
      <c r="K83" s="22"/>
      <c r="L83" s="18"/>
      <c r="M83" s="18"/>
      <c r="N83" s="98"/>
      <c r="O83" s="19"/>
      <c r="P83" s="22"/>
      <c r="Q83" s="100"/>
      <c r="R83" s="101"/>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6"/>
      <c r="AZ83" s="156"/>
      <c r="BA83" s="156"/>
      <c r="BB83" s="156"/>
      <c r="BC83" s="156"/>
      <c r="BD83" s="156"/>
      <c r="BE83" s="96"/>
      <c r="BF83" s="156"/>
      <c r="BG83" s="156"/>
    </row>
    <row r="84" spans="1:61" s="17" customFormat="1" ht="15.75" hidden="1" customHeight="1">
      <c r="A84" s="101"/>
      <c r="B84" s="114"/>
      <c r="C84" s="116"/>
      <c r="D84" s="118"/>
      <c r="E84" s="116"/>
      <c r="F84" s="116"/>
      <c r="G84" s="120"/>
      <c r="H84" s="109"/>
      <c r="I84" s="90"/>
      <c r="J84" s="90"/>
      <c r="K84" s="20"/>
      <c r="L84" s="20"/>
      <c r="M84" s="20"/>
      <c r="N84" s="97"/>
      <c r="O84" s="21"/>
      <c r="P84" s="27"/>
      <c r="Q84" s="99"/>
      <c r="R84" s="148"/>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5"/>
      <c r="AZ84" s="155"/>
      <c r="BA84" s="155"/>
      <c r="BB84" s="155"/>
      <c r="BC84" s="155"/>
      <c r="BD84" s="155"/>
      <c r="BE84" s="96"/>
      <c r="BF84" s="155"/>
      <c r="BG84" s="155"/>
    </row>
    <row r="85" spans="1:61" s="17" customFormat="1" ht="15.75" hidden="1" customHeight="1">
      <c r="A85" s="102"/>
      <c r="B85" s="115"/>
      <c r="C85" s="117"/>
      <c r="D85" s="119"/>
      <c r="E85" s="117"/>
      <c r="F85" s="117"/>
      <c r="G85" s="121"/>
      <c r="H85" s="95"/>
      <c r="I85" s="95"/>
      <c r="J85" s="95"/>
      <c r="K85" s="22"/>
      <c r="L85" s="18"/>
      <c r="M85" s="18"/>
      <c r="N85" s="98"/>
      <c r="O85" s="19"/>
      <c r="P85" s="22"/>
      <c r="Q85" s="100"/>
      <c r="R85" s="101"/>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6"/>
      <c r="AZ85" s="156"/>
      <c r="BA85" s="156"/>
      <c r="BB85" s="156"/>
      <c r="BC85" s="156"/>
      <c r="BD85" s="156"/>
      <c r="BE85" s="96"/>
      <c r="BF85" s="156"/>
      <c r="BG85" s="156"/>
    </row>
    <row r="86" spans="1:61" s="17" customFormat="1" ht="15.75" hidden="1" customHeight="1">
      <c r="A86" s="101">
        <v>45084</v>
      </c>
      <c r="B86" s="114" t="s">
        <v>37</v>
      </c>
      <c r="C86" s="116"/>
      <c r="D86" s="118"/>
      <c r="E86" s="116"/>
      <c r="F86" s="116"/>
      <c r="G86" s="120"/>
      <c r="H86" s="109"/>
      <c r="I86" s="90"/>
      <c r="J86" s="90"/>
      <c r="K86" s="20"/>
      <c r="L86" s="20"/>
      <c r="M86" s="20"/>
      <c r="N86" s="97" t="e">
        <f>O87/L87</f>
        <v>#DIV/0!</v>
      </c>
      <c r="O86" s="21"/>
      <c r="P86" s="27"/>
      <c r="Q86" s="99">
        <f>+L87-P87</f>
        <v>0</v>
      </c>
      <c r="R86" s="101"/>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5"/>
      <c r="AZ86" s="155"/>
      <c r="BA86" s="155"/>
      <c r="BB86" s="155"/>
      <c r="BC86" s="155"/>
      <c r="BD86" s="155"/>
      <c r="BE86" s="96"/>
      <c r="BF86" s="155"/>
      <c r="BG86" s="155"/>
    </row>
    <row r="87" spans="1:61" s="17" customFormat="1" ht="15.75" hidden="1" customHeight="1">
      <c r="A87" s="102"/>
      <c r="B87" s="115"/>
      <c r="C87" s="117"/>
      <c r="D87" s="119"/>
      <c r="E87" s="117"/>
      <c r="F87" s="117"/>
      <c r="G87" s="121"/>
      <c r="H87" s="95"/>
      <c r="I87" s="95"/>
      <c r="J87" s="95"/>
      <c r="K87" s="22"/>
      <c r="L87" s="18"/>
      <c r="M87" s="18"/>
      <c r="N87" s="98"/>
      <c r="O87" s="19"/>
      <c r="P87" s="22"/>
      <c r="Q87" s="100"/>
      <c r="R87" s="102"/>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6"/>
      <c r="AZ87" s="156"/>
      <c r="BA87" s="156"/>
      <c r="BB87" s="156"/>
      <c r="BC87" s="156"/>
      <c r="BD87" s="156"/>
      <c r="BE87" s="96"/>
      <c r="BF87" s="156"/>
      <c r="BG87" s="156"/>
    </row>
    <row r="88" spans="1:61" ht="24.75" hidden="1" customHeight="1">
      <c r="A88" s="111" t="s">
        <v>40</v>
      </c>
      <c r="B88" s="112"/>
      <c r="C88" s="112"/>
      <c r="D88" s="112"/>
      <c r="E88" s="112"/>
      <c r="F88" s="112"/>
      <c r="G88" s="112"/>
      <c r="H88" s="112"/>
      <c r="I88" s="113"/>
      <c r="J88" s="5">
        <f>SUM(J78:J87)</f>
        <v>0</v>
      </c>
      <c r="K88" s="5">
        <f>+SUMPRODUCT(((MOD(ROW(K78:K85),2)=0)*(K78:K85)))</f>
        <v>0</v>
      </c>
      <c r="L88" s="5">
        <f>+SUMPRODUCT(((MOD(ROW(L78:L85),2)=0)*(L78:L85)))</f>
        <v>0</v>
      </c>
      <c r="M88" s="5">
        <f>+SUMPRODUCT(((MOD(ROW(M78:M85),2)=0)*(M78:M85)))</f>
        <v>0</v>
      </c>
      <c r="N88" s="6" t="e">
        <f>O88/L88</f>
        <v>#DIV/0!</v>
      </c>
      <c r="O88" s="5">
        <f>+SUMPRODUCT(((MOD(ROW(O78:O85),2)=0)*(O78:O85)))</f>
        <v>0</v>
      </c>
      <c r="P88" s="5">
        <f>+SUMPRODUCT(((MOD(ROW(P78:P85),2)=0)*(P78:P85)))</f>
        <v>0</v>
      </c>
      <c r="Q88" s="29">
        <f>SUM(Q78:Q87)</f>
        <v>0</v>
      </c>
      <c r="R88" s="29"/>
      <c r="S88" s="29">
        <f t="shared" ref="S88:BG88" si="8">SUM(S78:S87)</f>
        <v>0</v>
      </c>
      <c r="T88" s="29">
        <f t="shared" si="8"/>
        <v>0</v>
      </c>
      <c r="U88" s="29">
        <f t="shared" si="8"/>
        <v>0</v>
      </c>
      <c r="V88" s="29">
        <f t="shared" si="8"/>
        <v>0</v>
      </c>
      <c r="W88" s="29">
        <f t="shared" si="8"/>
        <v>0</v>
      </c>
      <c r="X88" s="29">
        <f t="shared" si="8"/>
        <v>0</v>
      </c>
      <c r="Y88" s="29">
        <f t="shared" si="8"/>
        <v>0</v>
      </c>
      <c r="Z88" s="29">
        <f t="shared" si="8"/>
        <v>0</v>
      </c>
      <c r="AA88" s="29">
        <f t="shared" si="8"/>
        <v>0</v>
      </c>
      <c r="AB88" s="29">
        <f t="shared" si="8"/>
        <v>0</v>
      </c>
      <c r="AC88" s="29">
        <f t="shared" si="8"/>
        <v>0</v>
      </c>
      <c r="AD88" s="29">
        <f t="shared" si="8"/>
        <v>0</v>
      </c>
      <c r="AE88" s="29">
        <f t="shared" si="8"/>
        <v>0</v>
      </c>
      <c r="AF88" s="29">
        <f t="shared" si="8"/>
        <v>0</v>
      </c>
      <c r="AG88" s="29">
        <f t="shared" si="8"/>
        <v>0</v>
      </c>
      <c r="AH88" s="29">
        <f t="shared" si="8"/>
        <v>0</v>
      </c>
      <c r="AI88" s="29">
        <f t="shared" si="8"/>
        <v>0</v>
      </c>
      <c r="AJ88" s="29">
        <f t="shared" si="8"/>
        <v>0</v>
      </c>
      <c r="AK88" s="29">
        <f t="shared" si="8"/>
        <v>0</v>
      </c>
      <c r="AL88" s="29">
        <f t="shared" si="8"/>
        <v>0</v>
      </c>
      <c r="AM88" s="29">
        <f t="shared" si="8"/>
        <v>0</v>
      </c>
      <c r="AN88" s="29">
        <f t="shared" si="8"/>
        <v>0</v>
      </c>
      <c r="AO88" s="29">
        <f t="shared" si="8"/>
        <v>0</v>
      </c>
      <c r="AP88" s="29">
        <f t="shared" si="8"/>
        <v>0</v>
      </c>
      <c r="AQ88" s="29">
        <f t="shared" si="8"/>
        <v>0</v>
      </c>
      <c r="AR88" s="29">
        <f t="shared" si="8"/>
        <v>0</v>
      </c>
      <c r="AS88" s="29">
        <f t="shared" si="8"/>
        <v>0</v>
      </c>
      <c r="AT88" s="29">
        <f t="shared" si="8"/>
        <v>0</v>
      </c>
      <c r="AU88" s="29">
        <f t="shared" si="8"/>
        <v>0</v>
      </c>
      <c r="AV88" s="29">
        <f t="shared" si="8"/>
        <v>0</v>
      </c>
      <c r="AW88" s="29">
        <f t="shared" si="8"/>
        <v>0</v>
      </c>
      <c r="AX88" s="29">
        <f t="shared" si="8"/>
        <v>0</v>
      </c>
      <c r="AY88" s="29">
        <f t="shared" si="8"/>
        <v>0</v>
      </c>
      <c r="AZ88" s="29">
        <f t="shared" si="8"/>
        <v>0</v>
      </c>
      <c r="BA88" s="29">
        <f t="shared" si="8"/>
        <v>0</v>
      </c>
      <c r="BB88" s="29">
        <f t="shared" si="8"/>
        <v>0</v>
      </c>
      <c r="BC88" s="29">
        <f t="shared" si="8"/>
        <v>0</v>
      </c>
      <c r="BD88" s="29">
        <f t="shared" si="8"/>
        <v>0</v>
      </c>
      <c r="BE88" s="29">
        <f t="shared" si="8"/>
        <v>0</v>
      </c>
      <c r="BF88" s="29">
        <f t="shared" si="8"/>
        <v>0</v>
      </c>
      <c r="BG88" s="29">
        <f t="shared" si="8"/>
        <v>0</v>
      </c>
      <c r="BH88" s="17"/>
      <c r="BI88" s="17"/>
    </row>
    <row r="89" spans="1:61" s="17" customFormat="1" ht="15.75" hidden="1" customHeight="1">
      <c r="A89" s="101"/>
      <c r="B89" s="114"/>
      <c r="C89" s="116"/>
      <c r="D89" s="118"/>
      <c r="E89" s="116"/>
      <c r="F89" s="116"/>
      <c r="G89" s="120"/>
      <c r="H89" s="109"/>
      <c r="I89" s="90"/>
      <c r="J89" s="90"/>
      <c r="K89" s="20"/>
      <c r="L89" s="20"/>
      <c r="M89" s="20"/>
      <c r="N89" s="97"/>
      <c r="O89" s="21"/>
      <c r="P89" s="27"/>
      <c r="Q89" s="99"/>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row>
    <row r="91" spans="1:61" s="17" customFormat="1" ht="15.75" hidden="1" customHeight="1">
      <c r="A91" s="101"/>
      <c r="B91" s="114"/>
      <c r="C91" s="116"/>
      <c r="D91" s="118"/>
      <c r="E91" s="116"/>
      <c r="F91" s="116"/>
      <c r="G91" s="120"/>
      <c r="H91" s="90"/>
      <c r="I91" s="90"/>
      <c r="J91" s="90"/>
      <c r="K91" s="20"/>
      <c r="L91" s="20"/>
      <c r="M91" s="20"/>
      <c r="N91" s="97"/>
      <c r="O91" s="21"/>
      <c r="P91" s="27"/>
      <c r="Q91" s="99"/>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row>
    <row r="93" spans="1:61" s="17" customFormat="1" ht="15.75" hidden="1" customHeight="1">
      <c r="A93" s="101">
        <v>45163</v>
      </c>
      <c r="B93" s="114" t="s">
        <v>37</v>
      </c>
      <c r="C93" s="116"/>
      <c r="D93" s="118"/>
      <c r="E93" s="116"/>
      <c r="F93" s="116"/>
      <c r="G93" s="120"/>
      <c r="H93" s="90"/>
      <c r="I93" s="90"/>
      <c r="J93" s="90"/>
      <c r="K93" s="20"/>
      <c r="L93" s="20"/>
      <c r="M93" s="20"/>
      <c r="N93" s="97" t="e">
        <f>O94/L94</f>
        <v>#DIV/0!</v>
      </c>
      <c r="O93" s="21">
        <f>L93-M93</f>
        <v>0</v>
      </c>
      <c r="P93" s="27"/>
      <c r="Q93" s="99">
        <f>+L94-P94</f>
        <v>0</v>
      </c>
      <c r="R93" s="154"/>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5"/>
      <c r="AZ93" s="155"/>
      <c r="BA93" s="155"/>
      <c r="BB93" s="155"/>
      <c r="BC93" s="155"/>
      <c r="BD93" s="155"/>
      <c r="BE93" s="96"/>
      <c r="BF93" s="155"/>
      <c r="BG93" s="155"/>
    </row>
    <row r="94" spans="1:61" s="17" customFormat="1" ht="15.75" hidden="1" customHeight="1">
      <c r="A94" s="102"/>
      <c r="B94" s="115"/>
      <c r="C94" s="117"/>
      <c r="D94" s="119"/>
      <c r="E94" s="117"/>
      <c r="F94" s="117"/>
      <c r="G94" s="121"/>
      <c r="H94" s="95"/>
      <c r="I94" s="95"/>
      <c r="J94" s="95"/>
      <c r="K94" s="22"/>
      <c r="L94" s="18"/>
      <c r="M94" s="18"/>
      <c r="N94" s="98"/>
      <c r="O94" s="19">
        <f>L94-M94</f>
        <v>0</v>
      </c>
      <c r="P94" s="22"/>
      <c r="Q94" s="100"/>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6"/>
      <c r="AZ94" s="156"/>
      <c r="BA94" s="156"/>
      <c r="BB94" s="156"/>
      <c r="BC94" s="156"/>
      <c r="BD94" s="156"/>
      <c r="BE94" s="96"/>
      <c r="BF94" s="156"/>
      <c r="BG94" s="156"/>
    </row>
    <row r="95" spans="1:61" s="17" customFormat="1" ht="15.75" hidden="1" customHeight="1">
      <c r="A95" s="101">
        <v>45163</v>
      </c>
      <c r="B95" s="114" t="s">
        <v>37</v>
      </c>
      <c r="C95" s="116"/>
      <c r="D95" s="118"/>
      <c r="E95" s="116"/>
      <c r="F95" s="116"/>
      <c r="G95" s="120"/>
      <c r="H95" s="90"/>
      <c r="I95" s="90"/>
      <c r="J95" s="90"/>
      <c r="K95" s="20"/>
      <c r="L95" s="20"/>
      <c r="M95" s="20"/>
      <c r="N95" s="97" t="e">
        <f>O96/L96</f>
        <v>#DIV/0!</v>
      </c>
      <c r="O95" s="21">
        <f>L95-M95</f>
        <v>0</v>
      </c>
      <c r="P95" s="27"/>
      <c r="Q95" s="99">
        <f>+L96-P96</f>
        <v>0</v>
      </c>
      <c r="R95" s="154"/>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5"/>
      <c r="AZ95" s="155"/>
      <c r="BA95" s="155"/>
      <c r="BB95" s="155"/>
      <c r="BC95" s="155"/>
      <c r="BD95" s="155"/>
      <c r="BE95" s="96"/>
      <c r="BF95" s="155"/>
      <c r="BG95" s="155"/>
    </row>
    <row r="96" spans="1:61" s="17" customFormat="1" ht="15.75" hidden="1" customHeight="1">
      <c r="A96" s="102"/>
      <c r="B96" s="115"/>
      <c r="C96" s="117"/>
      <c r="D96" s="119"/>
      <c r="E96" s="117"/>
      <c r="F96" s="117"/>
      <c r="G96" s="121"/>
      <c r="H96" s="95"/>
      <c r="I96" s="95"/>
      <c r="J96" s="95"/>
      <c r="K96" s="22"/>
      <c r="L96" s="18"/>
      <c r="M96" s="18"/>
      <c r="N96" s="98"/>
      <c r="O96" s="19">
        <f>L96-M96</f>
        <v>0</v>
      </c>
      <c r="P96" s="22"/>
      <c r="Q96" s="100"/>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6"/>
      <c r="AZ96" s="156"/>
      <c r="BA96" s="156"/>
      <c r="BB96" s="156"/>
      <c r="BC96" s="156"/>
      <c r="BD96" s="156"/>
      <c r="BE96" s="96"/>
      <c r="BF96" s="156"/>
      <c r="BG96" s="156"/>
      <c r="BH96" s="1"/>
      <c r="BI96" s="1"/>
    </row>
    <row r="97" spans="1:61" ht="24.75" hidden="1" customHeight="1">
      <c r="A97" s="111" t="s">
        <v>48</v>
      </c>
      <c r="B97" s="112"/>
      <c r="C97" s="112"/>
      <c r="D97" s="112"/>
      <c r="E97" s="112"/>
      <c r="F97" s="112"/>
      <c r="G97" s="112"/>
      <c r="H97" s="112"/>
      <c r="I97" s="113"/>
      <c r="J97" s="5">
        <f>SUM(J89:J96)</f>
        <v>0</v>
      </c>
      <c r="K97" s="5">
        <f>+SUMPRODUCT(((MOD(ROW(K89:K96),2)=0)*(K89:K96)))</f>
        <v>0</v>
      </c>
      <c r="L97" s="5">
        <f>+SUMPRODUCT(((MOD(ROW(L89:L96),2)=0)*(L89:L96)))</f>
        <v>0</v>
      </c>
      <c r="M97" s="5">
        <f>+SUMPRODUCT(((MOD(ROW(M89:M96),2)=0)*(M89:M96)))</f>
        <v>0</v>
      </c>
      <c r="N97" s="6" t="e">
        <f>O97/L97</f>
        <v>#DIV/0!</v>
      </c>
      <c r="O97" s="5">
        <f>+SUMPRODUCT(((MOD(ROW(O89:O96),2)=0)*(O89:O96)))</f>
        <v>0</v>
      </c>
      <c r="P97" s="5">
        <f>+SUMPRODUCT(((MOD(ROW(P89:P96),2)=0)*(P89:P96)))</f>
        <v>0</v>
      </c>
      <c r="Q97" s="29">
        <f>SUM(Q89:Q96)</f>
        <v>0</v>
      </c>
      <c r="R97" s="29"/>
      <c r="S97" s="29">
        <f t="shared" ref="S97:BG97" si="9">SUM(S89:S96)</f>
        <v>0</v>
      </c>
      <c r="T97" s="29">
        <f t="shared" si="9"/>
        <v>0</v>
      </c>
      <c r="U97" s="29">
        <f t="shared" si="9"/>
        <v>0</v>
      </c>
      <c r="V97" s="29">
        <f t="shared" si="9"/>
        <v>0</v>
      </c>
      <c r="W97" s="29">
        <f t="shared" si="9"/>
        <v>0</v>
      </c>
      <c r="X97" s="29">
        <f t="shared" si="9"/>
        <v>0</v>
      </c>
      <c r="Y97" s="29">
        <f t="shared" si="9"/>
        <v>0</v>
      </c>
      <c r="Z97" s="29">
        <f t="shared" si="9"/>
        <v>0</v>
      </c>
      <c r="AA97" s="29">
        <f t="shared" si="9"/>
        <v>0</v>
      </c>
      <c r="AB97" s="29">
        <f t="shared" si="9"/>
        <v>0</v>
      </c>
      <c r="AC97" s="29">
        <f t="shared" si="9"/>
        <v>0</v>
      </c>
      <c r="AD97" s="29">
        <f t="shared" si="9"/>
        <v>0</v>
      </c>
      <c r="AE97" s="29">
        <f t="shared" si="9"/>
        <v>0</v>
      </c>
      <c r="AF97" s="29">
        <f t="shared" si="9"/>
        <v>0</v>
      </c>
      <c r="AG97" s="29">
        <f t="shared" si="9"/>
        <v>0</v>
      </c>
      <c r="AH97" s="29">
        <f t="shared" si="9"/>
        <v>0</v>
      </c>
      <c r="AI97" s="29">
        <f t="shared" si="9"/>
        <v>0</v>
      </c>
      <c r="AJ97" s="29">
        <f t="shared" si="9"/>
        <v>0</v>
      </c>
      <c r="AK97" s="29">
        <f t="shared" si="9"/>
        <v>0</v>
      </c>
      <c r="AL97" s="29">
        <f t="shared" si="9"/>
        <v>0</v>
      </c>
      <c r="AM97" s="29">
        <f t="shared" si="9"/>
        <v>0</v>
      </c>
      <c r="AN97" s="29">
        <f t="shared" si="9"/>
        <v>0</v>
      </c>
      <c r="AO97" s="29">
        <f t="shared" si="9"/>
        <v>0</v>
      </c>
      <c r="AP97" s="29">
        <f t="shared" si="9"/>
        <v>0</v>
      </c>
      <c r="AQ97" s="29">
        <f t="shared" si="9"/>
        <v>0</v>
      </c>
      <c r="AR97" s="29">
        <f t="shared" si="9"/>
        <v>0</v>
      </c>
      <c r="AS97" s="29">
        <f t="shared" si="9"/>
        <v>0</v>
      </c>
      <c r="AT97" s="29">
        <f t="shared" si="9"/>
        <v>0</v>
      </c>
      <c r="AU97" s="29">
        <f t="shared" si="9"/>
        <v>0</v>
      </c>
      <c r="AV97" s="29">
        <f t="shared" si="9"/>
        <v>0</v>
      </c>
      <c r="AW97" s="29">
        <f t="shared" si="9"/>
        <v>0</v>
      </c>
      <c r="AX97" s="29">
        <f t="shared" si="9"/>
        <v>0</v>
      </c>
      <c r="AY97" s="29">
        <f t="shared" si="9"/>
        <v>0</v>
      </c>
      <c r="AZ97" s="29">
        <f t="shared" si="9"/>
        <v>0</v>
      </c>
      <c r="BA97" s="29">
        <f t="shared" si="9"/>
        <v>0</v>
      </c>
      <c r="BB97" s="29">
        <f t="shared" si="9"/>
        <v>0</v>
      </c>
      <c r="BC97" s="29">
        <f t="shared" si="9"/>
        <v>0</v>
      </c>
      <c r="BD97" s="29">
        <f t="shared" si="9"/>
        <v>0</v>
      </c>
      <c r="BE97" s="29">
        <f t="shared" si="9"/>
        <v>0</v>
      </c>
      <c r="BF97" s="29">
        <f t="shared" si="9"/>
        <v>0</v>
      </c>
      <c r="BG97" s="29">
        <f t="shared" si="9"/>
        <v>0</v>
      </c>
      <c r="BH97" s="17"/>
      <c r="BI97" s="17"/>
    </row>
    <row r="98" spans="1:61" s="17" customFormat="1" ht="15.75" hidden="1" customHeight="1">
      <c r="A98" s="101"/>
      <c r="B98" s="114"/>
      <c r="C98" s="116"/>
      <c r="D98" s="118"/>
      <c r="E98" s="157"/>
      <c r="F98" s="116"/>
      <c r="G98" s="120"/>
      <c r="H98" s="109"/>
      <c r="I98" s="90"/>
      <c r="J98" s="90"/>
      <c r="K98" s="20"/>
      <c r="L98" s="20"/>
      <c r="M98" s="20"/>
      <c r="N98" s="97"/>
      <c r="O98" s="21"/>
      <c r="P98" s="27"/>
      <c r="Q98" s="99"/>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row>
    <row r="100" spans="1:61" s="17" customFormat="1" ht="15.75" hidden="1" customHeight="1">
      <c r="A100" s="101">
        <v>45061</v>
      </c>
      <c r="B100" s="114" t="s">
        <v>37</v>
      </c>
      <c r="C100" s="116"/>
      <c r="D100" s="118"/>
      <c r="E100" s="157"/>
      <c r="F100" s="116"/>
      <c r="G100" s="120"/>
      <c r="H100" s="90"/>
      <c r="I100" s="90"/>
      <c r="J100" s="90"/>
      <c r="K100" s="20"/>
      <c r="L100" s="20"/>
      <c r="M100" s="20"/>
      <c r="N100" s="97" t="e">
        <f>O101/L101</f>
        <v>#DIV/0!</v>
      </c>
      <c r="O100" s="21">
        <f t="shared" ref="O100:O105" si="10">L100-M100</f>
        <v>0</v>
      </c>
      <c r="P100" s="27"/>
      <c r="Q100" s="99">
        <f>+L101-P101</f>
        <v>0</v>
      </c>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f t="shared" si="10"/>
        <v>0</v>
      </c>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row>
    <row r="102" spans="1:61" s="17" customFormat="1" ht="15.75" hidden="1" customHeight="1">
      <c r="A102" s="101">
        <v>44990</v>
      </c>
      <c r="B102" s="114" t="s">
        <v>37</v>
      </c>
      <c r="C102" s="116"/>
      <c r="D102" s="118"/>
      <c r="E102" s="116"/>
      <c r="F102" s="116"/>
      <c r="G102" s="120"/>
      <c r="H102" s="90"/>
      <c r="I102" s="90"/>
      <c r="J102" s="90"/>
      <c r="K102" s="20"/>
      <c r="L102" s="20"/>
      <c r="M102" s="20"/>
      <c r="N102" s="97" t="e">
        <f>O103/L103</f>
        <v>#DIV/0!</v>
      </c>
      <c r="O102" s="21">
        <f t="shared" si="10"/>
        <v>0</v>
      </c>
      <c r="P102" s="27"/>
      <c r="Q102" s="99">
        <f>+L103-P103</f>
        <v>0</v>
      </c>
      <c r="R102" s="101"/>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155"/>
      <c r="AZ102" s="155"/>
      <c r="BA102" s="155"/>
      <c r="BB102" s="155"/>
      <c r="BC102" s="155"/>
      <c r="BD102" s="155"/>
      <c r="BE102" s="96"/>
      <c r="BF102" s="155"/>
      <c r="BG102" s="155"/>
    </row>
    <row r="103" spans="1:61" s="17" customFormat="1" ht="15.75" hidden="1" customHeight="1">
      <c r="A103" s="102"/>
      <c r="B103" s="115"/>
      <c r="C103" s="117"/>
      <c r="D103" s="119"/>
      <c r="E103" s="117"/>
      <c r="F103" s="117"/>
      <c r="G103" s="121"/>
      <c r="H103" s="95"/>
      <c r="I103" s="95"/>
      <c r="J103" s="95"/>
      <c r="K103" s="22"/>
      <c r="L103" s="18"/>
      <c r="M103" s="18"/>
      <c r="N103" s="98"/>
      <c r="O103" s="19">
        <f t="shared" si="10"/>
        <v>0</v>
      </c>
      <c r="P103" s="22"/>
      <c r="Q103" s="100"/>
      <c r="R103" s="102"/>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156"/>
      <c r="AZ103" s="156"/>
      <c r="BA103" s="156"/>
      <c r="BB103" s="156"/>
      <c r="BC103" s="156"/>
      <c r="BD103" s="156"/>
      <c r="BE103" s="96"/>
      <c r="BF103" s="156"/>
      <c r="BG103" s="156"/>
    </row>
    <row r="104" spans="1:61" s="17" customFormat="1" ht="15.75" hidden="1" customHeight="1">
      <c r="A104" s="101">
        <v>44990</v>
      </c>
      <c r="B104" s="114" t="s">
        <v>37</v>
      </c>
      <c r="C104" s="116"/>
      <c r="D104" s="118"/>
      <c r="E104" s="116"/>
      <c r="F104" s="116"/>
      <c r="G104" s="120"/>
      <c r="H104" s="90"/>
      <c r="I104" s="90"/>
      <c r="J104" s="90"/>
      <c r="K104" s="20"/>
      <c r="L104" s="20"/>
      <c r="M104" s="20"/>
      <c r="N104" s="97" t="e">
        <f>O105/L105</f>
        <v>#DIV/0!</v>
      </c>
      <c r="O104" s="21">
        <f t="shared" si="10"/>
        <v>0</v>
      </c>
      <c r="P104" s="27"/>
      <c r="Q104" s="99">
        <f>+L105-P105</f>
        <v>0</v>
      </c>
      <c r="R104" s="101"/>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155"/>
      <c r="AZ104" s="155"/>
      <c r="BA104" s="155"/>
      <c r="BB104" s="155"/>
      <c r="BC104" s="155"/>
      <c r="BD104" s="155"/>
      <c r="BE104" s="96"/>
      <c r="BF104" s="155"/>
      <c r="BG104" s="155"/>
    </row>
    <row r="105" spans="1:61" s="17" customFormat="1" ht="15.75" hidden="1" customHeight="1">
      <c r="A105" s="102"/>
      <c r="B105" s="115"/>
      <c r="C105" s="117"/>
      <c r="D105" s="119"/>
      <c r="E105" s="117"/>
      <c r="F105" s="117"/>
      <c r="G105" s="121"/>
      <c r="H105" s="95"/>
      <c r="I105" s="95"/>
      <c r="J105" s="95"/>
      <c r="K105" s="22"/>
      <c r="L105" s="18"/>
      <c r="M105" s="18"/>
      <c r="N105" s="98"/>
      <c r="O105" s="19">
        <f t="shared" si="10"/>
        <v>0</v>
      </c>
      <c r="P105" s="22"/>
      <c r="Q105" s="100"/>
      <c r="R105" s="102"/>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156"/>
      <c r="AZ105" s="156"/>
      <c r="BA105" s="156"/>
      <c r="BB105" s="156"/>
      <c r="BC105" s="156"/>
      <c r="BD105" s="156"/>
      <c r="BE105" s="96"/>
      <c r="BF105" s="156"/>
      <c r="BG105" s="156"/>
      <c r="BH105" s="1"/>
      <c r="BI105" s="1"/>
    </row>
    <row r="106" spans="1:61" ht="24.75" hidden="1" customHeight="1">
      <c r="A106" s="111" t="s">
        <v>46</v>
      </c>
      <c r="B106" s="112"/>
      <c r="C106" s="112"/>
      <c r="D106" s="112"/>
      <c r="E106" s="112"/>
      <c r="F106" s="112"/>
      <c r="G106" s="112"/>
      <c r="H106" s="112"/>
      <c r="I106" s="113"/>
      <c r="J106" s="5">
        <f>SUM(J98:J105)</f>
        <v>0</v>
      </c>
      <c r="K106" s="5">
        <f>+SUMPRODUCT(((MOD(ROW(K98:K105),2)=0)*(K98:K105)))</f>
        <v>0</v>
      </c>
      <c r="L106" s="5">
        <f>+SUMPRODUCT(((MOD(ROW(L98:L105),2)=0)*(L98:L105)))</f>
        <v>0</v>
      </c>
      <c r="M106" s="5">
        <f>+SUMPRODUCT(((MOD(ROW(M98:M105),2)=0)*(M98:M105)))</f>
        <v>0</v>
      </c>
      <c r="N106" s="6" t="e">
        <f>O106/L106</f>
        <v>#DIV/0!</v>
      </c>
      <c r="O106" s="5">
        <f>+SUMPRODUCT(((MOD(ROW(O98:O105),2)=0)*(O98:O105)))</f>
        <v>0</v>
      </c>
      <c r="P106" s="5">
        <f>+SUMPRODUCT(((MOD(ROW(P98:P105),2)=0)*(P98:P105)))</f>
        <v>0</v>
      </c>
      <c r="Q106" s="29">
        <f>SUM(Q98:Q105)</f>
        <v>0</v>
      </c>
      <c r="R106" s="29"/>
      <c r="S106" s="29">
        <f t="shared" ref="S106:BG106" si="11">SUM(S98:S105)</f>
        <v>0</v>
      </c>
      <c r="T106" s="29">
        <f t="shared" si="11"/>
        <v>0</v>
      </c>
      <c r="U106" s="29">
        <f t="shared" si="11"/>
        <v>0</v>
      </c>
      <c r="V106" s="29">
        <f t="shared" si="11"/>
        <v>0</v>
      </c>
      <c r="W106" s="29">
        <f t="shared" si="11"/>
        <v>0</v>
      </c>
      <c r="X106" s="29">
        <f t="shared" si="11"/>
        <v>0</v>
      </c>
      <c r="Y106" s="29">
        <f t="shared" si="11"/>
        <v>0</v>
      </c>
      <c r="Z106" s="29">
        <f t="shared" si="11"/>
        <v>0</v>
      </c>
      <c r="AA106" s="29">
        <f t="shared" si="11"/>
        <v>0</v>
      </c>
      <c r="AB106" s="29">
        <f t="shared" si="11"/>
        <v>0</v>
      </c>
      <c r="AC106" s="29">
        <f t="shared" si="11"/>
        <v>0</v>
      </c>
      <c r="AD106" s="29">
        <f t="shared" si="11"/>
        <v>0</v>
      </c>
      <c r="AE106" s="29">
        <f t="shared" si="11"/>
        <v>0</v>
      </c>
      <c r="AF106" s="29">
        <f t="shared" si="11"/>
        <v>0</v>
      </c>
      <c r="AG106" s="29">
        <f t="shared" si="11"/>
        <v>0</v>
      </c>
      <c r="AH106" s="29">
        <f t="shared" si="11"/>
        <v>0</v>
      </c>
      <c r="AI106" s="29">
        <f t="shared" si="11"/>
        <v>0</v>
      </c>
      <c r="AJ106" s="29">
        <f t="shared" si="11"/>
        <v>0</v>
      </c>
      <c r="AK106" s="29">
        <f t="shared" si="11"/>
        <v>0</v>
      </c>
      <c r="AL106" s="29">
        <f t="shared" si="11"/>
        <v>0</v>
      </c>
      <c r="AM106" s="29">
        <f t="shared" si="11"/>
        <v>0</v>
      </c>
      <c r="AN106" s="29">
        <f t="shared" si="11"/>
        <v>0</v>
      </c>
      <c r="AO106" s="29">
        <f t="shared" si="11"/>
        <v>0</v>
      </c>
      <c r="AP106" s="29">
        <f t="shared" si="11"/>
        <v>0</v>
      </c>
      <c r="AQ106" s="29">
        <f t="shared" si="11"/>
        <v>0</v>
      </c>
      <c r="AR106" s="29">
        <f t="shared" si="11"/>
        <v>0</v>
      </c>
      <c r="AS106" s="29">
        <f t="shared" si="11"/>
        <v>0</v>
      </c>
      <c r="AT106" s="29">
        <f t="shared" si="11"/>
        <v>0</v>
      </c>
      <c r="AU106" s="29">
        <f t="shared" si="11"/>
        <v>0</v>
      </c>
      <c r="AV106" s="29">
        <f t="shared" si="11"/>
        <v>0</v>
      </c>
      <c r="AW106" s="29">
        <f t="shared" si="11"/>
        <v>0</v>
      </c>
      <c r="AX106" s="29">
        <f t="shared" si="11"/>
        <v>0</v>
      </c>
      <c r="AY106" s="29">
        <f t="shared" si="11"/>
        <v>0</v>
      </c>
      <c r="AZ106" s="29">
        <f t="shared" si="11"/>
        <v>0</v>
      </c>
      <c r="BA106" s="29">
        <f t="shared" si="11"/>
        <v>0</v>
      </c>
      <c r="BB106" s="29">
        <f t="shared" si="11"/>
        <v>0</v>
      </c>
      <c r="BC106" s="29">
        <f t="shared" si="11"/>
        <v>0</v>
      </c>
      <c r="BD106" s="29">
        <f t="shared" si="11"/>
        <v>0</v>
      </c>
      <c r="BE106" s="29">
        <f t="shared" si="11"/>
        <v>0</v>
      </c>
      <c r="BF106" s="29">
        <f t="shared" si="11"/>
        <v>0</v>
      </c>
      <c r="BG106" s="29">
        <f t="shared" si="11"/>
        <v>0</v>
      </c>
    </row>
    <row r="107" spans="1:61" ht="24.75" customHeight="1">
      <c r="A107" s="122" t="s">
        <v>5</v>
      </c>
      <c r="B107" s="122"/>
      <c r="C107" s="122"/>
      <c r="D107" s="122"/>
      <c r="E107" s="122"/>
      <c r="F107" s="122"/>
      <c r="G107" s="122"/>
      <c r="H107" s="122"/>
      <c r="I107" s="122"/>
      <c r="J107" s="4">
        <f>J77+J88+J97+J106</f>
        <v>6246</v>
      </c>
      <c r="K107" s="4">
        <f>K77+K88+K97+K106</f>
        <v>310</v>
      </c>
      <c r="L107" s="4">
        <f>L77+L88+L97+L106</f>
        <v>300</v>
      </c>
      <c r="M107" s="4">
        <f>M77+M88+M97+M106</f>
        <v>167</v>
      </c>
      <c r="N107" s="33">
        <f>O107/L107</f>
        <v>0.44333333333333336</v>
      </c>
      <c r="O107" s="4">
        <f>O77+O88+O97+O106</f>
        <v>133</v>
      </c>
      <c r="P107" s="31">
        <f>P77+P88+P97+P106</f>
        <v>249</v>
      </c>
      <c r="Q107" s="31">
        <f>Q77+Q88+Q97+Q106</f>
        <v>194</v>
      </c>
      <c r="R107" s="4"/>
      <c r="S107" s="31">
        <f t="shared" ref="S107:BG107" si="12">S77+S88+S97+S106</f>
        <v>3</v>
      </c>
      <c r="T107" s="31">
        <f t="shared" si="12"/>
        <v>10</v>
      </c>
      <c r="U107" s="31">
        <f t="shared" si="12"/>
        <v>20</v>
      </c>
      <c r="V107" s="31">
        <f t="shared" si="12"/>
        <v>0</v>
      </c>
      <c r="W107" s="31">
        <f t="shared" si="12"/>
        <v>0</v>
      </c>
      <c r="X107" s="31">
        <f t="shared" si="12"/>
        <v>0</v>
      </c>
      <c r="Y107" s="31">
        <f t="shared" si="12"/>
        <v>0</v>
      </c>
      <c r="Z107" s="31">
        <f t="shared" si="12"/>
        <v>0</v>
      </c>
      <c r="AA107" s="31">
        <f t="shared" si="12"/>
        <v>0</v>
      </c>
      <c r="AB107" s="31">
        <f t="shared" si="12"/>
        <v>0</v>
      </c>
      <c r="AC107" s="31">
        <f t="shared" si="12"/>
        <v>15</v>
      </c>
      <c r="AD107" s="31">
        <f t="shared" si="12"/>
        <v>4</v>
      </c>
      <c r="AE107" s="31">
        <f t="shared" si="12"/>
        <v>19</v>
      </c>
      <c r="AF107" s="31">
        <f t="shared" si="12"/>
        <v>7</v>
      </c>
      <c r="AG107" s="31">
        <f t="shared" si="12"/>
        <v>0</v>
      </c>
      <c r="AH107" s="31">
        <f t="shared" si="12"/>
        <v>30</v>
      </c>
      <c r="AI107" s="31">
        <f t="shared" si="12"/>
        <v>0</v>
      </c>
      <c r="AJ107" s="31">
        <f t="shared" si="12"/>
        <v>0</v>
      </c>
      <c r="AK107" s="31">
        <f t="shared" si="12"/>
        <v>4</v>
      </c>
      <c r="AL107" s="31">
        <f t="shared" si="12"/>
        <v>26</v>
      </c>
      <c r="AM107" s="31">
        <f t="shared" si="12"/>
        <v>0</v>
      </c>
      <c r="AN107" s="31">
        <f t="shared" si="12"/>
        <v>0</v>
      </c>
      <c r="AO107" s="31">
        <f t="shared" si="12"/>
        <v>0</v>
      </c>
      <c r="AP107" s="31">
        <f t="shared" si="12"/>
        <v>0</v>
      </c>
      <c r="AQ107" s="31">
        <f t="shared" si="12"/>
        <v>0</v>
      </c>
      <c r="AR107" s="31">
        <f t="shared" si="12"/>
        <v>0</v>
      </c>
      <c r="AS107" s="31">
        <f t="shared" si="12"/>
        <v>0</v>
      </c>
      <c r="AT107" s="31">
        <f t="shared" si="12"/>
        <v>0</v>
      </c>
      <c r="AU107" s="31">
        <f t="shared" si="12"/>
        <v>0</v>
      </c>
      <c r="AV107" s="31">
        <f t="shared" si="12"/>
        <v>0</v>
      </c>
      <c r="AW107" s="31">
        <f t="shared" si="12"/>
        <v>0</v>
      </c>
      <c r="AX107" s="31">
        <f t="shared" si="12"/>
        <v>0</v>
      </c>
      <c r="AY107" s="31">
        <f t="shared" si="12"/>
        <v>0</v>
      </c>
      <c r="AZ107" s="31">
        <f t="shared" si="12"/>
        <v>0</v>
      </c>
      <c r="BA107" s="31">
        <f t="shared" si="12"/>
        <v>0</v>
      </c>
      <c r="BB107" s="31">
        <f t="shared" si="12"/>
        <v>0</v>
      </c>
      <c r="BC107" s="31">
        <f t="shared" si="12"/>
        <v>0</v>
      </c>
      <c r="BD107" s="31">
        <f t="shared" si="12"/>
        <v>0</v>
      </c>
      <c r="BE107" s="31">
        <f t="shared" si="12"/>
        <v>0</v>
      </c>
      <c r="BF107" s="31">
        <f t="shared" si="12"/>
        <v>0</v>
      </c>
      <c r="BG107" s="31">
        <f t="shared" si="12"/>
        <v>0</v>
      </c>
    </row>
    <row r="110" spans="1:61" s="25" customFormat="1" ht="35.25" customHeight="1">
      <c r="A110" s="2"/>
      <c r="B110" s="2"/>
      <c r="C110" s="2"/>
      <c r="D110" s="1"/>
      <c r="E110" s="1"/>
      <c r="F110" s="1"/>
      <c r="G110" s="1"/>
      <c r="H110" s="1"/>
      <c r="I110" s="1"/>
      <c r="J110" s="1"/>
      <c r="K110" s="35"/>
      <c r="L110" s="35"/>
      <c r="M110" s="35"/>
      <c r="N110" s="35"/>
      <c r="O110" s="35"/>
      <c r="P110" s="35"/>
      <c r="Q110" s="36"/>
      <c r="S110" s="8"/>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row>
    <row r="113" spans="1:61" s="25" customFormat="1" ht="33" customHeight="1">
      <c r="A113" s="2"/>
      <c r="B113" s="2"/>
      <c r="C113" s="2"/>
      <c r="D113" s="1"/>
      <c r="E113" s="1"/>
      <c r="F113" s="1"/>
      <c r="G113" s="1"/>
      <c r="H113" s="1"/>
      <c r="I113" s="1"/>
      <c r="J113" s="1"/>
      <c r="K113" s="1"/>
      <c r="L113" s="1"/>
      <c r="M113" s="1"/>
      <c r="N113" s="1"/>
      <c r="O113" s="1"/>
      <c r="S113" s="8"/>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row>
  </sheetData>
  <mergeCells count="2526">
    <mergeCell ref="AX25:AX26"/>
    <mergeCell ref="AY25:AY26"/>
    <mergeCell ref="AZ25:AZ26"/>
    <mergeCell ref="BA25:BA26"/>
    <mergeCell ref="BB25:BB26"/>
    <mergeCell ref="BC25:BC26"/>
    <mergeCell ref="AR25:AR26"/>
    <mergeCell ref="AS25:AS26"/>
    <mergeCell ref="AT25:AT26"/>
    <mergeCell ref="AU25:AU26"/>
    <mergeCell ref="J25:J26"/>
    <mergeCell ref="N25:N26"/>
    <mergeCell ref="Q25:Q26"/>
    <mergeCell ref="A25:A26"/>
    <mergeCell ref="B25:B26"/>
    <mergeCell ref="C25:C26"/>
    <mergeCell ref="D25:D26"/>
    <mergeCell ref="E25:E26"/>
    <mergeCell ref="F25:F26"/>
    <mergeCell ref="B7:B8"/>
    <mergeCell ref="AL25:AL26"/>
    <mergeCell ref="AM25:AM26"/>
    <mergeCell ref="BE25:BE26"/>
    <mergeCell ref="BF25:BF26"/>
    <mergeCell ref="BG25:BG26"/>
    <mergeCell ref="AN25:AN26"/>
    <mergeCell ref="AO25:AO26"/>
    <mergeCell ref="AP25:AP26"/>
    <mergeCell ref="AQ25:AQ26"/>
    <mergeCell ref="AE25:AE26"/>
    <mergeCell ref="AF25:AF26"/>
    <mergeCell ref="AG25:AG26"/>
    <mergeCell ref="AH25:AH26"/>
    <mergeCell ref="AI25:AI26"/>
    <mergeCell ref="AJ25:AJ26"/>
    <mergeCell ref="Y25:Y26"/>
    <mergeCell ref="Z25:Z26"/>
    <mergeCell ref="AA25:AA26"/>
    <mergeCell ref="AB25:AB26"/>
    <mergeCell ref="AC25:AC26"/>
    <mergeCell ref="AD25:AD26"/>
    <mergeCell ref="BE7:BE8"/>
    <mergeCell ref="BF7:BF8"/>
    <mergeCell ref="BG7:BG8"/>
    <mergeCell ref="AD7:AD8"/>
    <mergeCell ref="S7:S8"/>
    <mergeCell ref="T7:T8"/>
    <mergeCell ref="U7:U8"/>
    <mergeCell ref="V7:V8"/>
    <mergeCell ref="J7:J8"/>
    <mergeCell ref="BD25:BD26"/>
    <mergeCell ref="A5:A6"/>
    <mergeCell ref="B5:B6"/>
    <mergeCell ref="C5:C6"/>
    <mergeCell ref="D5:D6"/>
    <mergeCell ref="E5:E6"/>
    <mergeCell ref="F5:F6"/>
    <mergeCell ref="G5:G6"/>
    <mergeCell ref="H5:H6"/>
    <mergeCell ref="I5:I6"/>
    <mergeCell ref="AK5:AK6"/>
    <mergeCell ref="AL5:AL6"/>
    <mergeCell ref="AV25:AV26"/>
    <mergeCell ref="AW25:AW26"/>
    <mergeCell ref="AK25:AK26"/>
    <mergeCell ref="A15:A16"/>
    <mergeCell ref="B15:B16"/>
    <mergeCell ref="C15:C16"/>
    <mergeCell ref="W25:W26"/>
    <mergeCell ref="X25:X26"/>
    <mergeCell ref="R25:R26"/>
    <mergeCell ref="S25:S26"/>
    <mergeCell ref="T25:T26"/>
    <mergeCell ref="U25:U26"/>
    <mergeCell ref="V25:V26"/>
    <mergeCell ref="J5:J6"/>
    <mergeCell ref="N5:N6"/>
    <mergeCell ref="Q5:Q6"/>
    <mergeCell ref="R5:R6"/>
    <mergeCell ref="S5:S6"/>
    <mergeCell ref="G25:G26"/>
    <mergeCell ref="H25:H26"/>
    <mergeCell ref="I25:I26"/>
    <mergeCell ref="A1:O1"/>
    <mergeCell ref="A2:O2"/>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T5:T6"/>
    <mergeCell ref="AE5:AE6"/>
    <mergeCell ref="AF5:AF6"/>
    <mergeCell ref="AE7:AE8"/>
    <mergeCell ref="AF7:AF8"/>
    <mergeCell ref="AG7:AG8"/>
    <mergeCell ref="AH7:AH8"/>
    <mergeCell ref="AW3:AW4"/>
    <mergeCell ref="AX3:AX4"/>
    <mergeCell ref="AY3:AY4"/>
    <mergeCell ref="AZ3:AZ4"/>
    <mergeCell ref="U5:U6"/>
    <mergeCell ref="V5:V6"/>
    <mergeCell ref="W5:W6"/>
    <mergeCell ref="X5:X6"/>
    <mergeCell ref="Y5:Y6"/>
    <mergeCell ref="Z5:Z6"/>
    <mergeCell ref="AA5:AA6"/>
    <mergeCell ref="AB5:AB6"/>
    <mergeCell ref="AC5:AC6"/>
    <mergeCell ref="AD5:AD6"/>
    <mergeCell ref="AM7:AM8"/>
    <mergeCell ref="AN7:AN8"/>
    <mergeCell ref="AU3:AU4"/>
    <mergeCell ref="AV3:AV4"/>
    <mergeCell ref="AC7:AC8"/>
    <mergeCell ref="BB3:BB4"/>
    <mergeCell ref="BC3:BC4"/>
    <mergeCell ref="BD3:BD4"/>
    <mergeCell ref="BE3:BE4"/>
    <mergeCell ref="BF3:BF4"/>
    <mergeCell ref="BG3:BG4"/>
    <mergeCell ref="AO5:AO6"/>
    <mergeCell ref="AP5:AP6"/>
    <mergeCell ref="AH3:AH4"/>
    <mergeCell ref="AS3:AS4"/>
    <mergeCell ref="AT3:AT4"/>
    <mergeCell ref="AI3:AI4"/>
    <mergeCell ref="AJ3:AJ4"/>
    <mergeCell ref="AK3:AK4"/>
    <mergeCell ref="AL3:AL4"/>
    <mergeCell ref="AM3:AM4"/>
    <mergeCell ref="AN3:AN4"/>
    <mergeCell ref="AO3:AO4"/>
    <mergeCell ref="AP3:AP4"/>
    <mergeCell ref="AQ3:AQ4"/>
    <mergeCell ref="AR3:AR4"/>
    <mergeCell ref="BE5:BE6"/>
    <mergeCell ref="BF5:BF6"/>
    <mergeCell ref="BG5:BG6"/>
    <mergeCell ref="AH5:AH6"/>
    <mergeCell ref="AI5:AI6"/>
    <mergeCell ref="AJ5:AJ6"/>
    <mergeCell ref="AM5:AM6"/>
    <mergeCell ref="AN5:AN6"/>
    <mergeCell ref="AI7:AI8"/>
    <mergeCell ref="AJ7:AJ8"/>
    <mergeCell ref="Y7:Y8"/>
    <mergeCell ref="Z7:Z8"/>
    <mergeCell ref="AA7:AA8"/>
    <mergeCell ref="AB7:AB8"/>
    <mergeCell ref="AQ7:AQ8"/>
    <mergeCell ref="AR7:AR8"/>
    <mergeCell ref="AS7:AS8"/>
    <mergeCell ref="AT7:AT8"/>
    <mergeCell ref="AU7:AU8"/>
    <mergeCell ref="AV7:AV8"/>
    <mergeCell ref="AW7:AW8"/>
    <mergeCell ref="AX7:AX8"/>
    <mergeCell ref="AK7:AK8"/>
    <mergeCell ref="AL7:AL8"/>
    <mergeCell ref="BA3:BA4"/>
    <mergeCell ref="AG5:AG6"/>
    <mergeCell ref="AY7:AY8"/>
    <mergeCell ref="AZ7:AZ8"/>
    <mergeCell ref="BA7:BA8"/>
    <mergeCell ref="BB7:BB8"/>
    <mergeCell ref="BC7:BC8"/>
    <mergeCell ref="BD7:BD8"/>
    <mergeCell ref="AO7:AO8"/>
    <mergeCell ref="AP7:AP8"/>
    <mergeCell ref="AS5:AS6"/>
    <mergeCell ref="AT5:AT6"/>
    <mergeCell ref="AU5:AU6"/>
    <mergeCell ref="AV5:AV6"/>
    <mergeCell ref="AW5:AW6"/>
    <mergeCell ref="AX5:AX6"/>
    <mergeCell ref="AY5:AY6"/>
    <mergeCell ref="AZ5:AZ6"/>
    <mergeCell ref="BA5:BA6"/>
    <mergeCell ref="BB5:BB6"/>
    <mergeCell ref="BC5:BC6"/>
    <mergeCell ref="BD5:BD6"/>
    <mergeCell ref="AQ5:AQ6"/>
    <mergeCell ref="AR5:AR6"/>
    <mergeCell ref="A9:A10"/>
    <mergeCell ref="B9:B10"/>
    <mergeCell ref="C9:C10"/>
    <mergeCell ref="D9:D10"/>
    <mergeCell ref="E9:E10"/>
    <mergeCell ref="W7:W8"/>
    <mergeCell ref="X7:X8"/>
    <mergeCell ref="F9:F10"/>
    <mergeCell ref="G9:G10"/>
    <mergeCell ref="H9:H10"/>
    <mergeCell ref="I9:I10"/>
    <mergeCell ref="J9:J10"/>
    <mergeCell ref="N9:N10"/>
    <mergeCell ref="H7:H8"/>
    <mergeCell ref="I7:I8"/>
    <mergeCell ref="Q9:Q10"/>
    <mergeCell ref="R9:R10"/>
    <mergeCell ref="S9:S10"/>
    <mergeCell ref="T9:T10"/>
    <mergeCell ref="U9:U10"/>
    <mergeCell ref="V9:V10"/>
    <mergeCell ref="W9:W10"/>
    <mergeCell ref="X9:X10"/>
    <mergeCell ref="E7:E8"/>
    <mergeCell ref="F7:F8"/>
    <mergeCell ref="G7:G8"/>
    <mergeCell ref="C7:C8"/>
    <mergeCell ref="D7:D8"/>
    <mergeCell ref="N7:N8"/>
    <mergeCell ref="Q7:Q8"/>
    <mergeCell ref="R7:R8"/>
    <mergeCell ref="A7:A8"/>
    <mergeCell ref="AY9:AY10"/>
    <mergeCell ref="AZ9:AZ10"/>
    <mergeCell ref="BA9:BA10"/>
    <mergeCell ref="BB9:BB10"/>
    <mergeCell ref="BC9:BC10"/>
    <mergeCell ref="BD9:BD10"/>
    <mergeCell ref="BE9:BE10"/>
    <mergeCell ref="Y9:Y10"/>
    <mergeCell ref="Z9:Z10"/>
    <mergeCell ref="AA9:AA10"/>
    <mergeCell ref="AB9:AB10"/>
    <mergeCell ref="AC9:AC10"/>
    <mergeCell ref="AD9:AD10"/>
    <mergeCell ref="AE9:AE10"/>
    <mergeCell ref="AF9:AF10"/>
    <mergeCell ref="AG9:AG10"/>
    <mergeCell ref="AH9:AH10"/>
    <mergeCell ref="AI9:AI10"/>
    <mergeCell ref="AJ9:AJ10"/>
    <mergeCell ref="AK9:AK10"/>
    <mergeCell ref="AL9:AL10"/>
    <mergeCell ref="AM9:AM10"/>
    <mergeCell ref="AN9:AN10"/>
    <mergeCell ref="AH11:AH12"/>
    <mergeCell ref="AI11:AI12"/>
    <mergeCell ref="AO9:AO10"/>
    <mergeCell ref="AP9:AP10"/>
    <mergeCell ref="AQ9:AQ10"/>
    <mergeCell ref="AR9:AR10"/>
    <mergeCell ref="AS9:AS10"/>
    <mergeCell ref="AT9:AT10"/>
    <mergeCell ref="AU9:AU10"/>
    <mergeCell ref="AV9:AV10"/>
    <mergeCell ref="AW9:AW10"/>
    <mergeCell ref="AX9:AX10"/>
    <mergeCell ref="AT11:AT12"/>
    <mergeCell ref="AU11:AU12"/>
    <mergeCell ref="AV11:AV12"/>
    <mergeCell ref="AW11:AW12"/>
    <mergeCell ref="AX11:AX12"/>
    <mergeCell ref="BF9:BF10"/>
    <mergeCell ref="BG9:BG10"/>
    <mergeCell ref="A11:A12"/>
    <mergeCell ref="B11:B12"/>
    <mergeCell ref="C11:C12"/>
    <mergeCell ref="D11:D12"/>
    <mergeCell ref="E11:E12"/>
    <mergeCell ref="F11:F12"/>
    <mergeCell ref="G11:G12"/>
    <mergeCell ref="H11:H12"/>
    <mergeCell ref="I11:I12"/>
    <mergeCell ref="J11:J12"/>
    <mergeCell ref="N11:N12"/>
    <mergeCell ref="Q11:Q12"/>
    <mergeCell ref="R11:R12"/>
    <mergeCell ref="S11:S12"/>
    <mergeCell ref="T11:T12"/>
    <mergeCell ref="U11:U12"/>
    <mergeCell ref="V11:V12"/>
    <mergeCell ref="W11:W12"/>
    <mergeCell ref="X11:X12"/>
    <mergeCell ref="Y11:Y12"/>
    <mergeCell ref="Z11:Z12"/>
    <mergeCell ref="AA11:AA12"/>
    <mergeCell ref="AB11:AB12"/>
    <mergeCell ref="BA11:BA12"/>
    <mergeCell ref="BB11:BB12"/>
    <mergeCell ref="BC11:BC12"/>
    <mergeCell ref="BD11:BD12"/>
    <mergeCell ref="BE11:BE12"/>
    <mergeCell ref="AC11:AC12"/>
    <mergeCell ref="AD11:AD12"/>
    <mergeCell ref="BF11:BF12"/>
    <mergeCell ref="BG11:BG12"/>
    <mergeCell ref="A13:A14"/>
    <mergeCell ref="B13:B14"/>
    <mergeCell ref="C13:C14"/>
    <mergeCell ref="D13:D14"/>
    <mergeCell ref="E13:E14"/>
    <mergeCell ref="F13:F14"/>
    <mergeCell ref="G13:G14"/>
    <mergeCell ref="Y13:Y14"/>
    <mergeCell ref="Z13:Z14"/>
    <mergeCell ref="AA13:AA14"/>
    <mergeCell ref="BC13:BC14"/>
    <mergeCell ref="BD13:BD14"/>
    <mergeCell ref="BE13:BE14"/>
    <mergeCell ref="BF13:BF14"/>
    <mergeCell ref="BG13:BG14"/>
    <mergeCell ref="AJ11:AJ12"/>
    <mergeCell ref="AK11:AK12"/>
    <mergeCell ref="AL11:AL12"/>
    <mergeCell ref="AM11:AM12"/>
    <mergeCell ref="AN11:AN12"/>
    <mergeCell ref="AO11:AO12"/>
    <mergeCell ref="AP11:AP12"/>
    <mergeCell ref="AQ11:AQ12"/>
    <mergeCell ref="AR11:AR12"/>
    <mergeCell ref="AS11:AS12"/>
    <mergeCell ref="AY11:AY12"/>
    <mergeCell ref="AZ11:AZ12"/>
    <mergeCell ref="AE11:AE12"/>
    <mergeCell ref="AF11:AF12"/>
    <mergeCell ref="AG11:AG12"/>
    <mergeCell ref="BB13:BB14"/>
    <mergeCell ref="AQ13:AQ14"/>
    <mergeCell ref="AR13:AR14"/>
    <mergeCell ref="AS13:AS14"/>
    <mergeCell ref="AT13:AT14"/>
    <mergeCell ref="AU13:AU14"/>
    <mergeCell ref="AV13:AV14"/>
    <mergeCell ref="AS15:AS16"/>
    <mergeCell ref="AT15:AT16"/>
    <mergeCell ref="AI15:AI16"/>
    <mergeCell ref="AX13:AX14"/>
    <mergeCell ref="AY13:AY14"/>
    <mergeCell ref="X15:X16"/>
    <mergeCell ref="Y15:Y16"/>
    <mergeCell ref="Z15:Z16"/>
    <mergeCell ref="AA15:AA16"/>
    <mergeCell ref="AB15:AB16"/>
    <mergeCell ref="AC15:AC16"/>
    <mergeCell ref="AD15:AD16"/>
    <mergeCell ref="BB15:BB16"/>
    <mergeCell ref="Q15:Q16"/>
    <mergeCell ref="R15:R16"/>
    <mergeCell ref="S15:S16"/>
    <mergeCell ref="AO13:AO14"/>
    <mergeCell ref="AP13:AP14"/>
    <mergeCell ref="AE13:AE14"/>
    <mergeCell ref="AF13:AF14"/>
    <mergeCell ref="AG13:AG14"/>
    <mergeCell ref="AH13:AH14"/>
    <mergeCell ref="AI13:AI14"/>
    <mergeCell ref="AJ13:AJ14"/>
    <mergeCell ref="AZ13:AZ14"/>
    <mergeCell ref="BA13:BA14"/>
    <mergeCell ref="AU15:AU16"/>
    <mergeCell ref="AV15:AV16"/>
    <mergeCell ref="AW15:AW16"/>
    <mergeCell ref="AX15:AX16"/>
    <mergeCell ref="AY15:AY16"/>
    <mergeCell ref="AZ15:AZ16"/>
    <mergeCell ref="BA15:BA16"/>
    <mergeCell ref="D15:D16"/>
    <mergeCell ref="E15:E16"/>
    <mergeCell ref="AW13:AW14"/>
    <mergeCell ref="AK13:AK14"/>
    <mergeCell ref="AL13:AL14"/>
    <mergeCell ref="AM13:AM14"/>
    <mergeCell ref="AN13:AN14"/>
    <mergeCell ref="H13:H14"/>
    <mergeCell ref="I13:I14"/>
    <mergeCell ref="J13:J14"/>
    <mergeCell ref="N13:N14"/>
    <mergeCell ref="Q13:Q14"/>
    <mergeCell ref="R13:R14"/>
    <mergeCell ref="S13:S14"/>
    <mergeCell ref="T13:T14"/>
    <mergeCell ref="U13:U14"/>
    <mergeCell ref="V13:V14"/>
    <mergeCell ref="W13:W14"/>
    <mergeCell ref="X13:X14"/>
    <mergeCell ref="AB13:AB14"/>
    <mergeCell ref="AC13:AC14"/>
    <mergeCell ref="AD13:AD14"/>
    <mergeCell ref="T15:T16"/>
    <mergeCell ref="U15:U16"/>
    <mergeCell ref="V15:V16"/>
    <mergeCell ref="F15:F16"/>
    <mergeCell ref="G15:G16"/>
    <mergeCell ref="H15:H16"/>
    <mergeCell ref="I15:I16"/>
    <mergeCell ref="J15:J16"/>
    <mergeCell ref="N15:N16"/>
    <mergeCell ref="W15:W16"/>
    <mergeCell ref="AE15:AE16"/>
    <mergeCell ref="AF15:AF16"/>
    <mergeCell ref="AG15:AG16"/>
    <mergeCell ref="AH15:AH16"/>
    <mergeCell ref="AO15:AO16"/>
    <mergeCell ref="AP15:AP16"/>
    <mergeCell ref="AQ15:AQ16"/>
    <mergeCell ref="AR15:AR16"/>
    <mergeCell ref="AJ15:AJ16"/>
    <mergeCell ref="AK15:AK16"/>
    <mergeCell ref="AL15:AL16"/>
    <mergeCell ref="AM15:AM16"/>
    <mergeCell ref="AN15:AN16"/>
    <mergeCell ref="AE17:AE18"/>
    <mergeCell ref="AF17:AF18"/>
    <mergeCell ref="AG17:AG18"/>
    <mergeCell ref="AH17:AH18"/>
    <mergeCell ref="AK17:AK18"/>
    <mergeCell ref="AL17:AL18"/>
    <mergeCell ref="AM17:AM18"/>
    <mergeCell ref="AN17:AN18"/>
    <mergeCell ref="AO17:AO18"/>
    <mergeCell ref="AP17:AP18"/>
    <mergeCell ref="AQ17:AQ18"/>
    <mergeCell ref="AR17:AR18"/>
    <mergeCell ref="BC15:BC16"/>
    <mergeCell ref="BD15:BD16"/>
    <mergeCell ref="BE15:BE16"/>
    <mergeCell ref="BF15:BF16"/>
    <mergeCell ref="BG15:BG16"/>
    <mergeCell ref="A17:A18"/>
    <mergeCell ref="B17:B18"/>
    <mergeCell ref="C17:C18"/>
    <mergeCell ref="D17:D18"/>
    <mergeCell ref="E17:E18"/>
    <mergeCell ref="F17:F18"/>
    <mergeCell ref="G17:G18"/>
    <mergeCell ref="H17:H18"/>
    <mergeCell ref="I17:I18"/>
    <mergeCell ref="J17:J18"/>
    <mergeCell ref="N17:N18"/>
    <mergeCell ref="Q17:Q18"/>
    <mergeCell ref="R17:R18"/>
    <mergeCell ref="S17:S18"/>
    <mergeCell ref="T17:T18"/>
    <mergeCell ref="U17:U18"/>
    <mergeCell ref="V17:V18"/>
    <mergeCell ref="W17:W18"/>
    <mergeCell ref="X17:X18"/>
    <mergeCell ref="AT17:AT18"/>
    <mergeCell ref="AU17:AU18"/>
    <mergeCell ref="AV17:AV18"/>
    <mergeCell ref="AW17:AW18"/>
    <mergeCell ref="AX17:AX18"/>
    <mergeCell ref="BE17:BE18"/>
    <mergeCell ref="AI17:AI18"/>
    <mergeCell ref="AJ17:AJ18"/>
    <mergeCell ref="BA19:BA20"/>
    <mergeCell ref="BB19:BB20"/>
    <mergeCell ref="BC19:BC20"/>
    <mergeCell ref="BD19:BD20"/>
    <mergeCell ref="BF17:BF18"/>
    <mergeCell ref="BG17:BG18"/>
    <mergeCell ref="AY17:AY18"/>
    <mergeCell ref="AZ17:AZ18"/>
    <mergeCell ref="BA17:BA18"/>
    <mergeCell ref="BB17:BB18"/>
    <mergeCell ref="BC17:BC18"/>
    <mergeCell ref="BD17:BD18"/>
    <mergeCell ref="AA19:AA20"/>
    <mergeCell ref="AB19:AB20"/>
    <mergeCell ref="Q19:Q20"/>
    <mergeCell ref="R19:R20"/>
    <mergeCell ref="S19:S20"/>
    <mergeCell ref="T19:T20"/>
    <mergeCell ref="U19:U20"/>
    <mergeCell ref="V19:V20"/>
    <mergeCell ref="AN19:AN20"/>
    <mergeCell ref="AC19:AC20"/>
    <mergeCell ref="AD19:AD20"/>
    <mergeCell ref="AE19:AE20"/>
    <mergeCell ref="AF19:AF20"/>
    <mergeCell ref="AG19:AG20"/>
    <mergeCell ref="AH19:AH20"/>
    <mergeCell ref="AO19:AO20"/>
    <mergeCell ref="AP19:AP20"/>
    <mergeCell ref="AQ19:AQ20"/>
    <mergeCell ref="AC17:AC18"/>
    <mergeCell ref="AD17:AD18"/>
    <mergeCell ref="AS17:AS18"/>
    <mergeCell ref="A19:A20"/>
    <mergeCell ref="B19:B20"/>
    <mergeCell ref="C19:C20"/>
    <mergeCell ref="D19:D20"/>
    <mergeCell ref="E19:E20"/>
    <mergeCell ref="AM19:AM20"/>
    <mergeCell ref="W19:W20"/>
    <mergeCell ref="X19:X20"/>
    <mergeCell ref="Y19:Y20"/>
    <mergeCell ref="AP21:AP22"/>
    <mergeCell ref="AQ21:AQ22"/>
    <mergeCell ref="AR21:AR22"/>
    <mergeCell ref="AG21:AG22"/>
    <mergeCell ref="Z19:Z20"/>
    <mergeCell ref="AI19:AI20"/>
    <mergeCell ref="AJ19:AJ20"/>
    <mergeCell ref="AK19:AK20"/>
    <mergeCell ref="AL19:AL20"/>
    <mergeCell ref="F19:F20"/>
    <mergeCell ref="G19:G20"/>
    <mergeCell ref="H19:H20"/>
    <mergeCell ref="I19:I20"/>
    <mergeCell ref="J19:J20"/>
    <mergeCell ref="N19:N20"/>
    <mergeCell ref="AR19:AR20"/>
    <mergeCell ref="AS19:AS20"/>
    <mergeCell ref="AS21:AS22"/>
    <mergeCell ref="Y17:Y18"/>
    <mergeCell ref="Z17:Z18"/>
    <mergeCell ref="AA17:AA18"/>
    <mergeCell ref="AB17:AB18"/>
    <mergeCell ref="AT19:AT20"/>
    <mergeCell ref="AU19:AU20"/>
    <mergeCell ref="AV19:AV20"/>
    <mergeCell ref="AW19:AW20"/>
    <mergeCell ref="AX19:AX20"/>
    <mergeCell ref="AY19:AY20"/>
    <mergeCell ref="AZ19:AZ20"/>
    <mergeCell ref="G23:G24"/>
    <mergeCell ref="AY21:AY22"/>
    <mergeCell ref="AZ21:AZ22"/>
    <mergeCell ref="BA21:BA22"/>
    <mergeCell ref="BE19:BE20"/>
    <mergeCell ref="BF19:BF20"/>
    <mergeCell ref="BG19:BG20"/>
    <mergeCell ref="A21:A22"/>
    <mergeCell ref="B21:B22"/>
    <mergeCell ref="C21:C22"/>
    <mergeCell ref="D21:D22"/>
    <mergeCell ref="E21:E22"/>
    <mergeCell ref="F21:F22"/>
    <mergeCell ref="G21:G22"/>
    <mergeCell ref="H21:H22"/>
    <mergeCell ref="I21:I22"/>
    <mergeCell ref="J21:J22"/>
    <mergeCell ref="N21:N22"/>
    <mergeCell ref="Q21:Q22"/>
    <mergeCell ref="R21:R22"/>
    <mergeCell ref="S21:S22"/>
    <mergeCell ref="T21:T22"/>
    <mergeCell ref="U21:U22"/>
    <mergeCell ref="BB21:BB22"/>
    <mergeCell ref="BC21:BC22"/>
    <mergeCell ref="AT21:AT22"/>
    <mergeCell ref="AU21:AU22"/>
    <mergeCell ref="AV21:AV22"/>
    <mergeCell ref="A23:A24"/>
    <mergeCell ref="B23:B24"/>
    <mergeCell ref="C23:C24"/>
    <mergeCell ref="D23:D24"/>
    <mergeCell ref="E23:E24"/>
    <mergeCell ref="F23:F24"/>
    <mergeCell ref="Y23:Y24"/>
    <mergeCell ref="Z23:Z24"/>
    <mergeCell ref="AA23:AA24"/>
    <mergeCell ref="V21:V22"/>
    <mergeCell ref="W21:W22"/>
    <mergeCell ref="X21:X22"/>
    <mergeCell ref="Y21:Y22"/>
    <mergeCell ref="Z21:Z22"/>
    <mergeCell ref="AL21:AL22"/>
    <mergeCell ref="AA21:AA22"/>
    <mergeCell ref="AB21:AB22"/>
    <mergeCell ref="AC21:AC22"/>
    <mergeCell ref="AD21:AD22"/>
    <mergeCell ref="AE21:AE22"/>
    <mergeCell ref="AF21:AF22"/>
    <mergeCell ref="AN21:AN22"/>
    <mergeCell ref="AH21:AH22"/>
    <mergeCell ref="AI21:AI22"/>
    <mergeCell ref="AJ21:AJ22"/>
    <mergeCell ref="AK21:AK22"/>
    <mergeCell ref="BE21:BE22"/>
    <mergeCell ref="BF21:BF22"/>
    <mergeCell ref="BG21:BG22"/>
    <mergeCell ref="BD21:BD22"/>
    <mergeCell ref="AW21:AW22"/>
    <mergeCell ref="AX21:AX22"/>
    <mergeCell ref="AM21:AM22"/>
    <mergeCell ref="AO23:AO24"/>
    <mergeCell ref="AP23:AP24"/>
    <mergeCell ref="AE23:AE24"/>
    <mergeCell ref="AF23:AF24"/>
    <mergeCell ref="AG23:AG24"/>
    <mergeCell ref="AH23:AH24"/>
    <mergeCell ref="AI23:AI24"/>
    <mergeCell ref="AJ23:AJ24"/>
    <mergeCell ref="AZ23:AZ24"/>
    <mergeCell ref="BA23:BA24"/>
    <mergeCell ref="BB23:BB24"/>
    <mergeCell ref="AQ23:AQ24"/>
    <mergeCell ref="AR23:AR24"/>
    <mergeCell ref="AS23:AS24"/>
    <mergeCell ref="AT23:AT24"/>
    <mergeCell ref="AU23:AU24"/>
    <mergeCell ref="AV23:AV24"/>
    <mergeCell ref="BC23:BC24"/>
    <mergeCell ref="BD23:BD24"/>
    <mergeCell ref="BE23:BE24"/>
    <mergeCell ref="BF23:BF24"/>
    <mergeCell ref="BG23:BG24"/>
    <mergeCell ref="AX23:AX24"/>
    <mergeCell ref="AY23:AY24"/>
    <mergeCell ref="AO21:AO22"/>
    <mergeCell ref="A27:A28"/>
    <mergeCell ref="B27:B28"/>
    <mergeCell ref="C27:C28"/>
    <mergeCell ref="D27:D28"/>
    <mergeCell ref="E27:E28"/>
    <mergeCell ref="AW23:AW24"/>
    <mergeCell ref="AK23:AK24"/>
    <mergeCell ref="AL23:AL24"/>
    <mergeCell ref="AM23:AM24"/>
    <mergeCell ref="AN23:AN24"/>
    <mergeCell ref="H23:H24"/>
    <mergeCell ref="I23:I24"/>
    <mergeCell ref="J23:J24"/>
    <mergeCell ref="N23:N24"/>
    <mergeCell ref="Q23:Q24"/>
    <mergeCell ref="R23:R24"/>
    <mergeCell ref="S23:S24"/>
    <mergeCell ref="T23:T24"/>
    <mergeCell ref="U23:U24"/>
    <mergeCell ref="V23:V24"/>
    <mergeCell ref="W23:W24"/>
    <mergeCell ref="X23:X24"/>
    <mergeCell ref="AB23:AB24"/>
    <mergeCell ref="AC23:AC24"/>
    <mergeCell ref="AD23:AD24"/>
    <mergeCell ref="F27:F28"/>
    <mergeCell ref="G27:G28"/>
    <mergeCell ref="H27:H28"/>
    <mergeCell ref="I27:I28"/>
    <mergeCell ref="J27:J28"/>
    <mergeCell ref="N27:N28"/>
    <mergeCell ref="Q27:Q28"/>
    <mergeCell ref="R27:R28"/>
    <mergeCell ref="S27:S28"/>
    <mergeCell ref="T27:T28"/>
    <mergeCell ref="U27:U28"/>
    <mergeCell ref="V27:V28"/>
    <mergeCell ref="W27:W28"/>
    <mergeCell ref="X27:X28"/>
    <mergeCell ref="Y27:Y28"/>
    <mergeCell ref="Z27:Z28"/>
    <mergeCell ref="AA27:AA28"/>
    <mergeCell ref="AB27:AB28"/>
    <mergeCell ref="AC27:AC28"/>
    <mergeCell ref="AD27:AD28"/>
    <mergeCell ref="AE27:AE28"/>
    <mergeCell ref="AF27:AF28"/>
    <mergeCell ref="AG27:AG28"/>
    <mergeCell ref="AH27:AH28"/>
    <mergeCell ref="AI27:AI28"/>
    <mergeCell ref="AJ27:AJ28"/>
    <mergeCell ref="AK27:AK28"/>
    <mergeCell ref="AL27:AL28"/>
    <mergeCell ref="AM27:AM28"/>
    <mergeCell ref="AN27:AN28"/>
    <mergeCell ref="AO27:AO28"/>
    <mergeCell ref="AP27:AP28"/>
    <mergeCell ref="AQ27:AQ28"/>
    <mergeCell ref="AR27:AR28"/>
    <mergeCell ref="AS27:AS28"/>
    <mergeCell ref="AT27:AT28"/>
    <mergeCell ref="AU27:AU28"/>
    <mergeCell ref="AV27:AV28"/>
    <mergeCell ref="AW27:AW28"/>
    <mergeCell ref="AX27:AX28"/>
    <mergeCell ref="AY27:AY28"/>
    <mergeCell ref="AZ27:AZ28"/>
    <mergeCell ref="BA27:BA28"/>
    <mergeCell ref="BB27:BB28"/>
    <mergeCell ref="BC27:BC28"/>
    <mergeCell ref="BD27:BD28"/>
    <mergeCell ref="BE27:BE28"/>
    <mergeCell ref="BF27:BF28"/>
    <mergeCell ref="BG27:BG28"/>
    <mergeCell ref="A29:A30"/>
    <mergeCell ref="B29:B30"/>
    <mergeCell ref="C29:C30"/>
    <mergeCell ref="D29:D30"/>
    <mergeCell ref="E29:E30"/>
    <mergeCell ref="F29:F30"/>
    <mergeCell ref="G29:G30"/>
    <mergeCell ref="H29:H30"/>
    <mergeCell ref="I29:I30"/>
    <mergeCell ref="J29:J30"/>
    <mergeCell ref="N29:N30"/>
    <mergeCell ref="Q29:Q30"/>
    <mergeCell ref="R29:R30"/>
    <mergeCell ref="S29:S30"/>
    <mergeCell ref="T29:T30"/>
    <mergeCell ref="U29:U30"/>
    <mergeCell ref="V29:V30"/>
    <mergeCell ref="W29:W30"/>
    <mergeCell ref="X29:X30"/>
    <mergeCell ref="Y29:Y30"/>
    <mergeCell ref="Z29:Z30"/>
    <mergeCell ref="AA29:AA30"/>
    <mergeCell ref="AB29:AB30"/>
    <mergeCell ref="AC29:AC30"/>
    <mergeCell ref="AD29:AD30"/>
    <mergeCell ref="AE29:AE30"/>
    <mergeCell ref="AF29:AF30"/>
    <mergeCell ref="AG29:AG30"/>
    <mergeCell ref="AH29:AH30"/>
    <mergeCell ref="AI29:AI30"/>
    <mergeCell ref="AJ29:AJ30"/>
    <mergeCell ref="AK29:AK30"/>
    <mergeCell ref="AL29:AL30"/>
    <mergeCell ref="AM29:AM30"/>
    <mergeCell ref="AN29:AN30"/>
    <mergeCell ref="AO29:AO30"/>
    <mergeCell ref="AP29:AP30"/>
    <mergeCell ref="AQ29:AQ30"/>
    <mergeCell ref="AR29:AR30"/>
    <mergeCell ref="AS29:AS30"/>
    <mergeCell ref="AT29:AT30"/>
    <mergeCell ref="AU29:AU30"/>
    <mergeCell ref="AV29:AV30"/>
    <mergeCell ref="AW29:AW30"/>
    <mergeCell ref="AX29:AX30"/>
    <mergeCell ref="AY29:AY30"/>
    <mergeCell ref="AZ29:AZ30"/>
    <mergeCell ref="BA29:BA30"/>
    <mergeCell ref="BB29:BB30"/>
    <mergeCell ref="BC29:BC30"/>
    <mergeCell ref="BD29:BD30"/>
    <mergeCell ref="BE29:BE30"/>
    <mergeCell ref="BF29:BF30"/>
    <mergeCell ref="BG29:BG30"/>
    <mergeCell ref="A31:A32"/>
    <mergeCell ref="B31:B32"/>
    <mergeCell ref="C31:C32"/>
    <mergeCell ref="D31:D32"/>
    <mergeCell ref="E31:E32"/>
    <mergeCell ref="F31:F32"/>
    <mergeCell ref="G31:G32"/>
    <mergeCell ref="H31:H32"/>
    <mergeCell ref="I31:I32"/>
    <mergeCell ref="J31:J32"/>
    <mergeCell ref="N31:N32"/>
    <mergeCell ref="Q31:Q32"/>
    <mergeCell ref="R31:R32"/>
    <mergeCell ref="S31:S32"/>
    <mergeCell ref="T31:T32"/>
    <mergeCell ref="U31:U32"/>
    <mergeCell ref="V31:V32"/>
    <mergeCell ref="W31:W32"/>
    <mergeCell ref="X31:X32"/>
    <mergeCell ref="Y31:Y32"/>
    <mergeCell ref="Z31:Z32"/>
    <mergeCell ref="AA31:AA32"/>
    <mergeCell ref="AB31:AB32"/>
    <mergeCell ref="AC31:AC32"/>
    <mergeCell ref="AD31:AD32"/>
    <mergeCell ref="AE31:AE32"/>
    <mergeCell ref="AF31:AF32"/>
    <mergeCell ref="AG31:AG32"/>
    <mergeCell ref="AH31:AH32"/>
    <mergeCell ref="AI31:AI32"/>
    <mergeCell ref="AJ31:AJ32"/>
    <mergeCell ref="AK31:AK32"/>
    <mergeCell ref="AL31:AL32"/>
    <mergeCell ref="AM31:AM32"/>
    <mergeCell ref="AN31:AN32"/>
    <mergeCell ref="AO31:AO32"/>
    <mergeCell ref="AP31:AP32"/>
    <mergeCell ref="AQ31:AQ32"/>
    <mergeCell ref="AR31:AR32"/>
    <mergeCell ref="AS31:AS32"/>
    <mergeCell ref="AT31:AT32"/>
    <mergeCell ref="AU31:AU32"/>
    <mergeCell ref="AV31:AV32"/>
    <mergeCell ref="AW31:AW32"/>
    <mergeCell ref="AX31:AX32"/>
    <mergeCell ref="AY31:AY32"/>
    <mergeCell ref="AZ31:AZ32"/>
    <mergeCell ref="BA31:BA32"/>
    <mergeCell ref="BB31:BB32"/>
    <mergeCell ref="BC31:BC32"/>
    <mergeCell ref="BD31:BD32"/>
    <mergeCell ref="BE31:BE32"/>
    <mergeCell ref="BF31:BF32"/>
    <mergeCell ref="BG31:BG32"/>
    <mergeCell ref="A33:A34"/>
    <mergeCell ref="B33:B34"/>
    <mergeCell ref="C33:C34"/>
    <mergeCell ref="D33:D34"/>
    <mergeCell ref="E33:E34"/>
    <mergeCell ref="F33:F34"/>
    <mergeCell ref="G33:G34"/>
    <mergeCell ref="H33:H34"/>
    <mergeCell ref="I33:I34"/>
    <mergeCell ref="J33:J34"/>
    <mergeCell ref="N33:N34"/>
    <mergeCell ref="Q33:Q34"/>
    <mergeCell ref="R33:R34"/>
    <mergeCell ref="S33:S34"/>
    <mergeCell ref="T33:T34"/>
    <mergeCell ref="U33:U34"/>
    <mergeCell ref="V33:V34"/>
    <mergeCell ref="W33:W34"/>
    <mergeCell ref="X33:X34"/>
    <mergeCell ref="Y33:Y34"/>
    <mergeCell ref="Z33:Z34"/>
    <mergeCell ref="AA33:AA34"/>
    <mergeCell ref="AB33:AB34"/>
    <mergeCell ref="AC33:AC34"/>
    <mergeCell ref="AD33:AD34"/>
    <mergeCell ref="AE33:AE34"/>
    <mergeCell ref="AF33:AF34"/>
    <mergeCell ref="AG33:AG34"/>
    <mergeCell ref="AH33:AH34"/>
    <mergeCell ref="AI33:AI34"/>
    <mergeCell ref="AJ33:AJ34"/>
    <mergeCell ref="AK33:AK34"/>
    <mergeCell ref="AL33:AL34"/>
    <mergeCell ref="AM33:AM34"/>
    <mergeCell ref="AN33:AN34"/>
    <mergeCell ref="AO33:AO34"/>
    <mergeCell ref="AP33:AP34"/>
    <mergeCell ref="AQ33:AQ34"/>
    <mergeCell ref="AR33:AR34"/>
    <mergeCell ref="AS33:AS34"/>
    <mergeCell ref="AT33:AT34"/>
    <mergeCell ref="AU33:AU34"/>
    <mergeCell ref="AV33:AV34"/>
    <mergeCell ref="AW33:AW34"/>
    <mergeCell ref="AX33:AX34"/>
    <mergeCell ref="AY33:AY34"/>
    <mergeCell ref="AZ33:AZ34"/>
    <mergeCell ref="BA33:BA34"/>
    <mergeCell ref="BB33:BB34"/>
    <mergeCell ref="BC33:BC34"/>
    <mergeCell ref="BD33:BD34"/>
    <mergeCell ref="BE33:BE34"/>
    <mergeCell ref="BF33:BF34"/>
    <mergeCell ref="BG33:BG34"/>
    <mergeCell ref="A35:A36"/>
    <mergeCell ref="B35:B36"/>
    <mergeCell ref="C35:C36"/>
    <mergeCell ref="D35:D36"/>
    <mergeCell ref="E35:E36"/>
    <mergeCell ref="F35:F36"/>
    <mergeCell ref="G35:G36"/>
    <mergeCell ref="H35:H36"/>
    <mergeCell ref="I35:I36"/>
    <mergeCell ref="J35:J36"/>
    <mergeCell ref="N35:N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35:AF36"/>
    <mergeCell ref="AG35:AG36"/>
    <mergeCell ref="AH35:AH36"/>
    <mergeCell ref="AI35:AI36"/>
    <mergeCell ref="AJ35:AJ36"/>
    <mergeCell ref="AK35:AK36"/>
    <mergeCell ref="AL35:AL36"/>
    <mergeCell ref="AM35:AM36"/>
    <mergeCell ref="AN35:AN36"/>
    <mergeCell ref="AO35:AO36"/>
    <mergeCell ref="AP35:AP36"/>
    <mergeCell ref="AQ35:AQ36"/>
    <mergeCell ref="AR35:AR36"/>
    <mergeCell ref="AS35:AS36"/>
    <mergeCell ref="AT35:AT36"/>
    <mergeCell ref="AU35:AU36"/>
    <mergeCell ref="AV35:AV36"/>
    <mergeCell ref="AW35:AW36"/>
    <mergeCell ref="AX35:AX36"/>
    <mergeCell ref="AY35:AY36"/>
    <mergeCell ref="AZ35:AZ36"/>
    <mergeCell ref="BA35:BA36"/>
    <mergeCell ref="BB35:BB36"/>
    <mergeCell ref="BC35:BC36"/>
    <mergeCell ref="BD35:BD36"/>
    <mergeCell ref="BE35:BE36"/>
    <mergeCell ref="BF35:BF36"/>
    <mergeCell ref="BG35:BG36"/>
    <mergeCell ref="A37:A38"/>
    <mergeCell ref="B37:B38"/>
    <mergeCell ref="C37:C38"/>
    <mergeCell ref="D37:D38"/>
    <mergeCell ref="E37:E38"/>
    <mergeCell ref="F37:F38"/>
    <mergeCell ref="G37:G38"/>
    <mergeCell ref="H37:H38"/>
    <mergeCell ref="I37:I38"/>
    <mergeCell ref="J37:J38"/>
    <mergeCell ref="N37:N38"/>
    <mergeCell ref="Q37:Q38"/>
    <mergeCell ref="R37:R38"/>
    <mergeCell ref="S37:S38"/>
    <mergeCell ref="T37:T38"/>
    <mergeCell ref="U37:U38"/>
    <mergeCell ref="V37:V38"/>
    <mergeCell ref="W37:W38"/>
    <mergeCell ref="X37:X38"/>
    <mergeCell ref="Y37:Y38"/>
    <mergeCell ref="Z37:Z38"/>
    <mergeCell ref="AA37:AA38"/>
    <mergeCell ref="AB37:AB38"/>
    <mergeCell ref="AC37:AC38"/>
    <mergeCell ref="AD37:AD38"/>
    <mergeCell ref="AE37:AE38"/>
    <mergeCell ref="AF37:AF38"/>
    <mergeCell ref="AG37:AG38"/>
    <mergeCell ref="AH37:AH38"/>
    <mergeCell ref="AI37:AI38"/>
    <mergeCell ref="AJ37:AJ38"/>
    <mergeCell ref="AK37:AK38"/>
    <mergeCell ref="AL37:AL38"/>
    <mergeCell ref="AM37:AM38"/>
    <mergeCell ref="AN37:AN38"/>
    <mergeCell ref="AO37:AO38"/>
    <mergeCell ref="AP37:AP38"/>
    <mergeCell ref="AQ37:AQ38"/>
    <mergeCell ref="AR37:AR38"/>
    <mergeCell ref="AS37:AS38"/>
    <mergeCell ref="AT37:AT38"/>
    <mergeCell ref="AU37:AU38"/>
    <mergeCell ref="AV37:AV38"/>
    <mergeCell ref="AW37:AW38"/>
    <mergeCell ref="AX37:AX38"/>
    <mergeCell ref="AY37:AY38"/>
    <mergeCell ref="AZ37:AZ38"/>
    <mergeCell ref="BA37:BA38"/>
    <mergeCell ref="BB37:BB38"/>
    <mergeCell ref="BC37:BC38"/>
    <mergeCell ref="BD37:BD38"/>
    <mergeCell ref="BE37:BE38"/>
    <mergeCell ref="BF37:BF38"/>
    <mergeCell ref="BG37:BG38"/>
    <mergeCell ref="A39:A40"/>
    <mergeCell ref="B39:B40"/>
    <mergeCell ref="C39:C40"/>
    <mergeCell ref="D39:D40"/>
    <mergeCell ref="E39:E40"/>
    <mergeCell ref="F39:F40"/>
    <mergeCell ref="G39:G40"/>
    <mergeCell ref="H39:H40"/>
    <mergeCell ref="I39:I40"/>
    <mergeCell ref="J39:J40"/>
    <mergeCell ref="N39:N40"/>
    <mergeCell ref="Q39:Q40"/>
    <mergeCell ref="R39:R40"/>
    <mergeCell ref="S39:S40"/>
    <mergeCell ref="T39:T40"/>
    <mergeCell ref="U39:U40"/>
    <mergeCell ref="V39:V40"/>
    <mergeCell ref="W39:W40"/>
    <mergeCell ref="X39:X40"/>
    <mergeCell ref="Y39:Y40"/>
    <mergeCell ref="Z39:Z40"/>
    <mergeCell ref="AA39:AA40"/>
    <mergeCell ref="AB39:AB40"/>
    <mergeCell ref="AC39:AC40"/>
    <mergeCell ref="AD39:AD40"/>
    <mergeCell ref="AE39:AE40"/>
    <mergeCell ref="AF39:AF40"/>
    <mergeCell ref="AG39:AG40"/>
    <mergeCell ref="AH39:AH40"/>
    <mergeCell ref="AI39:AI40"/>
    <mergeCell ref="AJ39:AJ40"/>
    <mergeCell ref="AK39:AK40"/>
    <mergeCell ref="AL39:AL40"/>
    <mergeCell ref="AM39:AM40"/>
    <mergeCell ref="AN39:AN40"/>
    <mergeCell ref="AO39:AO40"/>
    <mergeCell ref="AP39:AP40"/>
    <mergeCell ref="AQ39:AQ40"/>
    <mergeCell ref="AR39:AR40"/>
    <mergeCell ref="AS39:AS40"/>
    <mergeCell ref="AT39:AT40"/>
    <mergeCell ref="AU39:AU40"/>
    <mergeCell ref="AV39:AV40"/>
    <mergeCell ref="AW39:AW40"/>
    <mergeCell ref="AX39:AX40"/>
    <mergeCell ref="AY39:AY40"/>
    <mergeCell ref="AZ39:AZ40"/>
    <mergeCell ref="BA39:BA40"/>
    <mergeCell ref="BB39:BB40"/>
    <mergeCell ref="BC39:BC40"/>
    <mergeCell ref="BD39:BD40"/>
    <mergeCell ref="BE39:BE40"/>
    <mergeCell ref="BF39:BF40"/>
    <mergeCell ref="BG39:BG40"/>
    <mergeCell ref="A41:A42"/>
    <mergeCell ref="B41:B42"/>
    <mergeCell ref="C41:C42"/>
    <mergeCell ref="D41:D42"/>
    <mergeCell ref="E41:E42"/>
    <mergeCell ref="F41:F42"/>
    <mergeCell ref="G41:G42"/>
    <mergeCell ref="H41:H42"/>
    <mergeCell ref="I41:I42"/>
    <mergeCell ref="J41:J42"/>
    <mergeCell ref="N41:N42"/>
    <mergeCell ref="Q41:Q42"/>
    <mergeCell ref="R41:R42"/>
    <mergeCell ref="S41:S42"/>
    <mergeCell ref="T41:T42"/>
    <mergeCell ref="U41:U42"/>
    <mergeCell ref="V41:V42"/>
    <mergeCell ref="W41:W42"/>
    <mergeCell ref="X41:X42"/>
    <mergeCell ref="Y41:Y42"/>
    <mergeCell ref="Z41:Z42"/>
    <mergeCell ref="AA41:AA42"/>
    <mergeCell ref="AB41:AB42"/>
    <mergeCell ref="AC41:AC42"/>
    <mergeCell ref="AD41:AD42"/>
    <mergeCell ref="AE41:AE42"/>
    <mergeCell ref="AF41:AF42"/>
    <mergeCell ref="AG41:AG42"/>
    <mergeCell ref="AH41:AH42"/>
    <mergeCell ref="AI41:AI42"/>
    <mergeCell ref="AJ41:AJ42"/>
    <mergeCell ref="AK41:AK42"/>
    <mergeCell ref="AL41:AL42"/>
    <mergeCell ref="AM41:AM42"/>
    <mergeCell ref="AN41:AN42"/>
    <mergeCell ref="AO41:AO42"/>
    <mergeCell ref="AP41:AP42"/>
    <mergeCell ref="AQ41:AQ42"/>
    <mergeCell ref="AR41:AR42"/>
    <mergeCell ref="AS41:AS42"/>
    <mergeCell ref="AT41:AT42"/>
    <mergeCell ref="AU41:AU42"/>
    <mergeCell ref="AV41:AV42"/>
    <mergeCell ref="AW41:AW42"/>
    <mergeCell ref="AX41:AX42"/>
    <mergeCell ref="AY41:AY42"/>
    <mergeCell ref="AZ41:AZ42"/>
    <mergeCell ref="BA41:BA42"/>
    <mergeCell ref="BB41:BB42"/>
    <mergeCell ref="BC41:BC42"/>
    <mergeCell ref="BD41:BD42"/>
    <mergeCell ref="BE41:BE42"/>
    <mergeCell ref="BF41:BF42"/>
    <mergeCell ref="BG41:BG42"/>
    <mergeCell ref="A43:I43"/>
    <mergeCell ref="A44:A45"/>
    <mergeCell ref="B44:B45"/>
    <mergeCell ref="C44:C45"/>
    <mergeCell ref="D44:D45"/>
    <mergeCell ref="E44:E45"/>
    <mergeCell ref="F44:F45"/>
    <mergeCell ref="G44:G45"/>
    <mergeCell ref="H44:H45"/>
    <mergeCell ref="I44:I45"/>
    <mergeCell ref="J44:J45"/>
    <mergeCell ref="N44:N45"/>
    <mergeCell ref="Q44:Q45"/>
    <mergeCell ref="R44:R45"/>
    <mergeCell ref="S44:S45"/>
    <mergeCell ref="T44:T45"/>
    <mergeCell ref="U44:U45"/>
    <mergeCell ref="V44:V45"/>
    <mergeCell ref="W44:W45"/>
    <mergeCell ref="X44:X45"/>
    <mergeCell ref="Y44:Y45"/>
    <mergeCell ref="Z44:Z45"/>
    <mergeCell ref="AA44:AA45"/>
    <mergeCell ref="AB44:AB45"/>
    <mergeCell ref="AC44:AC45"/>
    <mergeCell ref="AD44:AD45"/>
    <mergeCell ref="AE44:AE45"/>
    <mergeCell ref="AF44:AF45"/>
    <mergeCell ref="AG44:AG45"/>
    <mergeCell ref="AH44:AH45"/>
    <mergeCell ref="AI44:AI45"/>
    <mergeCell ref="AJ44:AJ45"/>
    <mergeCell ref="AK44:AK45"/>
    <mergeCell ref="AL44:AL45"/>
    <mergeCell ref="AM44:AM45"/>
    <mergeCell ref="AN44:AN45"/>
    <mergeCell ref="AO44:AO45"/>
    <mergeCell ref="AP44:AP45"/>
    <mergeCell ref="AQ44:AQ45"/>
    <mergeCell ref="AR44:AR45"/>
    <mergeCell ref="AS44:AS45"/>
    <mergeCell ref="AT44:AT45"/>
    <mergeCell ref="AU44:AU45"/>
    <mergeCell ref="AV44:AV45"/>
    <mergeCell ref="AW44:AW45"/>
    <mergeCell ref="AX44:AX45"/>
    <mergeCell ref="AY44:AY45"/>
    <mergeCell ref="AZ44:AZ45"/>
    <mergeCell ref="BA44:BA45"/>
    <mergeCell ref="BB44:BB45"/>
    <mergeCell ref="BC44:BC45"/>
    <mergeCell ref="BD44:BD45"/>
    <mergeCell ref="BE44:BE45"/>
    <mergeCell ref="BF44:BF45"/>
    <mergeCell ref="BG44:BG45"/>
    <mergeCell ref="A46:A47"/>
    <mergeCell ref="B46:B47"/>
    <mergeCell ref="C46:C47"/>
    <mergeCell ref="D46:D47"/>
    <mergeCell ref="E46:E47"/>
    <mergeCell ref="F46:F47"/>
    <mergeCell ref="G46:G47"/>
    <mergeCell ref="H46:H47"/>
    <mergeCell ref="I46:I47"/>
    <mergeCell ref="J46:J47"/>
    <mergeCell ref="N46:N47"/>
    <mergeCell ref="Q46:Q47"/>
    <mergeCell ref="R46:R47"/>
    <mergeCell ref="S46:S47"/>
    <mergeCell ref="T46:T47"/>
    <mergeCell ref="U46:U47"/>
    <mergeCell ref="V46:V47"/>
    <mergeCell ref="W46:W47"/>
    <mergeCell ref="X46:X47"/>
    <mergeCell ref="Y46:Y47"/>
    <mergeCell ref="Z46:Z47"/>
    <mergeCell ref="AA46:AA47"/>
    <mergeCell ref="AB46:AB47"/>
    <mergeCell ref="AC46:AC47"/>
    <mergeCell ref="AD46:AD47"/>
    <mergeCell ref="AE46:AE47"/>
    <mergeCell ref="AF46:AF47"/>
    <mergeCell ref="AG46:AG47"/>
    <mergeCell ref="AH46:AH47"/>
    <mergeCell ref="AI46:AI47"/>
    <mergeCell ref="AJ46:AJ47"/>
    <mergeCell ref="AK46:AK47"/>
    <mergeCell ref="AL46:AL47"/>
    <mergeCell ref="AM46:AM47"/>
    <mergeCell ref="AN46:AN47"/>
    <mergeCell ref="AO46:AO47"/>
    <mergeCell ref="AP46:AP47"/>
    <mergeCell ref="AQ46:AQ47"/>
    <mergeCell ref="AR46:AR47"/>
    <mergeCell ref="AS46:AS47"/>
    <mergeCell ref="AT46:AT47"/>
    <mergeCell ref="AU46:AU47"/>
    <mergeCell ref="AV46:AV47"/>
    <mergeCell ref="AW46:AW47"/>
    <mergeCell ref="AX46:AX47"/>
    <mergeCell ref="AY46:AY47"/>
    <mergeCell ref="AZ46:AZ47"/>
    <mergeCell ref="BA46:BA47"/>
    <mergeCell ref="BB46:BB47"/>
    <mergeCell ref="BC46:BC47"/>
    <mergeCell ref="BD46:BD47"/>
    <mergeCell ref="BE46:BE47"/>
    <mergeCell ref="BF46:BF47"/>
    <mergeCell ref="BG46:BG47"/>
    <mergeCell ref="A48:A49"/>
    <mergeCell ref="B48:B49"/>
    <mergeCell ref="C48:C49"/>
    <mergeCell ref="D48:D49"/>
    <mergeCell ref="E48:E49"/>
    <mergeCell ref="F48:F49"/>
    <mergeCell ref="G48:G49"/>
    <mergeCell ref="H48:H49"/>
    <mergeCell ref="I48:I49"/>
    <mergeCell ref="J48:J49"/>
    <mergeCell ref="N48:N49"/>
    <mergeCell ref="Q48:Q49"/>
    <mergeCell ref="AA48:AA49"/>
    <mergeCell ref="AB48:AB49"/>
    <mergeCell ref="AC48:AC49"/>
    <mergeCell ref="R48:R49"/>
    <mergeCell ref="S48:S49"/>
    <mergeCell ref="T48:T49"/>
    <mergeCell ref="U48:U49"/>
    <mergeCell ref="V48:V49"/>
    <mergeCell ref="W48:W49"/>
    <mergeCell ref="BF48:BF49"/>
    <mergeCell ref="BG48:BG49"/>
    <mergeCell ref="AV48:AV49"/>
    <mergeCell ref="AW48:AW49"/>
    <mergeCell ref="AX48:AX49"/>
    <mergeCell ref="AY48:AY49"/>
    <mergeCell ref="AZ48:AZ49"/>
    <mergeCell ref="BA48:BA49"/>
    <mergeCell ref="X48:X49"/>
    <mergeCell ref="Y48:Y49"/>
    <mergeCell ref="Z48:Z49"/>
    <mergeCell ref="BC48:BC49"/>
    <mergeCell ref="BD48:BD49"/>
    <mergeCell ref="BE48:BE49"/>
    <mergeCell ref="AP48:AP49"/>
    <mergeCell ref="AQ48:AQ49"/>
    <mergeCell ref="AR48:AR49"/>
    <mergeCell ref="AS48:AS49"/>
    <mergeCell ref="AD48:AD49"/>
    <mergeCell ref="AE48:AE49"/>
    <mergeCell ref="AF48:AF49"/>
    <mergeCell ref="AG48:AG49"/>
    <mergeCell ref="AH48:AH49"/>
    <mergeCell ref="AI48:AI49"/>
    <mergeCell ref="BB48:BB49"/>
    <mergeCell ref="AJ48:AJ49"/>
    <mergeCell ref="AK48:AK49"/>
    <mergeCell ref="AL48:AL49"/>
    <mergeCell ref="AM48:AM49"/>
    <mergeCell ref="AN48:AN49"/>
    <mergeCell ref="AO48:AO49"/>
    <mergeCell ref="AT48:AT49"/>
    <mergeCell ref="AU48:AU49"/>
    <mergeCell ref="A50:I50"/>
    <mergeCell ref="A51:A52"/>
    <mergeCell ref="B51:B52"/>
    <mergeCell ref="C51:C52"/>
    <mergeCell ref="D51:D52"/>
    <mergeCell ref="E51:E52"/>
    <mergeCell ref="F51:F52"/>
    <mergeCell ref="G51:G52"/>
    <mergeCell ref="H51:H52"/>
    <mergeCell ref="I51:I52"/>
    <mergeCell ref="J51:J52"/>
    <mergeCell ref="N51:N52"/>
    <mergeCell ref="Q51:Q52"/>
    <mergeCell ref="R51:R52"/>
    <mergeCell ref="S51:S52"/>
    <mergeCell ref="T51:T52"/>
    <mergeCell ref="U51:U52"/>
    <mergeCell ref="V51:V52"/>
    <mergeCell ref="W51:W52"/>
    <mergeCell ref="X51:X52"/>
    <mergeCell ref="Y51:Y52"/>
    <mergeCell ref="Z51:Z52"/>
    <mergeCell ref="AA51:AA52"/>
    <mergeCell ref="AB51:AB52"/>
    <mergeCell ref="AC51:AC52"/>
    <mergeCell ref="AD51:AD52"/>
    <mergeCell ref="AE51:AE52"/>
    <mergeCell ref="AF51:AF52"/>
    <mergeCell ref="AG51:AG52"/>
    <mergeCell ref="AH51:AH52"/>
    <mergeCell ref="AI51:AI52"/>
    <mergeCell ref="AJ51:AJ52"/>
    <mergeCell ref="AK51:AK52"/>
    <mergeCell ref="AL51:AL52"/>
    <mergeCell ref="AM51:AM52"/>
    <mergeCell ref="AN51:AN52"/>
    <mergeCell ref="AO51:AO52"/>
    <mergeCell ref="AP51:AP52"/>
    <mergeCell ref="AQ51:AQ52"/>
    <mergeCell ref="AR51:AR52"/>
    <mergeCell ref="AS51:AS52"/>
    <mergeCell ref="AT51:AT52"/>
    <mergeCell ref="AU51:AU52"/>
    <mergeCell ref="AV51:AV52"/>
    <mergeCell ref="AW51:AW52"/>
    <mergeCell ref="AX51:AX52"/>
    <mergeCell ref="AY51:AY52"/>
    <mergeCell ref="AZ51:AZ52"/>
    <mergeCell ref="BA51:BA52"/>
    <mergeCell ref="BB51:BB52"/>
    <mergeCell ref="BC51:BC52"/>
    <mergeCell ref="BD51:BD52"/>
    <mergeCell ref="BE51:BE52"/>
    <mergeCell ref="BF51:BF52"/>
    <mergeCell ref="BG51:BG52"/>
    <mergeCell ref="A53:A54"/>
    <mergeCell ref="B53:B54"/>
    <mergeCell ref="C53:C54"/>
    <mergeCell ref="D53:D54"/>
    <mergeCell ref="E53:E54"/>
    <mergeCell ref="F53:F54"/>
    <mergeCell ref="G53:G54"/>
    <mergeCell ref="H53:H54"/>
    <mergeCell ref="I53:I54"/>
    <mergeCell ref="J53:J54"/>
    <mergeCell ref="N53:N54"/>
    <mergeCell ref="Q53:Q54"/>
    <mergeCell ref="R53:R54"/>
    <mergeCell ref="S53:S54"/>
    <mergeCell ref="T53:T54"/>
    <mergeCell ref="U53:U54"/>
    <mergeCell ref="V53:V54"/>
    <mergeCell ref="W53:W54"/>
    <mergeCell ref="X53:X54"/>
    <mergeCell ref="Y53:Y54"/>
    <mergeCell ref="Z53:Z54"/>
    <mergeCell ref="AA53:AA54"/>
    <mergeCell ref="AB53:AB54"/>
    <mergeCell ref="AC53:AC54"/>
    <mergeCell ref="AD53:AD54"/>
    <mergeCell ref="AE53:AE54"/>
    <mergeCell ref="AF53:AF54"/>
    <mergeCell ref="AG53:AG54"/>
    <mergeCell ref="AH53:AH54"/>
    <mergeCell ref="AI53:AI54"/>
    <mergeCell ref="AJ53:AJ54"/>
    <mergeCell ref="AK53:AK54"/>
    <mergeCell ref="AL53:AL54"/>
    <mergeCell ref="AM53:AM54"/>
    <mergeCell ref="AN53:AN54"/>
    <mergeCell ref="AO53:AO54"/>
    <mergeCell ref="AP53:AP54"/>
    <mergeCell ref="AQ53:AQ54"/>
    <mergeCell ref="AR53:AR54"/>
    <mergeCell ref="AS53:AS54"/>
    <mergeCell ref="AT53:AT54"/>
    <mergeCell ref="AU53:AU54"/>
    <mergeCell ref="AV53:AV54"/>
    <mergeCell ref="AW53:AW54"/>
    <mergeCell ref="AX53:AX54"/>
    <mergeCell ref="AY53:AY54"/>
    <mergeCell ref="AZ53:AZ54"/>
    <mergeCell ref="BA53:BA54"/>
    <mergeCell ref="BB53:BB54"/>
    <mergeCell ref="BC53:BC54"/>
    <mergeCell ref="BD53:BD54"/>
    <mergeCell ref="BE53:BE54"/>
    <mergeCell ref="BF53:BF54"/>
    <mergeCell ref="BG53:BG54"/>
    <mergeCell ref="A55:A56"/>
    <mergeCell ref="B55:B56"/>
    <mergeCell ref="C55:C56"/>
    <mergeCell ref="D55:D56"/>
    <mergeCell ref="E55:E56"/>
    <mergeCell ref="F55:F56"/>
    <mergeCell ref="G55:G56"/>
    <mergeCell ref="H55:H56"/>
    <mergeCell ref="I55:I56"/>
    <mergeCell ref="J55:J56"/>
    <mergeCell ref="N55:N56"/>
    <mergeCell ref="Q55:Q56"/>
    <mergeCell ref="R55:R56"/>
    <mergeCell ref="S55:S56"/>
    <mergeCell ref="T55:T56"/>
    <mergeCell ref="U55:U56"/>
    <mergeCell ref="V55:V56"/>
    <mergeCell ref="W55:W56"/>
    <mergeCell ref="X55:X56"/>
    <mergeCell ref="Y55:Y56"/>
    <mergeCell ref="Z55:Z56"/>
    <mergeCell ref="AA55:AA56"/>
    <mergeCell ref="AB55:AB56"/>
    <mergeCell ref="AC55:AC56"/>
    <mergeCell ref="AD55:AD56"/>
    <mergeCell ref="AE55:AE56"/>
    <mergeCell ref="AF55:AF56"/>
    <mergeCell ref="AG55:AG56"/>
    <mergeCell ref="AH55:AH56"/>
    <mergeCell ref="AI55:AI56"/>
    <mergeCell ref="AJ55:AJ56"/>
    <mergeCell ref="AK55:AK56"/>
    <mergeCell ref="AL55:AL56"/>
    <mergeCell ref="AM55:AM56"/>
    <mergeCell ref="AN55:AN56"/>
    <mergeCell ref="AO55:AO56"/>
    <mergeCell ref="AP55:AP56"/>
    <mergeCell ref="AQ55:AQ56"/>
    <mergeCell ref="AR55:AR56"/>
    <mergeCell ref="AS55:AS56"/>
    <mergeCell ref="AT55:AT56"/>
    <mergeCell ref="AU55:AU56"/>
    <mergeCell ref="AV55:AV56"/>
    <mergeCell ref="AW55:AW56"/>
    <mergeCell ref="AX55:AX56"/>
    <mergeCell ref="AY55:AY56"/>
    <mergeCell ref="AZ55:AZ56"/>
    <mergeCell ref="BA55:BA56"/>
    <mergeCell ref="BB55:BB56"/>
    <mergeCell ref="BC55:BC56"/>
    <mergeCell ref="BD55:BD56"/>
    <mergeCell ref="BE55:BE56"/>
    <mergeCell ref="BF55:BF56"/>
    <mergeCell ref="BG55:BG56"/>
    <mergeCell ref="A57:A58"/>
    <mergeCell ref="B57:B58"/>
    <mergeCell ref="C57:C58"/>
    <mergeCell ref="D57:D58"/>
    <mergeCell ref="E57:E58"/>
    <mergeCell ref="F57:F58"/>
    <mergeCell ref="G57:G58"/>
    <mergeCell ref="H57:H58"/>
    <mergeCell ref="I57:I58"/>
    <mergeCell ref="J57:J58"/>
    <mergeCell ref="N57:N58"/>
    <mergeCell ref="Q57:Q58"/>
    <mergeCell ref="R57:R58"/>
    <mergeCell ref="S57:S58"/>
    <mergeCell ref="T57:T58"/>
    <mergeCell ref="U57:U58"/>
    <mergeCell ref="V57:V58"/>
    <mergeCell ref="W57:W58"/>
    <mergeCell ref="BD57:BD58"/>
    <mergeCell ref="BE57:BE58"/>
    <mergeCell ref="X57:X58"/>
    <mergeCell ref="Y57:Y58"/>
    <mergeCell ref="Z57:Z58"/>
    <mergeCell ref="AA57:AA58"/>
    <mergeCell ref="AB57:AB58"/>
    <mergeCell ref="AC57:AC58"/>
    <mergeCell ref="AD57:AD58"/>
    <mergeCell ref="AE57:AE58"/>
    <mergeCell ref="AF57:AF58"/>
    <mergeCell ref="AG57:AG58"/>
    <mergeCell ref="AH57:AH58"/>
    <mergeCell ref="AI57:AI58"/>
    <mergeCell ref="AJ57:AJ58"/>
    <mergeCell ref="AK57:AK58"/>
    <mergeCell ref="AL57:AL58"/>
    <mergeCell ref="AM57:AM58"/>
    <mergeCell ref="AN57:AN58"/>
    <mergeCell ref="AF59:AF60"/>
    <mergeCell ref="AG59:AG60"/>
    <mergeCell ref="AO57:AO58"/>
    <mergeCell ref="AP57:AP58"/>
    <mergeCell ref="AQ57:AQ58"/>
    <mergeCell ref="AR57:AR58"/>
    <mergeCell ref="AS57:AS58"/>
    <mergeCell ref="AT57:AT58"/>
    <mergeCell ref="AU57:AU58"/>
    <mergeCell ref="AV57:AV58"/>
    <mergeCell ref="AW57:AW58"/>
    <mergeCell ref="AX57:AX58"/>
    <mergeCell ref="AY57:AY58"/>
    <mergeCell ref="AZ57:AZ58"/>
    <mergeCell ref="BA57:BA58"/>
    <mergeCell ref="BB57:BB58"/>
    <mergeCell ref="BC57:BC58"/>
    <mergeCell ref="AJ59:AJ60"/>
    <mergeCell ref="AK59:AK60"/>
    <mergeCell ref="AL59:AL60"/>
    <mergeCell ref="AM59:AM60"/>
    <mergeCell ref="AN59:AN60"/>
    <mergeCell ref="AO59:AO60"/>
    <mergeCell ref="AP59:AP60"/>
    <mergeCell ref="AQ59:AQ60"/>
    <mergeCell ref="AR59:AR60"/>
    <mergeCell ref="AS59:AS60"/>
    <mergeCell ref="AT59:AT60"/>
    <mergeCell ref="AU59:AU60"/>
    <mergeCell ref="AV59:AV60"/>
    <mergeCell ref="AW59:AW60"/>
    <mergeCell ref="AX59:AX60"/>
    <mergeCell ref="AW61:AW62"/>
    <mergeCell ref="AX61:AX62"/>
    <mergeCell ref="AY59:AY60"/>
    <mergeCell ref="AZ59:AZ60"/>
    <mergeCell ref="BF57:BF58"/>
    <mergeCell ref="BG57:BG58"/>
    <mergeCell ref="A59:A60"/>
    <mergeCell ref="B59:B60"/>
    <mergeCell ref="C59:C60"/>
    <mergeCell ref="D59:D60"/>
    <mergeCell ref="E59:E60"/>
    <mergeCell ref="F59:F60"/>
    <mergeCell ref="G59:G60"/>
    <mergeCell ref="H59:H60"/>
    <mergeCell ref="I59:I60"/>
    <mergeCell ref="J59:J60"/>
    <mergeCell ref="N59:N60"/>
    <mergeCell ref="Q59:Q60"/>
    <mergeCell ref="R59:R60"/>
    <mergeCell ref="S59:S60"/>
    <mergeCell ref="T59:T60"/>
    <mergeCell ref="U59:U60"/>
    <mergeCell ref="V59:V60"/>
    <mergeCell ref="W59:W60"/>
    <mergeCell ref="X59:X60"/>
    <mergeCell ref="Y59:Y60"/>
    <mergeCell ref="Z59:Z60"/>
    <mergeCell ref="AA59:AA60"/>
    <mergeCell ref="AB59:AB60"/>
    <mergeCell ref="AC59:AC60"/>
    <mergeCell ref="AD59:AD60"/>
    <mergeCell ref="AE59:AE60"/>
    <mergeCell ref="AH59:AH60"/>
    <mergeCell ref="AI59:AI60"/>
    <mergeCell ref="BA59:BA60"/>
    <mergeCell ref="BB59:BB60"/>
    <mergeCell ref="BC59:BC60"/>
    <mergeCell ref="BD59:BD60"/>
    <mergeCell ref="BE59:BE60"/>
    <mergeCell ref="BF59:BF60"/>
    <mergeCell ref="BG59:BG60"/>
    <mergeCell ref="A61:A62"/>
    <mergeCell ref="B61:B62"/>
    <mergeCell ref="C61:C62"/>
    <mergeCell ref="D61:D62"/>
    <mergeCell ref="E61:E62"/>
    <mergeCell ref="F61:F62"/>
    <mergeCell ref="G61:G62"/>
    <mergeCell ref="H61:H62"/>
    <mergeCell ref="I61:I62"/>
    <mergeCell ref="J61:J62"/>
    <mergeCell ref="N61:N62"/>
    <mergeCell ref="Q61:Q62"/>
    <mergeCell ref="R61:R62"/>
    <mergeCell ref="S61:S62"/>
    <mergeCell ref="T61:T62"/>
    <mergeCell ref="U61:U62"/>
    <mergeCell ref="V61:V62"/>
    <mergeCell ref="W61:W62"/>
    <mergeCell ref="X61:X62"/>
    <mergeCell ref="Y61:Y62"/>
    <mergeCell ref="Z61:Z62"/>
    <mergeCell ref="AA61:AA62"/>
    <mergeCell ref="AB61:AB62"/>
    <mergeCell ref="BF61:BF62"/>
    <mergeCell ref="AC61:AC62"/>
    <mergeCell ref="AY61:AY62"/>
    <mergeCell ref="AZ61:AZ62"/>
    <mergeCell ref="BG61:BG62"/>
    <mergeCell ref="A63:I63"/>
    <mergeCell ref="A64:I64"/>
    <mergeCell ref="A65:O65"/>
    <mergeCell ref="U65:U66"/>
    <mergeCell ref="A66:O66"/>
    <mergeCell ref="BA61:BA62"/>
    <mergeCell ref="BB61:BB62"/>
    <mergeCell ref="BC61:BC62"/>
    <mergeCell ref="BD61:BD62"/>
    <mergeCell ref="AE61:AE62"/>
    <mergeCell ref="AF61:AF62"/>
    <mergeCell ref="AG61:AG62"/>
    <mergeCell ref="AH61:AH62"/>
    <mergeCell ref="AI61:AI62"/>
    <mergeCell ref="AJ61:AJ62"/>
    <mergeCell ref="AK61:AK62"/>
    <mergeCell ref="AL61:AL62"/>
    <mergeCell ref="AM61:AM62"/>
    <mergeCell ref="AN61:AN62"/>
    <mergeCell ref="AO61:AO62"/>
    <mergeCell ref="AP61:AP62"/>
    <mergeCell ref="AQ61:AQ62"/>
    <mergeCell ref="AR61:AR62"/>
    <mergeCell ref="AS61:AS62"/>
    <mergeCell ref="BE61:BE62"/>
    <mergeCell ref="AD61:AD62"/>
    <mergeCell ref="AT61:AT62"/>
    <mergeCell ref="AU61:AU62"/>
    <mergeCell ref="AV61:AV62"/>
    <mergeCell ref="S67:S68"/>
    <mergeCell ref="T67:T68"/>
    <mergeCell ref="U67:U68"/>
    <mergeCell ref="V67:V68"/>
    <mergeCell ref="W67:W68"/>
    <mergeCell ref="X67:X68"/>
    <mergeCell ref="Y67:Y68"/>
    <mergeCell ref="Z67:Z68"/>
    <mergeCell ref="AA67:AA68"/>
    <mergeCell ref="AB67:AB68"/>
    <mergeCell ref="AC67:AC68"/>
    <mergeCell ref="AD67:AD68"/>
    <mergeCell ref="AE67:AE68"/>
    <mergeCell ref="AF67:AF68"/>
    <mergeCell ref="AG67:AG68"/>
    <mergeCell ref="AH67:AH68"/>
    <mergeCell ref="AI67:AI68"/>
    <mergeCell ref="AJ67:AJ68"/>
    <mergeCell ref="AK67:AK68"/>
    <mergeCell ref="AL67:AL68"/>
    <mergeCell ref="AM67:AM68"/>
    <mergeCell ref="AN67:AN68"/>
    <mergeCell ref="AO67:AO68"/>
    <mergeCell ref="AP67:AP68"/>
    <mergeCell ref="AQ67:AQ68"/>
    <mergeCell ref="AR67:AR68"/>
    <mergeCell ref="AS67:AS68"/>
    <mergeCell ref="AT67:AT68"/>
    <mergeCell ref="AU67:AU68"/>
    <mergeCell ref="AV67:AV68"/>
    <mergeCell ref="AW67:AW68"/>
    <mergeCell ref="AX67:AX68"/>
    <mergeCell ref="AY67:AY68"/>
    <mergeCell ref="AZ67:AZ68"/>
    <mergeCell ref="BA67:BA68"/>
    <mergeCell ref="BB67:BB68"/>
    <mergeCell ref="BC67:BC68"/>
    <mergeCell ref="BD67:BD68"/>
    <mergeCell ref="BE67:BE68"/>
    <mergeCell ref="BF67:BF68"/>
    <mergeCell ref="BG67:BG68"/>
    <mergeCell ref="A69:A70"/>
    <mergeCell ref="B69:B70"/>
    <mergeCell ref="C69:C70"/>
    <mergeCell ref="D69:D70"/>
    <mergeCell ref="E69:E70"/>
    <mergeCell ref="F69:F70"/>
    <mergeCell ref="G69:G70"/>
    <mergeCell ref="H69:H70"/>
    <mergeCell ref="I69:I70"/>
    <mergeCell ref="J69:J70"/>
    <mergeCell ref="N69:N70"/>
    <mergeCell ref="Q69:Q70"/>
    <mergeCell ref="R69:R70"/>
    <mergeCell ref="S69:S70"/>
    <mergeCell ref="T69:T70"/>
    <mergeCell ref="U69:U70"/>
    <mergeCell ref="V69:V70"/>
    <mergeCell ref="W69:W70"/>
    <mergeCell ref="X69:X70"/>
    <mergeCell ref="Y69:Y70"/>
    <mergeCell ref="Z69:Z70"/>
    <mergeCell ref="AA69:AA70"/>
    <mergeCell ref="AB69:AB70"/>
    <mergeCell ref="AC69:AC70"/>
    <mergeCell ref="AD69:AD70"/>
    <mergeCell ref="AE69:AE70"/>
    <mergeCell ref="AF69:AF70"/>
    <mergeCell ref="AG69:AG70"/>
    <mergeCell ref="AH69:AH70"/>
    <mergeCell ref="AI69:AI70"/>
    <mergeCell ref="AJ69:AJ70"/>
    <mergeCell ref="AK69:AK70"/>
    <mergeCell ref="AL69:AL70"/>
    <mergeCell ref="AM69:AM70"/>
    <mergeCell ref="AN69:AN70"/>
    <mergeCell ref="AO69:AO70"/>
    <mergeCell ref="AP69:AP70"/>
    <mergeCell ref="AQ69:AQ70"/>
    <mergeCell ref="AR69:AR70"/>
    <mergeCell ref="AS69:AS70"/>
    <mergeCell ref="AT69:AT70"/>
    <mergeCell ref="AU69:AU70"/>
    <mergeCell ref="AV69:AV70"/>
    <mergeCell ref="AW69:AW70"/>
    <mergeCell ref="AX69:AX70"/>
    <mergeCell ref="AY69:AY70"/>
    <mergeCell ref="AZ69:AZ70"/>
    <mergeCell ref="BA69:BA70"/>
    <mergeCell ref="BB69:BB70"/>
    <mergeCell ref="BC69:BC70"/>
    <mergeCell ref="BD69:BD70"/>
    <mergeCell ref="BE69:BE70"/>
    <mergeCell ref="BF69:BF70"/>
    <mergeCell ref="BG69:BG70"/>
    <mergeCell ref="A71:A72"/>
    <mergeCell ref="B71:B72"/>
    <mergeCell ref="C71:C72"/>
    <mergeCell ref="D71:D72"/>
    <mergeCell ref="E71:E72"/>
    <mergeCell ref="F71:F72"/>
    <mergeCell ref="G71:G72"/>
    <mergeCell ref="H71:H72"/>
    <mergeCell ref="I71:I72"/>
    <mergeCell ref="J71:J72"/>
    <mergeCell ref="N71:N72"/>
    <mergeCell ref="Q71:Q72"/>
    <mergeCell ref="R71:R72"/>
    <mergeCell ref="S71:S72"/>
    <mergeCell ref="T71:T72"/>
    <mergeCell ref="U71:U72"/>
    <mergeCell ref="V71:V72"/>
    <mergeCell ref="W71:W72"/>
    <mergeCell ref="X71:X72"/>
    <mergeCell ref="Y71:Y72"/>
    <mergeCell ref="Z71:Z72"/>
    <mergeCell ref="AA71:AA72"/>
    <mergeCell ref="AB71:AB72"/>
    <mergeCell ref="AC71:AC72"/>
    <mergeCell ref="AD71:AD72"/>
    <mergeCell ref="AE71:AE72"/>
    <mergeCell ref="AF71:AF72"/>
    <mergeCell ref="AG71:AG72"/>
    <mergeCell ref="AH71:AH72"/>
    <mergeCell ref="AI71:AI72"/>
    <mergeCell ref="AJ71:AJ72"/>
    <mergeCell ref="AK71:AK72"/>
    <mergeCell ref="AL71:AL72"/>
    <mergeCell ref="AM71:AM72"/>
    <mergeCell ref="AN71:AN72"/>
    <mergeCell ref="AO71:AO72"/>
    <mergeCell ref="AP71:AP72"/>
    <mergeCell ref="AQ71:AQ72"/>
    <mergeCell ref="AR71:AR72"/>
    <mergeCell ref="AS71:AS72"/>
    <mergeCell ref="AT71:AT72"/>
    <mergeCell ref="AU71:AU72"/>
    <mergeCell ref="AV71:AV72"/>
    <mergeCell ref="AW71:AW72"/>
    <mergeCell ref="AX71:AX72"/>
    <mergeCell ref="AY71:AY72"/>
    <mergeCell ref="AZ71:AZ72"/>
    <mergeCell ref="BA71:BA72"/>
    <mergeCell ref="BB71:BB72"/>
    <mergeCell ref="BC71:BC72"/>
    <mergeCell ref="BD71:BD72"/>
    <mergeCell ref="BE71:BE72"/>
    <mergeCell ref="BF71:BF72"/>
    <mergeCell ref="BG71:BG72"/>
    <mergeCell ref="A73:A74"/>
    <mergeCell ref="B73:B74"/>
    <mergeCell ref="C73:C74"/>
    <mergeCell ref="D73:D74"/>
    <mergeCell ref="E73:E74"/>
    <mergeCell ref="F73:F74"/>
    <mergeCell ref="G73:G74"/>
    <mergeCell ref="H73:H74"/>
    <mergeCell ref="I73:I74"/>
    <mergeCell ref="J73:J74"/>
    <mergeCell ref="N73:N74"/>
    <mergeCell ref="Q73:Q74"/>
    <mergeCell ref="R73:R74"/>
    <mergeCell ref="S73:S74"/>
    <mergeCell ref="T73:T74"/>
    <mergeCell ref="U73:U74"/>
    <mergeCell ref="V73:V74"/>
    <mergeCell ref="W73:W74"/>
    <mergeCell ref="X73:X74"/>
    <mergeCell ref="Y73:Y74"/>
    <mergeCell ref="Z73:Z74"/>
    <mergeCell ref="AA73:AA74"/>
    <mergeCell ref="AB73:AB74"/>
    <mergeCell ref="AC73:AC74"/>
    <mergeCell ref="AD73:AD74"/>
    <mergeCell ref="AE73:AE74"/>
    <mergeCell ref="AF73:AF74"/>
    <mergeCell ref="AG73:AG74"/>
    <mergeCell ref="AH73:AH74"/>
    <mergeCell ref="AI73:AI74"/>
    <mergeCell ref="AJ73:AJ74"/>
    <mergeCell ref="AK73:AK74"/>
    <mergeCell ref="AL73:AL74"/>
    <mergeCell ref="AM73:AM74"/>
    <mergeCell ref="AN73:AN74"/>
    <mergeCell ref="AO73:AO74"/>
    <mergeCell ref="AP73:AP74"/>
    <mergeCell ref="AQ73:AQ74"/>
    <mergeCell ref="AR73:AR74"/>
    <mergeCell ref="AS73:AS74"/>
    <mergeCell ref="AT73:AT74"/>
    <mergeCell ref="AU73:AU74"/>
    <mergeCell ref="AV73:AV74"/>
    <mergeCell ref="AW73:AW74"/>
    <mergeCell ref="AX73:AX74"/>
    <mergeCell ref="AY73:AY74"/>
    <mergeCell ref="AZ73:AZ74"/>
    <mergeCell ref="BA73:BA74"/>
    <mergeCell ref="BB73:BB74"/>
    <mergeCell ref="BC73:BC74"/>
    <mergeCell ref="BD73:BD74"/>
    <mergeCell ref="BE73:BE74"/>
    <mergeCell ref="BF73:BF74"/>
    <mergeCell ref="BG73:BG74"/>
    <mergeCell ref="A75:A76"/>
    <mergeCell ref="B75:B76"/>
    <mergeCell ref="C75:C76"/>
    <mergeCell ref="D75:D76"/>
    <mergeCell ref="E75:E76"/>
    <mergeCell ref="F75:F76"/>
    <mergeCell ref="G75:G76"/>
    <mergeCell ref="H75:H76"/>
    <mergeCell ref="I75:I76"/>
    <mergeCell ref="J75:J76"/>
    <mergeCell ref="N75:N76"/>
    <mergeCell ref="Q75:Q76"/>
    <mergeCell ref="R75:R76"/>
    <mergeCell ref="S75:S76"/>
    <mergeCell ref="T75:T76"/>
    <mergeCell ref="U75:U76"/>
    <mergeCell ref="V75:V76"/>
    <mergeCell ref="W75:W76"/>
    <mergeCell ref="X75:X76"/>
    <mergeCell ref="Y75:Y76"/>
    <mergeCell ref="Z75:Z76"/>
    <mergeCell ref="AA75:AA76"/>
    <mergeCell ref="AB75:AB76"/>
    <mergeCell ref="AC75:AC76"/>
    <mergeCell ref="AD75:AD76"/>
    <mergeCell ref="AE75:AE76"/>
    <mergeCell ref="AF75:AF76"/>
    <mergeCell ref="AG75:AG76"/>
    <mergeCell ref="AH75:AH76"/>
    <mergeCell ref="AI75:AI76"/>
    <mergeCell ref="AJ75:AJ76"/>
    <mergeCell ref="AK75:AK76"/>
    <mergeCell ref="AL75:AL76"/>
    <mergeCell ref="AM75:AM76"/>
    <mergeCell ref="AN75:AN76"/>
    <mergeCell ref="AO75:AO76"/>
    <mergeCell ref="AP75:AP76"/>
    <mergeCell ref="AQ75:AQ76"/>
    <mergeCell ref="AR75:AR76"/>
    <mergeCell ref="AS75:AS76"/>
    <mergeCell ref="AT75:AT76"/>
    <mergeCell ref="AU75:AU76"/>
    <mergeCell ref="AV75:AV76"/>
    <mergeCell ref="AW75:AW76"/>
    <mergeCell ref="AX75:AX76"/>
    <mergeCell ref="AY75:AY76"/>
    <mergeCell ref="AZ75:AZ76"/>
    <mergeCell ref="BA75:BA76"/>
    <mergeCell ref="BB75:BB76"/>
    <mergeCell ref="BC75:BC76"/>
    <mergeCell ref="BD75:BD76"/>
    <mergeCell ref="BE75:BE76"/>
    <mergeCell ref="BF75:BF76"/>
    <mergeCell ref="BG75:BG76"/>
    <mergeCell ref="A77:I77"/>
    <mergeCell ref="A78:A79"/>
    <mergeCell ref="B78:B79"/>
    <mergeCell ref="C78:C79"/>
    <mergeCell ref="D78:D79"/>
    <mergeCell ref="E78:E79"/>
    <mergeCell ref="F78:F79"/>
    <mergeCell ref="G78:G79"/>
    <mergeCell ref="H78:H79"/>
    <mergeCell ref="I78:I79"/>
    <mergeCell ref="J78:J79"/>
    <mergeCell ref="N78:N79"/>
    <mergeCell ref="Q78:Q79"/>
    <mergeCell ref="R78:R79"/>
    <mergeCell ref="S78:S79"/>
    <mergeCell ref="T78:T79"/>
    <mergeCell ref="U78:U79"/>
    <mergeCell ref="V78:V79"/>
    <mergeCell ref="W78:W79"/>
    <mergeCell ref="X78:X79"/>
    <mergeCell ref="Y78:Y79"/>
    <mergeCell ref="Z78:Z79"/>
    <mergeCell ref="AA78:AA79"/>
    <mergeCell ref="AB78:AB79"/>
    <mergeCell ref="AC78:AC79"/>
    <mergeCell ref="AD78:AD79"/>
    <mergeCell ref="AE78:AE79"/>
    <mergeCell ref="AF78:AF79"/>
    <mergeCell ref="AG78:AG79"/>
    <mergeCell ref="AH78:AH79"/>
    <mergeCell ref="AI78:AI79"/>
    <mergeCell ref="AJ78:AJ79"/>
    <mergeCell ref="AK78:AK79"/>
    <mergeCell ref="AL78:AL79"/>
    <mergeCell ref="AM78:AM79"/>
    <mergeCell ref="AN78:AN79"/>
    <mergeCell ref="AO78:AO79"/>
    <mergeCell ref="AP78:AP79"/>
    <mergeCell ref="AQ78:AQ79"/>
    <mergeCell ref="AR78:AR79"/>
    <mergeCell ref="AS78:AS79"/>
    <mergeCell ref="AT78:AT79"/>
    <mergeCell ref="AU78:AU79"/>
    <mergeCell ref="AV78:AV79"/>
    <mergeCell ref="AW78:AW79"/>
    <mergeCell ref="AX78:AX79"/>
    <mergeCell ref="AY78:AY79"/>
    <mergeCell ref="AZ78:AZ79"/>
    <mergeCell ref="BA78:BA79"/>
    <mergeCell ref="BB78:BB79"/>
    <mergeCell ref="BC78:BC79"/>
    <mergeCell ref="BD78:BD79"/>
    <mergeCell ref="BE78:BE79"/>
    <mergeCell ref="BF78:BF79"/>
    <mergeCell ref="BG78:BG79"/>
    <mergeCell ref="A80:A81"/>
    <mergeCell ref="B80:B81"/>
    <mergeCell ref="C80:C81"/>
    <mergeCell ref="D80:D81"/>
    <mergeCell ref="E80:E81"/>
    <mergeCell ref="F80:F81"/>
    <mergeCell ref="G80:G81"/>
    <mergeCell ref="H80:H81"/>
    <mergeCell ref="I80:I81"/>
    <mergeCell ref="J80:J81"/>
    <mergeCell ref="N80:N81"/>
    <mergeCell ref="Q80:Q81"/>
    <mergeCell ref="R80:R81"/>
    <mergeCell ref="S80:S81"/>
    <mergeCell ref="T80:T81"/>
    <mergeCell ref="U80:U81"/>
    <mergeCell ref="V80:V81"/>
    <mergeCell ref="W80:W81"/>
    <mergeCell ref="X80:X81"/>
    <mergeCell ref="Y80:Y81"/>
    <mergeCell ref="Z80:Z81"/>
    <mergeCell ref="AA80:AA81"/>
    <mergeCell ref="AB80:AB81"/>
    <mergeCell ref="AC80:AC81"/>
    <mergeCell ref="AD80:AD81"/>
    <mergeCell ref="AE80:AE81"/>
    <mergeCell ref="AF80:AF81"/>
    <mergeCell ref="AG80:AG81"/>
    <mergeCell ref="AH80:AH81"/>
    <mergeCell ref="AI80:AI81"/>
    <mergeCell ref="AJ80:AJ81"/>
    <mergeCell ref="AK80:AK81"/>
    <mergeCell ref="AL80:AL81"/>
    <mergeCell ref="AM80:AM81"/>
    <mergeCell ref="AN80:AN81"/>
    <mergeCell ref="AO80:AO81"/>
    <mergeCell ref="AP80:AP81"/>
    <mergeCell ref="AQ80:AQ81"/>
    <mergeCell ref="AR80:AR81"/>
    <mergeCell ref="AS80:AS81"/>
    <mergeCell ref="AT80:AT81"/>
    <mergeCell ref="AU80:AU81"/>
    <mergeCell ref="AV80:AV81"/>
    <mergeCell ref="AW80:AW81"/>
    <mergeCell ref="AX80:AX81"/>
    <mergeCell ref="AY80:AY81"/>
    <mergeCell ref="AZ80:AZ81"/>
    <mergeCell ref="BA80:BA81"/>
    <mergeCell ref="BB80:BB81"/>
    <mergeCell ref="BC80:BC81"/>
    <mergeCell ref="BD80:BD81"/>
    <mergeCell ref="BE80:BE81"/>
    <mergeCell ref="BF80:BF81"/>
    <mergeCell ref="BG80:BG81"/>
    <mergeCell ref="A82:A83"/>
    <mergeCell ref="B82:B83"/>
    <mergeCell ref="C82:C83"/>
    <mergeCell ref="D82:D83"/>
    <mergeCell ref="E82:E83"/>
    <mergeCell ref="F82:F83"/>
    <mergeCell ref="G82:G83"/>
    <mergeCell ref="H82:H83"/>
    <mergeCell ref="I82:I83"/>
    <mergeCell ref="J82:J83"/>
    <mergeCell ref="N82:N83"/>
    <mergeCell ref="Q82:Q83"/>
    <mergeCell ref="R82:R83"/>
    <mergeCell ref="S82:S83"/>
    <mergeCell ref="T82:T83"/>
    <mergeCell ref="U82:U83"/>
    <mergeCell ref="V82:V83"/>
    <mergeCell ref="W82:W83"/>
    <mergeCell ref="X82:X83"/>
    <mergeCell ref="Y82:Y83"/>
    <mergeCell ref="Z82:Z83"/>
    <mergeCell ref="AA82:AA83"/>
    <mergeCell ref="AB82:AB83"/>
    <mergeCell ref="AC82:AC83"/>
    <mergeCell ref="AD82:AD83"/>
    <mergeCell ref="AE82:AE83"/>
    <mergeCell ref="AF82:AF83"/>
    <mergeCell ref="AG82:AG83"/>
    <mergeCell ref="AH82:AH83"/>
    <mergeCell ref="AI82:AI83"/>
    <mergeCell ref="AJ82:AJ83"/>
    <mergeCell ref="AK82:AK83"/>
    <mergeCell ref="AL82:AL83"/>
    <mergeCell ref="AM82:AM83"/>
    <mergeCell ref="AN82:AN83"/>
    <mergeCell ref="AO82:AO83"/>
    <mergeCell ref="AP82:AP83"/>
    <mergeCell ref="AQ82:AQ83"/>
    <mergeCell ref="AR82:AR83"/>
    <mergeCell ref="AS82:AS83"/>
    <mergeCell ref="AT82:AT83"/>
    <mergeCell ref="AU82:AU83"/>
    <mergeCell ref="AV82:AV83"/>
    <mergeCell ref="AW82:AW83"/>
    <mergeCell ref="AX82:AX83"/>
    <mergeCell ref="AY82:AY83"/>
    <mergeCell ref="AZ82:AZ83"/>
    <mergeCell ref="BA82:BA83"/>
    <mergeCell ref="BB82:BB83"/>
    <mergeCell ref="BC82:BC83"/>
    <mergeCell ref="BD82:BD83"/>
    <mergeCell ref="BE82:BE83"/>
    <mergeCell ref="BF82:BF83"/>
    <mergeCell ref="BG82:BG83"/>
    <mergeCell ref="A84:A85"/>
    <mergeCell ref="B84:B85"/>
    <mergeCell ref="C84:C85"/>
    <mergeCell ref="D84:D85"/>
    <mergeCell ref="E84:E85"/>
    <mergeCell ref="F84:F85"/>
    <mergeCell ref="G84:G85"/>
    <mergeCell ref="H84:H85"/>
    <mergeCell ref="I84:I85"/>
    <mergeCell ref="J84:J85"/>
    <mergeCell ref="N84:N85"/>
    <mergeCell ref="Q84:Q85"/>
    <mergeCell ref="R84:R85"/>
    <mergeCell ref="S84:S85"/>
    <mergeCell ref="T84:T85"/>
    <mergeCell ref="U84:U85"/>
    <mergeCell ref="V84:V85"/>
    <mergeCell ref="W84:W85"/>
    <mergeCell ref="X84:X85"/>
    <mergeCell ref="Y84:Y85"/>
    <mergeCell ref="Z84:Z85"/>
    <mergeCell ref="AA84:AA85"/>
    <mergeCell ref="AB84:AB85"/>
    <mergeCell ref="AC84:AC85"/>
    <mergeCell ref="AD84:AD85"/>
    <mergeCell ref="AE84:AE85"/>
    <mergeCell ref="AF84:AF85"/>
    <mergeCell ref="AG84:AG85"/>
    <mergeCell ref="AH84:AH85"/>
    <mergeCell ref="AI84:AI85"/>
    <mergeCell ref="AJ84:AJ85"/>
    <mergeCell ref="AK84:AK85"/>
    <mergeCell ref="AL84:AL85"/>
    <mergeCell ref="AM84:AM85"/>
    <mergeCell ref="AN84:AN85"/>
    <mergeCell ref="AO84:AO85"/>
    <mergeCell ref="AP84:AP85"/>
    <mergeCell ref="AQ84:AQ85"/>
    <mergeCell ref="AR84:AR85"/>
    <mergeCell ref="AS84:AS85"/>
    <mergeCell ref="AT84:AT85"/>
    <mergeCell ref="AU84:AU85"/>
    <mergeCell ref="AV84:AV85"/>
    <mergeCell ref="AW84:AW85"/>
    <mergeCell ref="AX84:AX85"/>
    <mergeCell ref="AY84:AY85"/>
    <mergeCell ref="AZ84:AZ85"/>
    <mergeCell ref="BA84:BA85"/>
    <mergeCell ref="BB84:BB85"/>
    <mergeCell ref="BC84:BC85"/>
    <mergeCell ref="BD84:BD85"/>
    <mergeCell ref="BE84:BE85"/>
    <mergeCell ref="BF84:BF85"/>
    <mergeCell ref="BG84:BG85"/>
    <mergeCell ref="A86:A87"/>
    <mergeCell ref="B86:B87"/>
    <mergeCell ref="C86:C87"/>
    <mergeCell ref="D86:D87"/>
    <mergeCell ref="E86:E87"/>
    <mergeCell ref="F86:F87"/>
    <mergeCell ref="G86:G87"/>
    <mergeCell ref="H86:H87"/>
    <mergeCell ref="I86:I87"/>
    <mergeCell ref="J86:J87"/>
    <mergeCell ref="N86:N87"/>
    <mergeCell ref="Q86:Q87"/>
    <mergeCell ref="AA86:AA87"/>
    <mergeCell ref="AB86:AB87"/>
    <mergeCell ref="AC86:AC87"/>
    <mergeCell ref="R86:R87"/>
    <mergeCell ref="S86:S87"/>
    <mergeCell ref="T86:T87"/>
    <mergeCell ref="U86:U87"/>
    <mergeCell ref="V86:V87"/>
    <mergeCell ref="W86:W87"/>
    <mergeCell ref="BF86:BF87"/>
    <mergeCell ref="BG86:BG87"/>
    <mergeCell ref="AV86:AV87"/>
    <mergeCell ref="AW86:AW87"/>
    <mergeCell ref="AX86:AX87"/>
    <mergeCell ref="AY86:AY87"/>
    <mergeCell ref="AZ86:AZ87"/>
    <mergeCell ref="BA86:BA87"/>
    <mergeCell ref="X86:X87"/>
    <mergeCell ref="Y86:Y87"/>
    <mergeCell ref="Z86:Z87"/>
    <mergeCell ref="BC86:BC87"/>
    <mergeCell ref="BD86:BD87"/>
    <mergeCell ref="BE86:BE87"/>
    <mergeCell ref="AP86:AP87"/>
    <mergeCell ref="AQ86:AQ87"/>
    <mergeCell ref="AR86:AR87"/>
    <mergeCell ref="AS86:AS87"/>
    <mergeCell ref="AD86:AD87"/>
    <mergeCell ref="AE86:AE87"/>
    <mergeCell ref="AF86:AF87"/>
    <mergeCell ref="AG86:AG87"/>
    <mergeCell ref="AH86:AH87"/>
    <mergeCell ref="AI86:AI87"/>
    <mergeCell ref="BB86:BB87"/>
    <mergeCell ref="AJ86:AJ87"/>
    <mergeCell ref="AK86:AK87"/>
    <mergeCell ref="AL86:AL87"/>
    <mergeCell ref="AM86:AM87"/>
    <mergeCell ref="AN86:AN87"/>
    <mergeCell ref="AO86:AO87"/>
    <mergeCell ref="AT86:AT87"/>
    <mergeCell ref="AU86:AU87"/>
    <mergeCell ref="A88:I88"/>
    <mergeCell ref="A89:A90"/>
    <mergeCell ref="B89:B90"/>
    <mergeCell ref="C89:C90"/>
    <mergeCell ref="D89:D90"/>
    <mergeCell ref="E89:E90"/>
    <mergeCell ref="F89:F90"/>
    <mergeCell ref="G89:G90"/>
    <mergeCell ref="H89:H90"/>
    <mergeCell ref="I89:I90"/>
    <mergeCell ref="J89:J90"/>
    <mergeCell ref="N89:N90"/>
    <mergeCell ref="Q89:Q90"/>
    <mergeCell ref="R89:R90"/>
    <mergeCell ref="S89:S90"/>
    <mergeCell ref="T89:T90"/>
    <mergeCell ref="U89:U90"/>
    <mergeCell ref="V89:V90"/>
    <mergeCell ref="W89:W90"/>
    <mergeCell ref="X89:X90"/>
    <mergeCell ref="Y89:Y90"/>
    <mergeCell ref="Z89:Z90"/>
    <mergeCell ref="AA89:AA90"/>
    <mergeCell ref="AB89:AB90"/>
    <mergeCell ref="AC89:AC90"/>
    <mergeCell ref="AD89:AD90"/>
    <mergeCell ref="AE89:AE90"/>
    <mergeCell ref="AF89:AF90"/>
    <mergeCell ref="AG89:AG90"/>
    <mergeCell ref="AH89:AH90"/>
    <mergeCell ref="AI89:AI90"/>
    <mergeCell ref="AJ89:AJ90"/>
    <mergeCell ref="AK89:AK90"/>
    <mergeCell ref="AL89:AL90"/>
    <mergeCell ref="AM89:AM90"/>
    <mergeCell ref="AN89:AN90"/>
    <mergeCell ref="AO89:AO90"/>
    <mergeCell ref="AP89:AP90"/>
    <mergeCell ref="AQ89:AQ90"/>
    <mergeCell ref="AR89:AR90"/>
    <mergeCell ref="AS89:AS90"/>
    <mergeCell ref="AT89:AT90"/>
    <mergeCell ref="AU89:AU90"/>
    <mergeCell ref="AV89:AV90"/>
    <mergeCell ref="AW89:AW90"/>
    <mergeCell ref="AX89:AX90"/>
    <mergeCell ref="AY89:AY90"/>
    <mergeCell ref="AZ89:AZ90"/>
    <mergeCell ref="BA89:BA90"/>
    <mergeCell ref="BB89:BB90"/>
    <mergeCell ref="BC89:BC90"/>
    <mergeCell ref="BD89:BD90"/>
    <mergeCell ref="BE89:BE90"/>
    <mergeCell ref="BF89:BF90"/>
    <mergeCell ref="BG89:BG90"/>
    <mergeCell ref="A91:A92"/>
    <mergeCell ref="B91:B92"/>
    <mergeCell ref="C91:C92"/>
    <mergeCell ref="D91:D92"/>
    <mergeCell ref="E91:E92"/>
    <mergeCell ref="F91:F92"/>
    <mergeCell ref="G91:G92"/>
    <mergeCell ref="H91:H92"/>
    <mergeCell ref="I91:I92"/>
    <mergeCell ref="J91:J92"/>
    <mergeCell ref="N91:N92"/>
    <mergeCell ref="Q91:Q92"/>
    <mergeCell ref="R91:R92"/>
    <mergeCell ref="S91:S92"/>
    <mergeCell ref="T91:T92"/>
    <mergeCell ref="U91:U92"/>
    <mergeCell ref="V91:V92"/>
    <mergeCell ref="W91:W92"/>
    <mergeCell ref="X91:X92"/>
    <mergeCell ref="Y91:Y92"/>
    <mergeCell ref="Z91:Z92"/>
    <mergeCell ref="AA91:AA92"/>
    <mergeCell ref="AB91:AB92"/>
    <mergeCell ref="AC91:AC92"/>
    <mergeCell ref="AD91:AD92"/>
    <mergeCell ref="AE91:AE92"/>
    <mergeCell ref="AF91:AF92"/>
    <mergeCell ref="AG91:AG92"/>
    <mergeCell ref="AH91:AH92"/>
    <mergeCell ref="AI91:AI92"/>
    <mergeCell ref="AJ91:AJ92"/>
    <mergeCell ref="AK91:AK92"/>
    <mergeCell ref="AL91:AL92"/>
    <mergeCell ref="AM91:AM92"/>
    <mergeCell ref="AN91:AN92"/>
    <mergeCell ref="AO91:AO92"/>
    <mergeCell ref="AP91:AP92"/>
    <mergeCell ref="AQ91:AQ92"/>
    <mergeCell ref="AR91:AR92"/>
    <mergeCell ref="AS91:AS92"/>
    <mergeCell ref="AT91:AT92"/>
    <mergeCell ref="AU91:AU92"/>
    <mergeCell ref="AV91:AV92"/>
    <mergeCell ref="AW91:AW92"/>
    <mergeCell ref="AX91:AX92"/>
    <mergeCell ref="AY91:AY92"/>
    <mergeCell ref="AZ91:AZ92"/>
    <mergeCell ref="BA91:BA92"/>
    <mergeCell ref="BB91:BB92"/>
    <mergeCell ref="BC91:BC92"/>
    <mergeCell ref="BD91:BD92"/>
    <mergeCell ref="BE91:BE92"/>
    <mergeCell ref="BF91:BF92"/>
    <mergeCell ref="BG91:BG92"/>
    <mergeCell ref="A93:A94"/>
    <mergeCell ref="B93:B94"/>
    <mergeCell ref="C93:C94"/>
    <mergeCell ref="D93:D94"/>
    <mergeCell ref="E93:E94"/>
    <mergeCell ref="F93:F94"/>
    <mergeCell ref="G93:G94"/>
    <mergeCell ref="H93:H94"/>
    <mergeCell ref="I93:I94"/>
    <mergeCell ref="J93:J94"/>
    <mergeCell ref="N93:N94"/>
    <mergeCell ref="Q93:Q94"/>
    <mergeCell ref="R93:R94"/>
    <mergeCell ref="S93:S94"/>
    <mergeCell ref="T93:T94"/>
    <mergeCell ref="U93:U94"/>
    <mergeCell ref="V93:V94"/>
    <mergeCell ref="W93:W94"/>
    <mergeCell ref="X93:X94"/>
    <mergeCell ref="Y93:Y94"/>
    <mergeCell ref="Z93:Z94"/>
    <mergeCell ref="AA93:AA94"/>
    <mergeCell ref="AB93:AB94"/>
    <mergeCell ref="AC93:AC94"/>
    <mergeCell ref="AD93:AD94"/>
    <mergeCell ref="AE93:AE94"/>
    <mergeCell ref="AF93:AF94"/>
    <mergeCell ref="AG93:AG94"/>
    <mergeCell ref="AH93:AH94"/>
    <mergeCell ref="AI93:AI94"/>
    <mergeCell ref="AJ93:AJ94"/>
    <mergeCell ref="AK93:AK94"/>
    <mergeCell ref="AL93:AL94"/>
    <mergeCell ref="AM93:AM94"/>
    <mergeCell ref="AN93:AN94"/>
    <mergeCell ref="AO93:AO94"/>
    <mergeCell ref="AP93:AP94"/>
    <mergeCell ref="AQ93:AQ94"/>
    <mergeCell ref="AR93:AR94"/>
    <mergeCell ref="AS93:AS94"/>
    <mergeCell ref="AT93:AT94"/>
    <mergeCell ref="AU93:AU94"/>
    <mergeCell ref="AV93:AV94"/>
    <mergeCell ref="AW93:AW94"/>
    <mergeCell ref="AX93:AX94"/>
    <mergeCell ref="AY93:AY94"/>
    <mergeCell ref="AZ93:AZ94"/>
    <mergeCell ref="BA93:BA94"/>
    <mergeCell ref="BB93:BB94"/>
    <mergeCell ref="BC93:BC94"/>
    <mergeCell ref="BD93:BD94"/>
    <mergeCell ref="BE93:BE94"/>
    <mergeCell ref="BF93:BF94"/>
    <mergeCell ref="BG93:BG94"/>
    <mergeCell ref="A95:A96"/>
    <mergeCell ref="B95:B96"/>
    <mergeCell ref="C95:C96"/>
    <mergeCell ref="D95:D96"/>
    <mergeCell ref="E95:E96"/>
    <mergeCell ref="F95:F96"/>
    <mergeCell ref="G95:G96"/>
    <mergeCell ref="H95:H96"/>
    <mergeCell ref="I95:I96"/>
    <mergeCell ref="J95:J96"/>
    <mergeCell ref="N95:N96"/>
    <mergeCell ref="Q95:Q96"/>
    <mergeCell ref="R95:R96"/>
    <mergeCell ref="S95:S96"/>
    <mergeCell ref="T95:T96"/>
    <mergeCell ref="U95:U96"/>
    <mergeCell ref="V95:V96"/>
    <mergeCell ref="W95:W96"/>
    <mergeCell ref="X95:X96"/>
    <mergeCell ref="Y95:Y96"/>
    <mergeCell ref="Z95:Z96"/>
    <mergeCell ref="AA95:AA96"/>
    <mergeCell ref="AB95:AB96"/>
    <mergeCell ref="AC95:AC96"/>
    <mergeCell ref="AD95:AD96"/>
    <mergeCell ref="AE95:AE96"/>
    <mergeCell ref="AF95:AF96"/>
    <mergeCell ref="AG95:AG96"/>
    <mergeCell ref="AH95:AH96"/>
    <mergeCell ref="AI95:AI96"/>
    <mergeCell ref="AJ95:AJ96"/>
    <mergeCell ref="AK95:AK96"/>
    <mergeCell ref="AL95:AL96"/>
    <mergeCell ref="AM95:AM96"/>
    <mergeCell ref="AN95:AN96"/>
    <mergeCell ref="AO95:AO96"/>
    <mergeCell ref="AP95:AP96"/>
    <mergeCell ref="AQ95:AQ96"/>
    <mergeCell ref="AR95:AR96"/>
    <mergeCell ref="AS95:AS96"/>
    <mergeCell ref="AT95:AT96"/>
    <mergeCell ref="AU95:AU96"/>
    <mergeCell ref="AV95:AV96"/>
    <mergeCell ref="AW95:AW96"/>
    <mergeCell ref="AX95:AX96"/>
    <mergeCell ref="AY95:AY96"/>
    <mergeCell ref="AZ95:AZ96"/>
    <mergeCell ref="BA95:BA96"/>
    <mergeCell ref="BB95:BB96"/>
    <mergeCell ref="BC95:BC96"/>
    <mergeCell ref="BD95:BD96"/>
    <mergeCell ref="BE95:BE96"/>
    <mergeCell ref="BF95:BF96"/>
    <mergeCell ref="BG95:BG96"/>
    <mergeCell ref="A97:I97"/>
    <mergeCell ref="A98:A99"/>
    <mergeCell ref="B98:B99"/>
    <mergeCell ref="C98:C99"/>
    <mergeCell ref="D98:D99"/>
    <mergeCell ref="E98:E99"/>
    <mergeCell ref="F98:F99"/>
    <mergeCell ref="G98:G99"/>
    <mergeCell ref="H98:H99"/>
    <mergeCell ref="I98:I99"/>
    <mergeCell ref="J98:J99"/>
    <mergeCell ref="N98:N99"/>
    <mergeCell ref="Q98:Q99"/>
    <mergeCell ref="R98:R99"/>
    <mergeCell ref="S98:S99"/>
    <mergeCell ref="T98:T99"/>
    <mergeCell ref="U98:U99"/>
    <mergeCell ref="V98:V99"/>
    <mergeCell ref="W98:W99"/>
    <mergeCell ref="X98:X99"/>
    <mergeCell ref="Y98:Y99"/>
    <mergeCell ref="Z98:Z99"/>
    <mergeCell ref="AA98:AA99"/>
    <mergeCell ref="AB98:AB99"/>
    <mergeCell ref="AC98:AC99"/>
    <mergeCell ref="AD98:AD99"/>
    <mergeCell ref="AE98:AE99"/>
    <mergeCell ref="AF98:AF99"/>
    <mergeCell ref="AG98:AG99"/>
    <mergeCell ref="AH98:AH99"/>
    <mergeCell ref="AI98:AI99"/>
    <mergeCell ref="AJ98:AJ99"/>
    <mergeCell ref="AK98:AK99"/>
    <mergeCell ref="AL98:AL99"/>
    <mergeCell ref="AM98:AM99"/>
    <mergeCell ref="AN98:AN99"/>
    <mergeCell ref="AO98:AO99"/>
    <mergeCell ref="AP98:AP99"/>
    <mergeCell ref="AQ98:AQ99"/>
    <mergeCell ref="AR98:AR99"/>
    <mergeCell ref="AS98:AS99"/>
    <mergeCell ref="AT98:AT99"/>
    <mergeCell ref="AU98:AU99"/>
    <mergeCell ref="AV98:AV99"/>
    <mergeCell ref="AW98:AW99"/>
    <mergeCell ref="AX98:AX99"/>
    <mergeCell ref="AY98:AY99"/>
    <mergeCell ref="AS100:AS101"/>
    <mergeCell ref="AT100:AT101"/>
    <mergeCell ref="AZ98:AZ99"/>
    <mergeCell ref="BA98:BA99"/>
    <mergeCell ref="BB98:BB99"/>
    <mergeCell ref="BC98:BC99"/>
    <mergeCell ref="BD98:BD99"/>
    <mergeCell ref="BE98:BE99"/>
    <mergeCell ref="BF98:BF99"/>
    <mergeCell ref="BG98:BG99"/>
    <mergeCell ref="A100:A101"/>
    <mergeCell ref="B100:B101"/>
    <mergeCell ref="C100:C101"/>
    <mergeCell ref="D100:D101"/>
    <mergeCell ref="E100:E101"/>
    <mergeCell ref="F100:F101"/>
    <mergeCell ref="G100:G101"/>
    <mergeCell ref="H100:H101"/>
    <mergeCell ref="I100:I101"/>
    <mergeCell ref="J100:J101"/>
    <mergeCell ref="N100:N101"/>
    <mergeCell ref="Q100:Q101"/>
    <mergeCell ref="R100:R101"/>
    <mergeCell ref="S100:S101"/>
    <mergeCell ref="T100:T101"/>
    <mergeCell ref="U100:U101"/>
    <mergeCell ref="V100:V101"/>
    <mergeCell ref="W100:W101"/>
    <mergeCell ref="X100:X101"/>
    <mergeCell ref="Y100:Y101"/>
    <mergeCell ref="Z100:Z101"/>
    <mergeCell ref="AA100:AA101"/>
    <mergeCell ref="W102:W103"/>
    <mergeCell ref="X102:X103"/>
    <mergeCell ref="AD100:AD101"/>
    <mergeCell ref="AE100:AE101"/>
    <mergeCell ref="AF100:AF101"/>
    <mergeCell ref="AG100:AG101"/>
    <mergeCell ref="AH100:AH101"/>
    <mergeCell ref="AI100:AI101"/>
    <mergeCell ref="AJ100:AJ101"/>
    <mergeCell ref="AK100:AK101"/>
    <mergeCell ref="AL100:AL101"/>
    <mergeCell ref="AM100:AM101"/>
    <mergeCell ref="AN100:AN101"/>
    <mergeCell ref="AO100:AO101"/>
    <mergeCell ref="AP100:AP101"/>
    <mergeCell ref="AQ100:AQ101"/>
    <mergeCell ref="AR100:AR101"/>
    <mergeCell ref="AB100:AB101"/>
    <mergeCell ref="AC100:AC101"/>
    <mergeCell ref="AN102:AN103"/>
    <mergeCell ref="AO102:AO103"/>
    <mergeCell ref="AU100:AU101"/>
    <mergeCell ref="AV100:AV101"/>
    <mergeCell ref="AW100:AW101"/>
    <mergeCell ref="AX100:AX101"/>
    <mergeCell ref="AY100:AY101"/>
    <mergeCell ref="AZ100:AZ101"/>
    <mergeCell ref="BA100:BA101"/>
    <mergeCell ref="BB100:BB101"/>
    <mergeCell ref="BC100:BC101"/>
    <mergeCell ref="BD100:BD101"/>
    <mergeCell ref="BE100:BE101"/>
    <mergeCell ref="BF100:BF101"/>
    <mergeCell ref="BG100:BG101"/>
    <mergeCell ref="A102:A103"/>
    <mergeCell ref="B102:B103"/>
    <mergeCell ref="C102:C103"/>
    <mergeCell ref="D102:D103"/>
    <mergeCell ref="E102:E103"/>
    <mergeCell ref="F102:F103"/>
    <mergeCell ref="G102:G103"/>
    <mergeCell ref="H102:H103"/>
    <mergeCell ref="I102:I103"/>
    <mergeCell ref="J102:J103"/>
    <mergeCell ref="N102:N103"/>
    <mergeCell ref="Q102:Q103"/>
    <mergeCell ref="R102:R103"/>
    <mergeCell ref="S102:S103"/>
    <mergeCell ref="T102:T103"/>
    <mergeCell ref="U102:U103"/>
    <mergeCell ref="V102:V103"/>
    <mergeCell ref="AQ102:AQ103"/>
    <mergeCell ref="AR102:AR103"/>
    <mergeCell ref="AS102:AS103"/>
    <mergeCell ref="AT102:AT103"/>
    <mergeCell ref="AU102:AU103"/>
    <mergeCell ref="AV102:AV103"/>
    <mergeCell ref="AW102:AW103"/>
    <mergeCell ref="AX102:AX103"/>
    <mergeCell ref="AY102:AY103"/>
    <mergeCell ref="AZ102:AZ103"/>
    <mergeCell ref="BA102:BA103"/>
    <mergeCell ref="BB102:BB103"/>
    <mergeCell ref="BC102:BC103"/>
    <mergeCell ref="BD102:BD103"/>
    <mergeCell ref="BF104:BF105"/>
    <mergeCell ref="BG104:BG105"/>
    <mergeCell ref="AV104:AV105"/>
    <mergeCell ref="AW104:AW105"/>
    <mergeCell ref="AX104:AX105"/>
    <mergeCell ref="AY104:AY105"/>
    <mergeCell ref="AZ104:AZ105"/>
    <mergeCell ref="BA104:BA105"/>
    <mergeCell ref="BE102:BE103"/>
    <mergeCell ref="BF102:BF103"/>
    <mergeCell ref="BG102:BG103"/>
    <mergeCell ref="B104:B105"/>
    <mergeCell ref="C104:C105"/>
    <mergeCell ref="D104:D105"/>
    <mergeCell ref="E104:E105"/>
    <mergeCell ref="F104:F105"/>
    <mergeCell ref="G104:G105"/>
    <mergeCell ref="H104:H105"/>
    <mergeCell ref="I104:I105"/>
    <mergeCell ref="J104:J105"/>
    <mergeCell ref="N104:N105"/>
    <mergeCell ref="Q104:Q105"/>
    <mergeCell ref="R104:R105"/>
    <mergeCell ref="S104:S105"/>
    <mergeCell ref="T104:T105"/>
    <mergeCell ref="U104:U105"/>
    <mergeCell ref="V104:V105"/>
    <mergeCell ref="AP102:AP103"/>
    <mergeCell ref="Y102:Y103"/>
    <mergeCell ref="Z102:Z103"/>
    <mergeCell ref="AA102:AA103"/>
    <mergeCell ref="AB102:AB103"/>
    <mergeCell ref="AC102:AC103"/>
    <mergeCell ref="AD102:AD103"/>
    <mergeCell ref="AE102:AE103"/>
    <mergeCell ref="AF102:AF103"/>
    <mergeCell ref="AG102:AG103"/>
    <mergeCell ref="AH102:AH103"/>
    <mergeCell ref="AI102:AI103"/>
    <mergeCell ref="AJ102:AJ103"/>
    <mergeCell ref="AK102:AK103"/>
    <mergeCell ref="AL102:AL103"/>
    <mergeCell ref="AM102:AM103"/>
    <mergeCell ref="W104:W105"/>
    <mergeCell ref="X104:X105"/>
    <mergeCell ref="Y104:Y105"/>
    <mergeCell ref="Z104:Z105"/>
    <mergeCell ref="A106:I106"/>
    <mergeCell ref="A107:I107"/>
    <mergeCell ref="BB104:BB105"/>
    <mergeCell ref="BC104:BC105"/>
    <mergeCell ref="BD104:BD105"/>
    <mergeCell ref="BE104:BE105"/>
    <mergeCell ref="AP104:AP105"/>
    <mergeCell ref="AQ104:AQ105"/>
    <mergeCell ref="AR104:AR105"/>
    <mergeCell ref="AS104:AS105"/>
    <mergeCell ref="AI104:AI105"/>
    <mergeCell ref="AT104:AT105"/>
    <mergeCell ref="AU104:AU105"/>
    <mergeCell ref="AJ104:AJ105"/>
    <mergeCell ref="AK104:AK105"/>
    <mergeCell ref="AL104:AL105"/>
    <mergeCell ref="AM104:AM105"/>
    <mergeCell ref="AN104:AN105"/>
    <mergeCell ref="AO104:AO105"/>
    <mergeCell ref="AA104:AA105"/>
    <mergeCell ref="AB104:AB105"/>
    <mergeCell ref="AC104:AC105"/>
    <mergeCell ref="AD104:AD105"/>
    <mergeCell ref="AE104:AE105"/>
    <mergeCell ref="AF104:AF105"/>
    <mergeCell ref="AG104:AG105"/>
    <mergeCell ref="AH104:AH105"/>
    <mergeCell ref="A104:A105"/>
  </mergeCells>
  <phoneticPr fontId="61" type="noConversion"/>
  <pageMargins left="0" right="0" top="0" bottom="0" header="0" footer="0"/>
  <pageSetup paperSize="9" scale="65"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09"/>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A3" sqref="A3"/>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45286</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38" si="0">L5-M5</f>
        <v>0</v>
      </c>
      <c r="P5" s="27">
        <v>0</v>
      </c>
      <c r="Q5" s="99">
        <f>+L6-P6</f>
        <v>1</v>
      </c>
      <c r="R5" s="85" t="s">
        <v>87</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2194+35</f>
        <v>2229</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6.5" customHeight="1">
      <c r="A7" s="108">
        <v>45286</v>
      </c>
      <c r="B7" s="87" t="s">
        <v>37</v>
      </c>
      <c r="C7" s="89">
        <v>1</v>
      </c>
      <c r="D7" s="91" t="s">
        <v>38</v>
      </c>
      <c r="E7" s="89">
        <v>84217</v>
      </c>
      <c r="F7" s="89" t="s">
        <v>49</v>
      </c>
      <c r="G7" s="93" t="s">
        <v>71</v>
      </c>
      <c r="H7" s="90" t="s">
        <v>47</v>
      </c>
      <c r="I7" s="90">
        <v>2804</v>
      </c>
      <c r="J7" s="90">
        <v>2804</v>
      </c>
      <c r="K7" s="20">
        <v>15</v>
      </c>
      <c r="L7" s="20">
        <v>15</v>
      </c>
      <c r="M7" s="20">
        <v>15</v>
      </c>
      <c r="N7" s="97">
        <f>O8/L8</f>
        <v>0.51390870185449355</v>
      </c>
      <c r="O7" s="21">
        <f t="shared" si="0"/>
        <v>0</v>
      </c>
      <c r="P7" s="27">
        <v>179</v>
      </c>
      <c r="Q7" s="99">
        <f>+L8-P8</f>
        <v>0</v>
      </c>
      <c r="R7" s="85"/>
      <c r="S7" s="96"/>
      <c r="T7" s="96"/>
      <c r="U7" s="96"/>
      <c r="V7" s="96"/>
      <c r="W7" s="96"/>
      <c r="X7" s="96"/>
      <c r="Y7" s="96"/>
      <c r="Z7" s="96"/>
      <c r="AA7" s="96"/>
      <c r="AB7" s="96"/>
      <c r="AC7" s="96"/>
      <c r="AD7" s="96"/>
      <c r="AE7" s="96"/>
      <c r="AF7" s="96"/>
      <c r="AG7" s="96"/>
      <c r="AH7" s="96"/>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380+305+280+275+155+323+260+280+365+138+28+15</f>
        <v>2804</v>
      </c>
      <c r="L8" s="18">
        <f>270+420+350+255+363+280+320+300+203+28+15</f>
        <v>2804</v>
      </c>
      <c r="M8" s="18">
        <f>75+240+191+116+194+124+141+139+100+28+15</f>
        <v>1363</v>
      </c>
      <c r="N8" s="98"/>
      <c r="O8" s="19">
        <f t="shared" si="0"/>
        <v>1441</v>
      </c>
      <c r="P8" s="22">
        <f>75+240+269+187+501+328+274+264+246+241+179</f>
        <v>2804</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45286</v>
      </c>
      <c r="B9" s="87" t="s">
        <v>37</v>
      </c>
      <c r="C9" s="89">
        <v>1</v>
      </c>
      <c r="D9" s="91" t="s">
        <v>38</v>
      </c>
      <c r="E9" s="89">
        <v>84217</v>
      </c>
      <c r="F9" s="89" t="s">
        <v>76</v>
      </c>
      <c r="G9" s="93" t="s">
        <v>71</v>
      </c>
      <c r="H9" s="90" t="s">
        <v>80</v>
      </c>
      <c r="I9" s="90">
        <v>1452</v>
      </c>
      <c r="J9" s="90">
        <v>1452</v>
      </c>
      <c r="K9" s="20">
        <v>50</v>
      </c>
      <c r="L9" s="20">
        <v>30</v>
      </c>
      <c r="M9" s="20">
        <v>20</v>
      </c>
      <c r="N9" s="97">
        <f>O10/L10</f>
        <v>0.70598006644518274</v>
      </c>
      <c r="O9" s="21">
        <f t="shared" si="0"/>
        <v>10</v>
      </c>
      <c r="P9" s="27">
        <v>21</v>
      </c>
      <c r="Q9" s="99">
        <f>+L10-P10</f>
        <v>44</v>
      </c>
      <c r="R9" s="85"/>
      <c r="S9" s="96"/>
      <c r="T9" s="96">
        <v>2</v>
      </c>
      <c r="U9" s="96"/>
      <c r="V9" s="96"/>
      <c r="W9" s="96"/>
      <c r="X9" s="96"/>
      <c r="Y9" s="96"/>
      <c r="Z9" s="96"/>
      <c r="AA9" s="96"/>
      <c r="AB9" s="96"/>
      <c r="AC9" s="96"/>
      <c r="AD9" s="96">
        <v>2</v>
      </c>
      <c r="AE9" s="96"/>
      <c r="AF9" s="96"/>
      <c r="AG9" s="96"/>
      <c r="AH9" s="96">
        <v>2</v>
      </c>
      <c r="AI9" s="96"/>
      <c r="AJ9" s="96"/>
      <c r="AK9" s="96"/>
      <c r="AL9" s="96">
        <v>4</v>
      </c>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53+88+29+47+80+98+101+49+27+50</f>
        <v>622</v>
      </c>
      <c r="L10" s="18">
        <f>10+44+80+80+83+80+94+74+27+30</f>
        <v>602</v>
      </c>
      <c r="M10" s="18">
        <f>10+30+20+23+20+20+24+10+20</f>
        <v>177</v>
      </c>
      <c r="N10" s="98"/>
      <c r="O10" s="19">
        <f t="shared" si="0"/>
        <v>425</v>
      </c>
      <c r="P10" s="22">
        <f>10+74+20+37+30+186+43+137+21</f>
        <v>558</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6.5" customHeight="1">
      <c r="A11" s="108">
        <v>45286</v>
      </c>
      <c r="B11" s="87" t="s">
        <v>37</v>
      </c>
      <c r="C11" s="89">
        <v>1</v>
      </c>
      <c r="D11" s="91" t="s">
        <v>38</v>
      </c>
      <c r="E11" s="89">
        <v>84217</v>
      </c>
      <c r="F11" s="89" t="s">
        <v>76</v>
      </c>
      <c r="G11" s="93" t="s">
        <v>71</v>
      </c>
      <c r="H11" s="90" t="s">
        <v>75</v>
      </c>
      <c r="I11" s="90">
        <v>2615</v>
      </c>
      <c r="J11" s="90">
        <v>2615</v>
      </c>
      <c r="K11" s="20">
        <f>320+87</f>
        <v>407</v>
      </c>
      <c r="L11" s="20">
        <f>87+155</f>
        <v>242</v>
      </c>
      <c r="M11" s="20">
        <f>80+35</f>
        <v>115</v>
      </c>
      <c r="N11" s="97">
        <f>O12/L12</f>
        <v>0.59346186085498742</v>
      </c>
      <c r="O11" s="21">
        <f t="shared" si="0"/>
        <v>127</v>
      </c>
      <c r="P11" s="27">
        <f>128+97</f>
        <v>225</v>
      </c>
      <c r="Q11" s="99">
        <f>+L12-P12</f>
        <v>230</v>
      </c>
      <c r="R11" s="85"/>
      <c r="S11" s="96">
        <v>5</v>
      </c>
      <c r="T11" s="96">
        <v>43</v>
      </c>
      <c r="U11" s="96">
        <v>5</v>
      </c>
      <c r="V11" s="96"/>
      <c r="W11" s="96"/>
      <c r="X11" s="96">
        <v>2</v>
      </c>
      <c r="Y11" s="96"/>
      <c r="Z11" s="96"/>
      <c r="AA11" s="96"/>
      <c r="AB11" s="96"/>
      <c r="AC11" s="96">
        <v>17</v>
      </c>
      <c r="AD11" s="96"/>
      <c r="AE11" s="96">
        <v>3</v>
      </c>
      <c r="AF11" s="96">
        <v>19</v>
      </c>
      <c r="AG11" s="96">
        <v>7</v>
      </c>
      <c r="AH11" s="96">
        <v>21</v>
      </c>
      <c r="AI11" s="96"/>
      <c r="AJ11" s="96"/>
      <c r="AK11" s="96"/>
      <c r="AL11" s="96">
        <v>5</v>
      </c>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111+127+62+63+122+58+130+215+63+407</f>
        <v>1358</v>
      </c>
      <c r="L12" s="18">
        <f>10+198+92+63+122+58+90+255+63+242</f>
        <v>1193</v>
      </c>
      <c r="M12" s="18">
        <f>70+33+11+39+20+51+131+15+115</f>
        <v>485</v>
      </c>
      <c r="N12" s="98"/>
      <c r="O12" s="19">
        <f t="shared" si="0"/>
        <v>708</v>
      </c>
      <c r="P12" s="22">
        <f>80+47+182+62+68+51+131+117+225</f>
        <v>963</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5.75" customHeight="1">
      <c r="A13" s="108">
        <v>45286</v>
      </c>
      <c r="B13" s="87" t="s">
        <v>37</v>
      </c>
      <c r="C13" s="89">
        <v>1</v>
      </c>
      <c r="D13" s="91" t="s">
        <v>38</v>
      </c>
      <c r="E13" s="89">
        <v>84212</v>
      </c>
      <c r="F13" s="89" t="s">
        <v>49</v>
      </c>
      <c r="G13" s="93" t="s">
        <v>55</v>
      </c>
      <c r="H13" s="90" t="s">
        <v>67</v>
      </c>
      <c r="I13" s="90">
        <v>1813</v>
      </c>
      <c r="J13" s="90">
        <v>1813</v>
      </c>
      <c r="K13" s="20">
        <v>0</v>
      </c>
      <c r="L13" s="20">
        <v>0</v>
      </c>
      <c r="M13" s="20">
        <v>0</v>
      </c>
      <c r="N13" s="97">
        <f>O14/L14</f>
        <v>0.75717439293598232</v>
      </c>
      <c r="O13" s="21">
        <f t="shared" si="0"/>
        <v>0</v>
      </c>
      <c r="P13" s="27">
        <v>0</v>
      </c>
      <c r="Q13" s="99">
        <f>+L14-P14</f>
        <v>0</v>
      </c>
      <c r="R13" s="85"/>
      <c r="S13" s="96"/>
      <c r="T13" s="96"/>
      <c r="U13" s="96"/>
      <c r="V13" s="96"/>
      <c r="W13" s="96"/>
      <c r="X13" s="96"/>
      <c r="Y13" s="96"/>
      <c r="Z13" s="96"/>
      <c r="AA13" s="96"/>
      <c r="AB13" s="96"/>
      <c r="AC13" s="96"/>
      <c r="AD13" s="96"/>
      <c r="AE13" s="96"/>
      <c r="AF13" s="96"/>
      <c r="AG13" s="96"/>
      <c r="AH13" s="96"/>
      <c r="AI13" s="96"/>
      <c r="AJ13" s="96"/>
      <c r="AK13" s="96"/>
      <c r="AL13" s="96"/>
      <c r="AM13" s="103"/>
      <c r="AN13" s="103"/>
      <c r="AO13" s="103"/>
      <c r="AP13" s="103"/>
      <c r="AQ13" s="103"/>
      <c r="AR13" s="103"/>
      <c r="AS13" s="103"/>
      <c r="AT13" s="103"/>
      <c r="AU13" s="103"/>
      <c r="AV13" s="103"/>
      <c r="AW13" s="103"/>
      <c r="AX13" s="103"/>
      <c r="AY13" s="106"/>
      <c r="AZ13" s="106"/>
      <c r="BA13" s="106"/>
      <c r="BB13" s="106"/>
      <c r="BC13" s="106"/>
      <c r="BD13" s="106"/>
      <c r="BE13" s="103"/>
      <c r="BF13" s="104"/>
      <c r="BG13" s="104"/>
    </row>
    <row r="14" spans="1:59" s="17" customFormat="1" ht="15.75" customHeight="1">
      <c r="A14" s="85"/>
      <c r="B14" s="88"/>
      <c r="C14" s="90"/>
      <c r="D14" s="92"/>
      <c r="E14" s="90"/>
      <c r="F14" s="90"/>
      <c r="G14" s="94"/>
      <c r="H14" s="95"/>
      <c r="I14" s="95"/>
      <c r="J14" s="95"/>
      <c r="K14" s="22">
        <f>272+145+148+175+345+259+198+95+65+82+13+11+4</f>
        <v>1812</v>
      </c>
      <c r="L14" s="18">
        <f>30+110+235+150+484+100+160+348+142+38+11+4</f>
        <v>1812</v>
      </c>
      <c r="M14" s="18">
        <f>5+10+50+40+110+10+55+118+27+11+4</f>
        <v>440</v>
      </c>
      <c r="N14" s="98"/>
      <c r="O14" s="19">
        <f t="shared" si="0"/>
        <v>1372</v>
      </c>
      <c r="P14" s="22">
        <f>5+10+65+80+262+130+217+170+330+32+171+120+146+59+11+4</f>
        <v>1812</v>
      </c>
      <c r="Q14" s="100"/>
      <c r="R14" s="86"/>
      <c r="S14" s="96"/>
      <c r="T14" s="96"/>
      <c r="U14" s="96"/>
      <c r="V14" s="96"/>
      <c r="W14" s="96"/>
      <c r="X14" s="96"/>
      <c r="Y14" s="96"/>
      <c r="Z14" s="96"/>
      <c r="AA14" s="96"/>
      <c r="AB14" s="96"/>
      <c r="AC14" s="96"/>
      <c r="AD14" s="96"/>
      <c r="AE14" s="96"/>
      <c r="AF14" s="96"/>
      <c r="AG14" s="96"/>
      <c r="AH14" s="96"/>
      <c r="AI14" s="96"/>
      <c r="AJ14" s="96"/>
      <c r="AK14" s="96"/>
      <c r="AL14" s="96"/>
      <c r="AM14" s="103"/>
      <c r="AN14" s="103"/>
      <c r="AO14" s="103"/>
      <c r="AP14" s="103"/>
      <c r="AQ14" s="103"/>
      <c r="AR14" s="103"/>
      <c r="AS14" s="103"/>
      <c r="AT14" s="103"/>
      <c r="AU14" s="103"/>
      <c r="AV14" s="103"/>
      <c r="AW14" s="103"/>
      <c r="AX14" s="103"/>
      <c r="AY14" s="107"/>
      <c r="AZ14" s="107"/>
      <c r="BA14" s="107"/>
      <c r="BB14" s="107"/>
      <c r="BC14" s="107"/>
      <c r="BD14" s="107"/>
      <c r="BE14" s="103"/>
      <c r="BF14" s="105"/>
      <c r="BG14" s="105"/>
    </row>
    <row r="15" spans="1:59" s="17" customFormat="1" ht="15.75" customHeight="1">
      <c r="A15" s="108">
        <v>45286</v>
      </c>
      <c r="B15" s="87" t="s">
        <v>37</v>
      </c>
      <c r="C15" s="89">
        <v>1</v>
      </c>
      <c r="D15" s="91" t="s">
        <v>38</v>
      </c>
      <c r="E15" s="89">
        <v>84212</v>
      </c>
      <c r="F15" s="89" t="s">
        <v>49</v>
      </c>
      <c r="G15" s="93" t="s">
        <v>61</v>
      </c>
      <c r="H15" s="89" t="s">
        <v>50</v>
      </c>
      <c r="I15" s="89">
        <v>925</v>
      </c>
      <c r="J15" s="89">
        <v>925</v>
      </c>
      <c r="K15" s="20">
        <v>0</v>
      </c>
      <c r="L15" s="20">
        <v>0</v>
      </c>
      <c r="M15" s="20">
        <v>0</v>
      </c>
      <c r="N15" s="146">
        <f>O16/L16</f>
        <v>0.68867924528301883</v>
      </c>
      <c r="O15" s="21">
        <f t="shared" si="0"/>
        <v>0</v>
      </c>
      <c r="P15" s="27">
        <v>0</v>
      </c>
      <c r="Q15" s="99">
        <f>+L16-P16</f>
        <v>82</v>
      </c>
      <c r="R15" s="108"/>
      <c r="S15" s="149"/>
      <c r="T15" s="149"/>
      <c r="U15" s="149"/>
      <c r="V15" s="149"/>
      <c r="W15" s="149"/>
      <c r="X15" s="149"/>
      <c r="Y15" s="149"/>
      <c r="Z15" s="149"/>
      <c r="AA15" s="149"/>
      <c r="AB15" s="149"/>
      <c r="AC15" s="149"/>
      <c r="AD15" s="149"/>
      <c r="AE15" s="149"/>
      <c r="AF15" s="149"/>
      <c r="AG15" s="149"/>
      <c r="AH15" s="149"/>
      <c r="AI15" s="149"/>
      <c r="AJ15" s="149"/>
      <c r="AK15" s="149"/>
      <c r="AL15" s="149"/>
      <c r="AM15" s="163"/>
      <c r="AN15" s="163"/>
      <c r="AO15" s="163"/>
      <c r="AP15" s="163"/>
      <c r="AQ15" s="163"/>
      <c r="AR15" s="163"/>
      <c r="AS15" s="163"/>
      <c r="AT15" s="163"/>
      <c r="AU15" s="163"/>
      <c r="AV15" s="163"/>
      <c r="AW15" s="163"/>
      <c r="AX15" s="163"/>
      <c r="AY15" s="167"/>
      <c r="AZ15" s="167"/>
      <c r="BA15" s="167"/>
      <c r="BB15" s="167"/>
      <c r="BC15" s="167"/>
      <c r="BD15" s="167"/>
      <c r="BE15" s="163"/>
      <c r="BF15" s="165"/>
      <c r="BG15" s="165"/>
    </row>
    <row r="16" spans="1:59" s="17" customFormat="1" ht="15.75" customHeight="1">
      <c r="A16" s="85"/>
      <c r="B16" s="88"/>
      <c r="C16" s="90"/>
      <c r="D16" s="92"/>
      <c r="E16" s="90"/>
      <c r="F16" s="90"/>
      <c r="G16" s="94"/>
      <c r="H16" s="90"/>
      <c r="I16" s="90"/>
      <c r="J16" s="90"/>
      <c r="K16" s="22">
        <f>53+10+70+60+125</f>
        <v>318</v>
      </c>
      <c r="L16" s="18">
        <f>63+70+60+125</f>
        <v>318</v>
      </c>
      <c r="M16" s="18">
        <f>24+18+15+42</f>
        <v>99</v>
      </c>
      <c r="N16" s="147"/>
      <c r="O16" s="19">
        <f t="shared" si="0"/>
        <v>219</v>
      </c>
      <c r="P16" s="22">
        <f>24+38+38+136</f>
        <v>236</v>
      </c>
      <c r="Q16" s="100"/>
      <c r="R16" s="85"/>
      <c r="S16" s="150"/>
      <c r="T16" s="150"/>
      <c r="U16" s="150"/>
      <c r="V16" s="150"/>
      <c r="W16" s="150"/>
      <c r="X16" s="150"/>
      <c r="Y16" s="150"/>
      <c r="Z16" s="150"/>
      <c r="AA16" s="150"/>
      <c r="AB16" s="150"/>
      <c r="AC16" s="150"/>
      <c r="AD16" s="150"/>
      <c r="AE16" s="150"/>
      <c r="AF16" s="150"/>
      <c r="AG16" s="150"/>
      <c r="AH16" s="150"/>
      <c r="AI16" s="150"/>
      <c r="AJ16" s="150"/>
      <c r="AK16" s="150"/>
      <c r="AL16" s="150"/>
      <c r="AM16" s="164"/>
      <c r="AN16" s="164"/>
      <c r="AO16" s="164"/>
      <c r="AP16" s="164"/>
      <c r="AQ16" s="164"/>
      <c r="AR16" s="164"/>
      <c r="AS16" s="164"/>
      <c r="AT16" s="164"/>
      <c r="AU16" s="164"/>
      <c r="AV16" s="164"/>
      <c r="AW16" s="164"/>
      <c r="AX16" s="164"/>
      <c r="AY16" s="168"/>
      <c r="AZ16" s="168"/>
      <c r="BA16" s="168"/>
      <c r="BB16" s="168"/>
      <c r="BC16" s="168"/>
      <c r="BD16" s="168"/>
      <c r="BE16" s="164"/>
      <c r="BF16" s="166"/>
      <c r="BG16" s="166"/>
    </row>
    <row r="17" spans="1:59" s="17" customFormat="1" ht="15.75" customHeight="1">
      <c r="A17" s="108">
        <v>45286</v>
      </c>
      <c r="B17" s="87" t="s">
        <v>37</v>
      </c>
      <c r="C17" s="89">
        <v>1</v>
      </c>
      <c r="D17" s="91" t="s">
        <v>38</v>
      </c>
      <c r="E17" s="89">
        <v>84212</v>
      </c>
      <c r="F17" s="89" t="s">
        <v>49</v>
      </c>
      <c r="G17" s="93" t="s">
        <v>61</v>
      </c>
      <c r="H17" s="89" t="s">
        <v>62</v>
      </c>
      <c r="I17" s="89">
        <v>1327</v>
      </c>
      <c r="J17" s="89">
        <v>1327</v>
      </c>
      <c r="K17" s="20">
        <v>103</v>
      </c>
      <c r="L17" s="20">
        <v>103</v>
      </c>
      <c r="M17" s="20">
        <v>0</v>
      </c>
      <c r="N17" s="146">
        <f>O18/L18</f>
        <v>0.88854489164086692</v>
      </c>
      <c r="O17" s="21">
        <f t="shared" si="0"/>
        <v>103</v>
      </c>
      <c r="P17" s="27">
        <v>53</v>
      </c>
      <c r="Q17" s="99">
        <f>+L18-P18</f>
        <v>150</v>
      </c>
      <c r="R17" s="108"/>
      <c r="S17" s="149">
        <v>16</v>
      </c>
      <c r="T17" s="149">
        <v>23</v>
      </c>
      <c r="U17" s="149">
        <v>3</v>
      </c>
      <c r="V17" s="149"/>
      <c r="W17" s="149"/>
      <c r="X17" s="149">
        <v>3</v>
      </c>
      <c r="Y17" s="149"/>
      <c r="Z17" s="149">
        <v>12</v>
      </c>
      <c r="AA17" s="149"/>
      <c r="AB17" s="149"/>
      <c r="AC17" s="149">
        <v>17</v>
      </c>
      <c r="AD17" s="149"/>
      <c r="AE17" s="149">
        <v>9</v>
      </c>
      <c r="AF17" s="149"/>
      <c r="AG17" s="149"/>
      <c r="AH17" s="149">
        <v>8</v>
      </c>
      <c r="AI17" s="149"/>
      <c r="AJ17" s="149"/>
      <c r="AK17" s="149"/>
      <c r="AL17" s="149">
        <v>12</v>
      </c>
      <c r="AM17" s="163"/>
      <c r="AN17" s="163"/>
      <c r="AO17" s="163"/>
      <c r="AP17" s="163"/>
      <c r="AQ17" s="163"/>
      <c r="AR17" s="163"/>
      <c r="AS17" s="163"/>
      <c r="AT17" s="163"/>
      <c r="AU17" s="163"/>
      <c r="AV17" s="163"/>
      <c r="AW17" s="163"/>
      <c r="AX17" s="163"/>
      <c r="AY17" s="167"/>
      <c r="AZ17" s="167"/>
      <c r="BA17" s="167"/>
      <c r="BB17" s="167"/>
      <c r="BC17" s="167"/>
      <c r="BD17" s="167"/>
      <c r="BE17" s="163"/>
      <c r="BF17" s="165"/>
      <c r="BG17" s="165"/>
    </row>
    <row r="18" spans="1:59" s="17" customFormat="1" ht="15.75" customHeight="1">
      <c r="A18" s="85"/>
      <c r="B18" s="88"/>
      <c r="C18" s="90"/>
      <c r="D18" s="92"/>
      <c r="E18" s="90"/>
      <c r="F18" s="90"/>
      <c r="G18" s="94"/>
      <c r="H18" s="90"/>
      <c r="I18" s="90"/>
      <c r="J18" s="90"/>
      <c r="K18" s="22">
        <f>49+35+106+30+103</f>
        <v>323</v>
      </c>
      <c r="L18" s="18">
        <f>49+35+106+30+103</f>
        <v>323</v>
      </c>
      <c r="M18" s="18">
        <f>5+5+26</f>
        <v>36</v>
      </c>
      <c r="N18" s="147"/>
      <c r="O18" s="19">
        <f t="shared" si="0"/>
        <v>287</v>
      </c>
      <c r="P18" s="22">
        <f>5+25+30+60+53</f>
        <v>173</v>
      </c>
      <c r="Q18" s="100"/>
      <c r="R18" s="85"/>
      <c r="S18" s="150"/>
      <c r="T18" s="150"/>
      <c r="U18" s="150"/>
      <c r="V18" s="150"/>
      <c r="W18" s="150"/>
      <c r="X18" s="150"/>
      <c r="Y18" s="150"/>
      <c r="Z18" s="150"/>
      <c r="AA18" s="150"/>
      <c r="AB18" s="150"/>
      <c r="AC18" s="150"/>
      <c r="AD18" s="150"/>
      <c r="AE18" s="150"/>
      <c r="AF18" s="150"/>
      <c r="AG18" s="150"/>
      <c r="AH18" s="150"/>
      <c r="AI18" s="150"/>
      <c r="AJ18" s="150"/>
      <c r="AK18" s="150"/>
      <c r="AL18" s="150"/>
      <c r="AM18" s="164"/>
      <c r="AN18" s="164"/>
      <c r="AO18" s="164"/>
      <c r="AP18" s="164"/>
      <c r="AQ18" s="164"/>
      <c r="AR18" s="164"/>
      <c r="AS18" s="164"/>
      <c r="AT18" s="164"/>
      <c r="AU18" s="164"/>
      <c r="AV18" s="164"/>
      <c r="AW18" s="164"/>
      <c r="AX18" s="164"/>
      <c r="AY18" s="168"/>
      <c r="AZ18" s="168"/>
      <c r="BA18" s="168"/>
      <c r="BB18" s="168"/>
      <c r="BC18" s="168"/>
      <c r="BD18" s="168"/>
      <c r="BE18" s="164"/>
      <c r="BF18" s="166"/>
      <c r="BG18" s="166"/>
    </row>
    <row r="19" spans="1:59" s="17" customFormat="1" ht="15.75" customHeight="1">
      <c r="A19" s="108">
        <v>45286</v>
      </c>
      <c r="B19" s="87" t="s">
        <v>37</v>
      </c>
      <c r="C19" s="89">
        <v>1</v>
      </c>
      <c r="D19" s="91" t="s">
        <v>38</v>
      </c>
      <c r="E19" s="89">
        <v>84212</v>
      </c>
      <c r="F19" s="89" t="s">
        <v>49</v>
      </c>
      <c r="G19" s="93" t="s">
        <v>63</v>
      </c>
      <c r="H19" s="89" t="s">
        <v>62</v>
      </c>
      <c r="I19" s="89">
        <v>2344</v>
      </c>
      <c r="J19" s="89">
        <v>2344</v>
      </c>
      <c r="K19" s="20">
        <v>71</v>
      </c>
      <c r="L19" s="20">
        <v>71</v>
      </c>
      <c r="M19" s="20">
        <v>21</v>
      </c>
      <c r="N19" s="146">
        <f>O20/L20</f>
        <v>0.82874617737003053</v>
      </c>
      <c r="O19" s="21">
        <f t="shared" si="0"/>
        <v>50</v>
      </c>
      <c r="P19" s="27">
        <v>79</v>
      </c>
      <c r="Q19" s="99">
        <f>+L20-P20</f>
        <v>95</v>
      </c>
      <c r="R19" s="108"/>
      <c r="S19" s="149"/>
      <c r="T19" s="149">
        <v>10</v>
      </c>
      <c r="U19" s="149"/>
      <c r="V19" s="149"/>
      <c r="W19" s="149"/>
      <c r="X19" s="149"/>
      <c r="Y19" s="149"/>
      <c r="Z19" s="149"/>
      <c r="AA19" s="149"/>
      <c r="AB19" s="149"/>
      <c r="AC19" s="149">
        <v>15</v>
      </c>
      <c r="AD19" s="149"/>
      <c r="AE19" s="149">
        <v>5</v>
      </c>
      <c r="AF19" s="149">
        <v>10</v>
      </c>
      <c r="AG19" s="149"/>
      <c r="AH19" s="149">
        <v>10</v>
      </c>
      <c r="AI19" s="149"/>
      <c r="AJ19" s="149"/>
      <c r="AK19" s="149"/>
      <c r="AL19" s="149"/>
      <c r="AM19" s="163"/>
      <c r="AN19" s="163"/>
      <c r="AO19" s="163"/>
      <c r="AP19" s="163"/>
      <c r="AQ19" s="163"/>
      <c r="AR19" s="163"/>
      <c r="AS19" s="163"/>
      <c r="AT19" s="163"/>
      <c r="AU19" s="163"/>
      <c r="AV19" s="163"/>
      <c r="AW19" s="163"/>
      <c r="AX19" s="163"/>
      <c r="AY19" s="167"/>
      <c r="AZ19" s="167"/>
      <c r="BA19" s="167"/>
      <c r="BB19" s="167"/>
      <c r="BC19" s="167"/>
      <c r="BD19" s="167"/>
      <c r="BE19" s="163"/>
      <c r="BF19" s="165"/>
      <c r="BG19" s="165"/>
    </row>
    <row r="20" spans="1:59" s="17" customFormat="1" ht="15.75" customHeight="1">
      <c r="A20" s="85"/>
      <c r="B20" s="88"/>
      <c r="C20" s="90"/>
      <c r="D20" s="92"/>
      <c r="E20" s="90"/>
      <c r="F20" s="90"/>
      <c r="G20" s="94"/>
      <c r="H20" s="90"/>
      <c r="I20" s="90"/>
      <c r="J20" s="90"/>
      <c r="K20" s="22">
        <f>102+90+70+80+97+60+84+71</f>
        <v>654</v>
      </c>
      <c r="L20" s="18">
        <f>32+110+120+80+97+60+84+71</f>
        <v>654</v>
      </c>
      <c r="M20" s="18">
        <f>20+20+10+17+24+21</f>
        <v>112</v>
      </c>
      <c r="N20" s="147"/>
      <c r="O20" s="19">
        <f t="shared" si="0"/>
        <v>542</v>
      </c>
      <c r="P20" s="22">
        <f>20+80+126+76+73+105+79</f>
        <v>559</v>
      </c>
      <c r="Q20" s="100"/>
      <c r="R20" s="85"/>
      <c r="S20" s="150"/>
      <c r="T20" s="150"/>
      <c r="U20" s="150"/>
      <c r="V20" s="150"/>
      <c r="W20" s="150"/>
      <c r="X20" s="150"/>
      <c r="Y20" s="150"/>
      <c r="Z20" s="150"/>
      <c r="AA20" s="150"/>
      <c r="AB20" s="150"/>
      <c r="AC20" s="150"/>
      <c r="AD20" s="150"/>
      <c r="AE20" s="150"/>
      <c r="AF20" s="150"/>
      <c r="AG20" s="150"/>
      <c r="AH20" s="150"/>
      <c r="AI20" s="150"/>
      <c r="AJ20" s="150"/>
      <c r="AK20" s="150"/>
      <c r="AL20" s="150"/>
      <c r="AM20" s="164"/>
      <c r="AN20" s="164"/>
      <c r="AO20" s="164"/>
      <c r="AP20" s="164"/>
      <c r="AQ20" s="164"/>
      <c r="AR20" s="164"/>
      <c r="AS20" s="164"/>
      <c r="AT20" s="164"/>
      <c r="AU20" s="164"/>
      <c r="AV20" s="164"/>
      <c r="AW20" s="164"/>
      <c r="AX20" s="164"/>
      <c r="AY20" s="168"/>
      <c r="AZ20" s="168"/>
      <c r="BA20" s="168"/>
      <c r="BB20" s="168"/>
      <c r="BC20" s="168"/>
      <c r="BD20" s="168"/>
      <c r="BE20" s="164"/>
      <c r="BF20" s="166"/>
      <c r="BG20" s="166"/>
    </row>
    <row r="21" spans="1:59" s="17" customFormat="1" ht="15.75" customHeight="1">
      <c r="A21" s="108">
        <v>45286</v>
      </c>
      <c r="B21" s="87" t="s">
        <v>37</v>
      </c>
      <c r="C21" s="89">
        <v>1</v>
      </c>
      <c r="D21" s="91" t="s">
        <v>38</v>
      </c>
      <c r="E21" s="89">
        <v>84212</v>
      </c>
      <c r="F21" s="89" t="s">
        <v>49</v>
      </c>
      <c r="G21" s="93" t="s">
        <v>63</v>
      </c>
      <c r="H21" s="89" t="s">
        <v>41</v>
      </c>
      <c r="I21" s="89">
        <v>1732</v>
      </c>
      <c r="J21" s="89">
        <v>1732</v>
      </c>
      <c r="K21" s="20">
        <v>220</v>
      </c>
      <c r="L21" s="20">
        <v>170</v>
      </c>
      <c r="M21" s="20">
        <v>80</v>
      </c>
      <c r="N21" s="146">
        <f>O22/L22</f>
        <v>0.5490196078431373</v>
      </c>
      <c r="O21" s="21">
        <f t="shared" si="0"/>
        <v>90</v>
      </c>
      <c r="P21" s="27">
        <v>124</v>
      </c>
      <c r="Q21" s="99">
        <f>+L22-P22</f>
        <v>236</v>
      </c>
      <c r="R21" s="108"/>
      <c r="S21" s="149"/>
      <c r="T21" s="149">
        <v>14</v>
      </c>
      <c r="U21" s="149"/>
      <c r="V21" s="149"/>
      <c r="W21" s="149"/>
      <c r="X21" s="149">
        <v>4</v>
      </c>
      <c r="Y21" s="149"/>
      <c r="Z21" s="149"/>
      <c r="AA21" s="149"/>
      <c r="AB21" s="149"/>
      <c r="AC21" s="149">
        <v>12</v>
      </c>
      <c r="AD21" s="149">
        <v>6</v>
      </c>
      <c r="AE21" s="149">
        <v>5</v>
      </c>
      <c r="AF21" s="149">
        <v>16</v>
      </c>
      <c r="AG21" s="149">
        <v>12</v>
      </c>
      <c r="AH21" s="149">
        <v>12</v>
      </c>
      <c r="AI21" s="149"/>
      <c r="AJ21" s="149"/>
      <c r="AK21" s="149"/>
      <c r="AL21" s="149">
        <v>9</v>
      </c>
      <c r="AM21" s="163"/>
      <c r="AN21" s="163"/>
      <c r="AO21" s="163"/>
      <c r="AP21" s="163"/>
      <c r="AQ21" s="163"/>
      <c r="AR21" s="163"/>
      <c r="AS21" s="163"/>
      <c r="AT21" s="163"/>
      <c r="AU21" s="163"/>
      <c r="AV21" s="163"/>
      <c r="AW21" s="163"/>
      <c r="AX21" s="163"/>
      <c r="AY21" s="167"/>
      <c r="AZ21" s="167"/>
      <c r="BA21" s="167"/>
      <c r="BB21" s="167"/>
      <c r="BC21" s="167"/>
      <c r="BD21" s="167"/>
      <c r="BE21" s="163"/>
      <c r="BF21" s="165"/>
      <c r="BG21" s="165"/>
    </row>
    <row r="22" spans="1:59" s="17" customFormat="1" ht="15.75" customHeight="1">
      <c r="A22" s="85"/>
      <c r="B22" s="88"/>
      <c r="C22" s="90"/>
      <c r="D22" s="92"/>
      <c r="E22" s="90"/>
      <c r="F22" s="90"/>
      <c r="G22" s="94"/>
      <c r="H22" s="90"/>
      <c r="I22" s="90"/>
      <c r="J22" s="90"/>
      <c r="K22" s="22">
        <f>120+210+73+220</f>
        <v>623</v>
      </c>
      <c r="L22" s="18">
        <f>40+160+140+170</f>
        <v>510</v>
      </c>
      <c r="M22" s="18">
        <f>10+70+70+80</f>
        <v>230</v>
      </c>
      <c r="N22" s="147"/>
      <c r="O22" s="19">
        <f t="shared" si="0"/>
        <v>280</v>
      </c>
      <c r="P22" s="22">
        <f>10+70+70+124</f>
        <v>274</v>
      </c>
      <c r="Q22" s="100"/>
      <c r="R22" s="85"/>
      <c r="S22" s="150"/>
      <c r="T22" s="150"/>
      <c r="U22" s="150"/>
      <c r="V22" s="150"/>
      <c r="W22" s="150"/>
      <c r="X22" s="150"/>
      <c r="Y22" s="150"/>
      <c r="Z22" s="150"/>
      <c r="AA22" s="150"/>
      <c r="AB22" s="150"/>
      <c r="AC22" s="150"/>
      <c r="AD22" s="150"/>
      <c r="AE22" s="150"/>
      <c r="AF22" s="150"/>
      <c r="AG22" s="150"/>
      <c r="AH22" s="150"/>
      <c r="AI22" s="150"/>
      <c r="AJ22" s="150"/>
      <c r="AK22" s="150"/>
      <c r="AL22" s="150"/>
      <c r="AM22" s="164"/>
      <c r="AN22" s="164"/>
      <c r="AO22" s="164"/>
      <c r="AP22" s="164"/>
      <c r="AQ22" s="164"/>
      <c r="AR22" s="164"/>
      <c r="AS22" s="164"/>
      <c r="AT22" s="164"/>
      <c r="AU22" s="164"/>
      <c r="AV22" s="164"/>
      <c r="AW22" s="164"/>
      <c r="AX22" s="164"/>
      <c r="AY22" s="168"/>
      <c r="AZ22" s="168"/>
      <c r="BA22" s="168"/>
      <c r="BB22" s="168"/>
      <c r="BC22" s="168"/>
      <c r="BD22" s="168"/>
      <c r="BE22" s="164"/>
      <c r="BF22" s="166"/>
      <c r="BG22" s="166"/>
    </row>
    <row r="23" spans="1:59" s="17" customFormat="1" ht="15.75" customHeight="1">
      <c r="A23" s="108">
        <v>45286</v>
      </c>
      <c r="B23" s="87" t="s">
        <v>37</v>
      </c>
      <c r="C23" s="89">
        <v>1</v>
      </c>
      <c r="D23" s="91" t="s">
        <v>38</v>
      </c>
      <c r="E23" s="89">
        <v>84212</v>
      </c>
      <c r="F23" s="89" t="s">
        <v>49</v>
      </c>
      <c r="G23" s="93" t="s">
        <v>63</v>
      </c>
      <c r="H23" s="89" t="s">
        <v>65</v>
      </c>
      <c r="I23" s="89">
        <v>532</v>
      </c>
      <c r="J23" s="89">
        <v>532</v>
      </c>
      <c r="K23" s="20">
        <v>92</v>
      </c>
      <c r="L23" s="20">
        <v>75</v>
      </c>
      <c r="M23" s="20">
        <v>35</v>
      </c>
      <c r="N23" s="146">
        <f>O24/L24</f>
        <v>0.43478260869565216</v>
      </c>
      <c r="O23" s="21">
        <f t="shared" si="0"/>
        <v>40</v>
      </c>
      <c r="P23" s="27">
        <v>35</v>
      </c>
      <c r="Q23" s="99">
        <f>+L24-P24</f>
        <v>50</v>
      </c>
      <c r="R23" s="108"/>
      <c r="S23" s="149"/>
      <c r="T23" s="149">
        <v>20</v>
      </c>
      <c r="U23" s="149">
        <v>3</v>
      </c>
      <c r="V23" s="149"/>
      <c r="W23" s="149"/>
      <c r="X23" s="149"/>
      <c r="Y23" s="149"/>
      <c r="Z23" s="149"/>
      <c r="AA23" s="149"/>
      <c r="AB23" s="149"/>
      <c r="AC23" s="149">
        <v>3</v>
      </c>
      <c r="AD23" s="149"/>
      <c r="AE23" s="149"/>
      <c r="AF23" s="149"/>
      <c r="AG23" s="149">
        <v>5</v>
      </c>
      <c r="AH23" s="149">
        <v>9</v>
      </c>
      <c r="AI23" s="149"/>
      <c r="AJ23" s="149"/>
      <c r="AK23" s="149"/>
      <c r="AL23" s="149"/>
      <c r="AM23" s="163"/>
      <c r="AN23" s="163"/>
      <c r="AO23" s="163"/>
      <c r="AP23" s="163"/>
      <c r="AQ23" s="163"/>
      <c r="AR23" s="163"/>
      <c r="AS23" s="163"/>
      <c r="AT23" s="163"/>
      <c r="AU23" s="163"/>
      <c r="AV23" s="163"/>
      <c r="AW23" s="163"/>
      <c r="AX23" s="163"/>
      <c r="AY23" s="167"/>
      <c r="AZ23" s="167"/>
      <c r="BA23" s="167"/>
      <c r="BB23" s="167"/>
      <c r="BC23" s="167"/>
      <c r="BD23" s="167"/>
      <c r="BE23" s="163"/>
      <c r="BF23" s="165"/>
      <c r="BG23" s="165"/>
    </row>
    <row r="24" spans="1:59" s="17" customFormat="1" ht="15.75" customHeight="1">
      <c r="A24" s="85"/>
      <c r="B24" s="88"/>
      <c r="C24" s="90"/>
      <c r="D24" s="92"/>
      <c r="E24" s="90"/>
      <c r="F24" s="90"/>
      <c r="G24" s="94"/>
      <c r="H24" s="90"/>
      <c r="I24" s="90"/>
      <c r="J24" s="90"/>
      <c r="K24" s="22">
        <f>60+92</f>
        <v>152</v>
      </c>
      <c r="L24" s="18">
        <f>40+75</f>
        <v>115</v>
      </c>
      <c r="M24" s="18">
        <f>30+35</f>
        <v>65</v>
      </c>
      <c r="N24" s="147"/>
      <c r="O24" s="19">
        <f t="shared" si="0"/>
        <v>50</v>
      </c>
      <c r="P24" s="22">
        <f>30+35</f>
        <v>65</v>
      </c>
      <c r="Q24" s="100"/>
      <c r="R24" s="85"/>
      <c r="S24" s="150"/>
      <c r="T24" s="150"/>
      <c r="U24" s="150"/>
      <c r="V24" s="150"/>
      <c r="W24" s="150"/>
      <c r="X24" s="150"/>
      <c r="Y24" s="150"/>
      <c r="Z24" s="150"/>
      <c r="AA24" s="150"/>
      <c r="AB24" s="150"/>
      <c r="AC24" s="150"/>
      <c r="AD24" s="150"/>
      <c r="AE24" s="150"/>
      <c r="AF24" s="150"/>
      <c r="AG24" s="150"/>
      <c r="AH24" s="150"/>
      <c r="AI24" s="150"/>
      <c r="AJ24" s="150"/>
      <c r="AK24" s="150"/>
      <c r="AL24" s="150"/>
      <c r="AM24" s="164"/>
      <c r="AN24" s="164"/>
      <c r="AO24" s="164"/>
      <c r="AP24" s="164"/>
      <c r="AQ24" s="164"/>
      <c r="AR24" s="164"/>
      <c r="AS24" s="164"/>
      <c r="AT24" s="164"/>
      <c r="AU24" s="164"/>
      <c r="AV24" s="164"/>
      <c r="AW24" s="164"/>
      <c r="AX24" s="164"/>
      <c r="AY24" s="168"/>
      <c r="AZ24" s="168"/>
      <c r="BA24" s="168"/>
      <c r="BB24" s="168"/>
      <c r="BC24" s="168"/>
      <c r="BD24" s="168"/>
      <c r="BE24" s="164"/>
      <c r="BF24" s="166"/>
      <c r="BG24" s="166"/>
    </row>
    <row r="25" spans="1:59" s="17" customFormat="1" ht="15.75" customHeight="1">
      <c r="A25" s="108">
        <v>45286</v>
      </c>
      <c r="B25" s="87" t="s">
        <v>37</v>
      </c>
      <c r="C25" s="89">
        <v>1</v>
      </c>
      <c r="D25" s="91" t="s">
        <v>38</v>
      </c>
      <c r="E25" s="89">
        <v>84426</v>
      </c>
      <c r="F25" s="89" t="s">
        <v>49</v>
      </c>
      <c r="G25" s="93" t="s">
        <v>55</v>
      </c>
      <c r="H25" s="90" t="s">
        <v>58</v>
      </c>
      <c r="I25" s="90">
        <v>549</v>
      </c>
      <c r="J25" s="90">
        <v>549</v>
      </c>
      <c r="K25" s="20">
        <v>0</v>
      </c>
      <c r="L25" s="20">
        <v>0</v>
      </c>
      <c r="M25" s="20">
        <v>0</v>
      </c>
      <c r="N25" s="97">
        <f>O26/L26</f>
        <v>0.81238615664845171</v>
      </c>
      <c r="O25" s="21">
        <f t="shared" si="0"/>
        <v>0</v>
      </c>
      <c r="P25" s="27">
        <v>0</v>
      </c>
      <c r="Q25" s="99">
        <f>+L26-P26</f>
        <v>3</v>
      </c>
      <c r="R25" s="108"/>
      <c r="S25" s="96"/>
      <c r="T25" s="96"/>
      <c r="U25" s="96"/>
      <c r="V25" s="96"/>
      <c r="W25" s="96"/>
      <c r="X25" s="96"/>
      <c r="Y25" s="96"/>
      <c r="Z25" s="96"/>
      <c r="AA25" s="96"/>
      <c r="AB25" s="96"/>
      <c r="AC25" s="96"/>
      <c r="AD25" s="96"/>
      <c r="AE25" s="96"/>
      <c r="AF25" s="96"/>
      <c r="AG25" s="96"/>
      <c r="AH25" s="96"/>
      <c r="AI25" s="96"/>
      <c r="AJ25" s="96"/>
      <c r="AK25" s="96"/>
      <c r="AL25" s="96"/>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5"/>
      <c r="B26" s="88"/>
      <c r="C26" s="90"/>
      <c r="D26" s="92"/>
      <c r="E26" s="90"/>
      <c r="F26" s="90"/>
      <c r="G26" s="94"/>
      <c r="H26" s="95"/>
      <c r="I26" s="95"/>
      <c r="J26" s="95"/>
      <c r="K26" s="49">
        <f>483+66</f>
        <v>549</v>
      </c>
      <c r="L26" s="18">
        <f>483+66</f>
        <v>549</v>
      </c>
      <c r="M26" s="18">
        <f>86+17</f>
        <v>103</v>
      </c>
      <c r="N26" s="98"/>
      <c r="O26" s="19">
        <f t="shared" si="0"/>
        <v>446</v>
      </c>
      <c r="P26" s="22">
        <f>453+80+11+2</f>
        <v>546</v>
      </c>
      <c r="Q26" s="100"/>
      <c r="R26" s="85"/>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108">
        <v>45286</v>
      </c>
      <c r="B27" s="87" t="s">
        <v>37</v>
      </c>
      <c r="C27" s="89">
        <v>1</v>
      </c>
      <c r="D27" s="91" t="s">
        <v>38</v>
      </c>
      <c r="E27" s="89">
        <v>84352</v>
      </c>
      <c r="F27" s="89" t="s">
        <v>49</v>
      </c>
      <c r="G27" s="93" t="s">
        <v>55</v>
      </c>
      <c r="H27" s="109" t="s">
        <v>39</v>
      </c>
      <c r="I27" s="90">
        <v>1050</v>
      </c>
      <c r="J27" s="170">
        <v>1053</v>
      </c>
      <c r="K27" s="43">
        <v>0</v>
      </c>
      <c r="L27" s="48">
        <v>0</v>
      </c>
      <c r="M27" s="20">
        <v>0</v>
      </c>
      <c r="N27" s="97">
        <f>O28/L28</f>
        <v>0.64230769230769236</v>
      </c>
      <c r="O27" s="21">
        <f t="shared" si="0"/>
        <v>0</v>
      </c>
      <c r="P27" s="27">
        <v>0</v>
      </c>
      <c r="Q27" s="99">
        <f>+L28-P28</f>
        <v>0</v>
      </c>
      <c r="R27" s="85"/>
      <c r="S27" s="96"/>
      <c r="T27" s="96"/>
      <c r="U27" s="96"/>
      <c r="V27" s="96"/>
      <c r="W27" s="96"/>
      <c r="X27" s="96"/>
      <c r="Y27" s="96"/>
      <c r="Z27" s="96"/>
      <c r="AA27" s="96"/>
      <c r="AB27" s="96"/>
      <c r="AC27" s="96"/>
      <c r="AD27" s="96"/>
      <c r="AE27" s="96"/>
      <c r="AF27" s="96"/>
      <c r="AG27" s="96"/>
      <c r="AH27" s="96"/>
      <c r="AI27" s="96"/>
      <c r="AJ27" s="96"/>
      <c r="AK27" s="96"/>
      <c r="AL27" s="96"/>
      <c r="AM27" s="103"/>
      <c r="AN27" s="103"/>
      <c r="AO27" s="103"/>
      <c r="AP27" s="103"/>
      <c r="AQ27" s="103"/>
      <c r="AR27" s="103"/>
      <c r="AS27" s="103"/>
      <c r="AT27" s="103"/>
      <c r="AU27" s="103"/>
      <c r="AV27" s="103"/>
      <c r="AW27" s="103"/>
      <c r="AX27" s="103"/>
      <c r="AY27" s="106"/>
      <c r="AZ27" s="106"/>
      <c r="BA27" s="106"/>
      <c r="BB27" s="106"/>
      <c r="BC27" s="106"/>
      <c r="BD27" s="106"/>
      <c r="BE27" s="103"/>
      <c r="BF27" s="104"/>
      <c r="BG27" s="104"/>
    </row>
    <row r="28" spans="1:59" s="17" customFormat="1" ht="15.75" customHeight="1">
      <c r="A28" s="85"/>
      <c r="B28" s="88"/>
      <c r="C28" s="90"/>
      <c r="D28" s="92"/>
      <c r="E28" s="90"/>
      <c r="F28" s="90"/>
      <c r="G28" s="94"/>
      <c r="H28" s="95"/>
      <c r="I28" s="95"/>
      <c r="J28" s="171"/>
      <c r="K28" s="47">
        <f>320+108+237+109+43+100+35+68+20</f>
        <v>1040</v>
      </c>
      <c r="L28" s="46">
        <f>10+10+10+235+60+10+150+85+185+102+40+95+28+20</f>
        <v>1040</v>
      </c>
      <c r="M28" s="18">
        <f>75+30+45+42+80+30+8+40+13+9</f>
        <v>372</v>
      </c>
      <c r="N28" s="98"/>
      <c r="O28" s="19">
        <f t="shared" si="0"/>
        <v>668</v>
      </c>
      <c r="P28" s="22">
        <f>105+70+80+92+96+70+74+165+91+21+40+50+46+20+9+11</f>
        <v>1040</v>
      </c>
      <c r="Q28" s="100"/>
      <c r="R28" s="86"/>
      <c r="S28" s="96"/>
      <c r="T28" s="96"/>
      <c r="U28" s="96"/>
      <c r="V28" s="96"/>
      <c r="W28" s="96"/>
      <c r="X28" s="96"/>
      <c r="Y28" s="96"/>
      <c r="Z28" s="96"/>
      <c r="AA28" s="96"/>
      <c r="AB28" s="96"/>
      <c r="AC28" s="96"/>
      <c r="AD28" s="96"/>
      <c r="AE28" s="96"/>
      <c r="AF28" s="96"/>
      <c r="AG28" s="96"/>
      <c r="AH28" s="96"/>
      <c r="AI28" s="96"/>
      <c r="AJ28" s="96"/>
      <c r="AK28" s="96"/>
      <c r="AL28" s="96"/>
      <c r="AM28" s="103"/>
      <c r="AN28" s="103"/>
      <c r="AO28" s="103"/>
      <c r="AP28" s="103"/>
      <c r="AQ28" s="103"/>
      <c r="AR28" s="103"/>
      <c r="AS28" s="103"/>
      <c r="AT28" s="103"/>
      <c r="AU28" s="103"/>
      <c r="AV28" s="103"/>
      <c r="AW28" s="103"/>
      <c r="AX28" s="103"/>
      <c r="AY28" s="107"/>
      <c r="AZ28" s="107"/>
      <c r="BA28" s="107"/>
      <c r="BB28" s="107"/>
      <c r="BC28" s="107"/>
      <c r="BD28" s="107"/>
      <c r="BE28" s="103"/>
      <c r="BF28" s="105"/>
      <c r="BG28" s="105"/>
    </row>
    <row r="29" spans="1:59" s="17" customFormat="1" ht="15.75" customHeight="1">
      <c r="A29" s="108">
        <v>45286</v>
      </c>
      <c r="B29" s="87" t="s">
        <v>37</v>
      </c>
      <c r="C29" s="89">
        <v>1</v>
      </c>
      <c r="D29" s="91" t="s">
        <v>38</v>
      </c>
      <c r="E29" s="89">
        <v>84031</v>
      </c>
      <c r="F29" s="89" t="s">
        <v>49</v>
      </c>
      <c r="G29" s="93" t="s">
        <v>53</v>
      </c>
      <c r="H29" s="90" t="s">
        <v>57</v>
      </c>
      <c r="I29" s="90">
        <v>563</v>
      </c>
      <c r="J29" s="90">
        <v>563</v>
      </c>
      <c r="K29" s="43">
        <v>0</v>
      </c>
      <c r="L29" s="20">
        <v>0</v>
      </c>
      <c r="M29" s="20">
        <v>0</v>
      </c>
      <c r="N29" s="97">
        <f>O30/L30</f>
        <v>0.85343228200371057</v>
      </c>
      <c r="O29" s="21">
        <f t="shared" si="0"/>
        <v>0</v>
      </c>
      <c r="P29" s="27">
        <v>0</v>
      </c>
      <c r="Q29" s="99">
        <f>+L30-P30</f>
        <v>0</v>
      </c>
      <c r="R29" s="85" t="s">
        <v>86</v>
      </c>
      <c r="S29" s="96"/>
      <c r="T29" s="96"/>
      <c r="U29" s="96"/>
      <c r="V29" s="96"/>
      <c r="W29" s="96"/>
      <c r="X29" s="96"/>
      <c r="Y29" s="96"/>
      <c r="Z29" s="96"/>
      <c r="AA29" s="96"/>
      <c r="AB29" s="96"/>
      <c r="AC29" s="96"/>
      <c r="AD29" s="96"/>
      <c r="AE29" s="96"/>
      <c r="AF29" s="96"/>
      <c r="AG29" s="96"/>
      <c r="AH29" s="96"/>
      <c r="AI29" s="96"/>
      <c r="AJ29" s="96"/>
      <c r="AK29" s="96"/>
      <c r="AL29" s="96"/>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5"/>
      <c r="B30" s="88"/>
      <c r="C30" s="90"/>
      <c r="D30" s="92"/>
      <c r="E30" s="90"/>
      <c r="F30" s="90"/>
      <c r="G30" s="94"/>
      <c r="H30" s="95"/>
      <c r="I30" s="95"/>
      <c r="J30" s="95"/>
      <c r="K30" s="22">
        <f>516+20+3</f>
        <v>539</v>
      </c>
      <c r="L30" s="18">
        <f>516+20+3</f>
        <v>539</v>
      </c>
      <c r="M30" s="18">
        <f>74+2+3</f>
        <v>79</v>
      </c>
      <c r="N30" s="98"/>
      <c r="O30" s="19">
        <f t="shared" si="0"/>
        <v>460</v>
      </c>
      <c r="P30" s="22">
        <f>516+20+3</f>
        <v>539</v>
      </c>
      <c r="Q30" s="100"/>
      <c r="R30" s="86"/>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108">
        <v>45286</v>
      </c>
      <c r="B31" s="87" t="s">
        <v>37</v>
      </c>
      <c r="C31" s="89">
        <v>1</v>
      </c>
      <c r="D31" s="91" t="s">
        <v>38</v>
      </c>
      <c r="E31" s="89">
        <v>84031</v>
      </c>
      <c r="F31" s="89" t="s">
        <v>49</v>
      </c>
      <c r="G31" s="93" t="s">
        <v>53</v>
      </c>
      <c r="H31" s="90" t="s">
        <v>39</v>
      </c>
      <c r="I31" s="90">
        <v>623</v>
      </c>
      <c r="J31" s="90">
        <v>623</v>
      </c>
      <c r="K31" s="20">
        <v>0</v>
      </c>
      <c r="L31" s="20">
        <v>0</v>
      </c>
      <c r="M31" s="20">
        <v>0</v>
      </c>
      <c r="N31" s="97">
        <f>O32/L32</f>
        <v>0.79710144927536231</v>
      </c>
      <c r="O31" s="21">
        <f t="shared" si="0"/>
        <v>0</v>
      </c>
      <c r="P31" s="27">
        <v>0</v>
      </c>
      <c r="Q31" s="99">
        <f>+L32-P32</f>
        <v>0</v>
      </c>
      <c r="R31" s="85" t="s">
        <v>86</v>
      </c>
      <c r="S31" s="96"/>
      <c r="T31" s="96"/>
      <c r="U31" s="96"/>
      <c r="V31" s="96"/>
      <c r="W31" s="96"/>
      <c r="X31" s="96"/>
      <c r="Y31" s="96"/>
      <c r="Z31" s="96"/>
      <c r="AA31" s="96"/>
      <c r="AB31" s="96"/>
      <c r="AC31" s="96"/>
      <c r="AD31" s="96"/>
      <c r="AE31" s="96"/>
      <c r="AF31" s="96"/>
      <c r="AG31" s="96"/>
      <c r="AH31" s="96"/>
      <c r="AI31" s="96"/>
      <c r="AJ31" s="96"/>
      <c r="AK31" s="96"/>
      <c r="AL31" s="96"/>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22">
        <f>574+9+30+5+3</f>
        <v>621</v>
      </c>
      <c r="L32" s="18">
        <f>574+9+30+5+3</f>
        <v>621</v>
      </c>
      <c r="M32" s="18">
        <f>109+9+5+3</f>
        <v>126</v>
      </c>
      <c r="N32" s="98"/>
      <c r="O32" s="19">
        <f t="shared" si="0"/>
        <v>495</v>
      </c>
      <c r="P32" s="22">
        <f>574+9+30+5+3</f>
        <v>621</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45286</v>
      </c>
      <c r="B33" s="87" t="s">
        <v>37</v>
      </c>
      <c r="C33" s="89">
        <v>1</v>
      </c>
      <c r="D33" s="91" t="s">
        <v>77</v>
      </c>
      <c r="E33" s="89">
        <v>20785</v>
      </c>
      <c r="F33" s="89" t="s">
        <v>76</v>
      </c>
      <c r="G33" s="93" t="s">
        <v>71</v>
      </c>
      <c r="H33" s="90" t="s">
        <v>70</v>
      </c>
      <c r="I33" s="90">
        <v>1475</v>
      </c>
      <c r="J33" s="90">
        <v>1475</v>
      </c>
      <c r="K33" s="20">
        <v>22</v>
      </c>
      <c r="L33" s="20">
        <v>22</v>
      </c>
      <c r="M33" s="20">
        <v>0</v>
      </c>
      <c r="N33" s="97">
        <f>O34/L34</f>
        <v>0.83954154727793695</v>
      </c>
      <c r="O33" s="21">
        <f t="shared" si="0"/>
        <v>22</v>
      </c>
      <c r="P33" s="27">
        <v>24</v>
      </c>
      <c r="Q33" s="99">
        <f>+L34-P34</f>
        <v>50</v>
      </c>
      <c r="R33" s="85"/>
      <c r="S33" s="96">
        <v>2</v>
      </c>
      <c r="T33" s="96"/>
      <c r="U33" s="96"/>
      <c r="V33" s="96"/>
      <c r="W33" s="96"/>
      <c r="X33" s="96">
        <v>3</v>
      </c>
      <c r="Y33" s="96"/>
      <c r="Z33" s="96"/>
      <c r="AA33" s="96"/>
      <c r="AB33" s="96"/>
      <c r="AC33" s="96">
        <v>5</v>
      </c>
      <c r="AD33" s="96"/>
      <c r="AE33" s="96">
        <v>1</v>
      </c>
      <c r="AF33" s="96">
        <v>3</v>
      </c>
      <c r="AG33" s="96">
        <v>4</v>
      </c>
      <c r="AH33" s="96">
        <v>4</v>
      </c>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22">
        <f>26+20+20+15+15+29+64+22+41+75+22</f>
        <v>349</v>
      </c>
      <c r="L34" s="18">
        <f>26+10+30+15+15+29+64+22+41+75+22</f>
        <v>349</v>
      </c>
      <c r="M34" s="18">
        <f>9+14+6+4+23</f>
        <v>56</v>
      </c>
      <c r="N34" s="98"/>
      <c r="O34" s="19">
        <f t="shared" si="0"/>
        <v>293</v>
      </c>
      <c r="P34" s="22">
        <f>10+10+6+5+20+15+14+16+9+44+20+23+83+24</f>
        <v>299</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45286</v>
      </c>
      <c r="B35" s="87" t="s">
        <v>37</v>
      </c>
      <c r="C35" s="89">
        <v>1</v>
      </c>
      <c r="D35" s="91" t="s">
        <v>77</v>
      </c>
      <c r="E35" s="89">
        <v>20785</v>
      </c>
      <c r="F35" s="89" t="s">
        <v>76</v>
      </c>
      <c r="G35" s="93" t="s">
        <v>71</v>
      </c>
      <c r="H35" s="90" t="s">
        <v>75</v>
      </c>
      <c r="I35" s="90">
        <v>501</v>
      </c>
      <c r="J35" s="90">
        <v>501</v>
      </c>
      <c r="K35" s="20">
        <v>0</v>
      </c>
      <c r="L35" s="20">
        <v>0</v>
      </c>
      <c r="M35" s="20">
        <v>0</v>
      </c>
      <c r="N35" s="97">
        <f>O36/L36</f>
        <v>0.9358974358974359</v>
      </c>
      <c r="O35" s="21">
        <f t="shared" si="0"/>
        <v>0</v>
      </c>
      <c r="P35" s="27">
        <v>0</v>
      </c>
      <c r="Q35" s="99">
        <f>+L36-P36</f>
        <v>0</v>
      </c>
      <c r="R35" s="85"/>
      <c r="S35" s="96"/>
      <c r="T35" s="96"/>
      <c r="U35" s="96"/>
      <c r="V35" s="96"/>
      <c r="W35" s="96"/>
      <c r="X35" s="96"/>
      <c r="Y35" s="96"/>
      <c r="Z35" s="96"/>
      <c r="AA35" s="96"/>
      <c r="AB35" s="96"/>
      <c r="AC35" s="96"/>
      <c r="AD35" s="96"/>
      <c r="AE35" s="96"/>
      <c r="AF35" s="96"/>
      <c r="AG35" s="96"/>
      <c r="AH35" s="96"/>
      <c r="AI35" s="96"/>
      <c r="AJ35" s="96"/>
      <c r="AK35" s="96"/>
      <c r="AL35" s="96"/>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24+31+23</f>
        <v>78</v>
      </c>
      <c r="L36" s="18">
        <f>10+45+5+18</f>
        <v>78</v>
      </c>
      <c r="M36" s="18">
        <f>5</f>
        <v>5</v>
      </c>
      <c r="N36" s="98"/>
      <c r="O36" s="19">
        <f t="shared" si="0"/>
        <v>73</v>
      </c>
      <c r="P36" s="22">
        <f>5+15+58</f>
        <v>78</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45286</v>
      </c>
      <c r="B37" s="87" t="s">
        <v>37</v>
      </c>
      <c r="C37" s="89">
        <v>1</v>
      </c>
      <c r="D37" s="91" t="s">
        <v>77</v>
      </c>
      <c r="E37" s="89">
        <v>20785</v>
      </c>
      <c r="F37" s="89" t="s">
        <v>76</v>
      </c>
      <c r="G37" s="93" t="s">
        <v>71</v>
      </c>
      <c r="H37" s="90" t="s">
        <v>79</v>
      </c>
      <c r="I37" s="90">
        <v>826</v>
      </c>
      <c r="J37" s="90">
        <v>826</v>
      </c>
      <c r="K37" s="20">
        <v>57</v>
      </c>
      <c r="L37" s="20">
        <v>57</v>
      </c>
      <c r="M37" s="20">
        <v>5</v>
      </c>
      <c r="N37" s="97">
        <f>O38/L38</f>
        <v>0.86937590711175616</v>
      </c>
      <c r="O37" s="21">
        <f t="shared" si="0"/>
        <v>52</v>
      </c>
      <c r="P37" s="27">
        <v>97</v>
      </c>
      <c r="Q37" s="99">
        <f>+L38-P38</f>
        <v>170</v>
      </c>
      <c r="R37" s="85"/>
      <c r="S37" s="96"/>
      <c r="T37" s="96">
        <v>10</v>
      </c>
      <c r="U37" s="96"/>
      <c r="V37" s="96"/>
      <c r="W37" s="96"/>
      <c r="X37" s="96"/>
      <c r="Y37" s="96"/>
      <c r="Z37" s="96"/>
      <c r="AA37" s="96"/>
      <c r="AB37" s="96"/>
      <c r="AC37" s="96">
        <v>8</v>
      </c>
      <c r="AD37" s="96"/>
      <c r="AE37" s="96">
        <v>2</v>
      </c>
      <c r="AF37" s="96"/>
      <c r="AG37" s="96"/>
      <c r="AH37" s="96">
        <v>19</v>
      </c>
      <c r="AI37" s="96"/>
      <c r="AJ37" s="96">
        <v>6</v>
      </c>
      <c r="AK37" s="96"/>
      <c r="AL37" s="96">
        <v>7</v>
      </c>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8+32+48+44+34+38+20+74+44+77+59+87+67+57</f>
        <v>689</v>
      </c>
      <c r="L38" s="18">
        <f>7+30+45+50+45+47+50+44+70+90+87+67+57</f>
        <v>689</v>
      </c>
      <c r="M38" s="18">
        <f>3+10+5+10+8+5+10+20+7+7+5</f>
        <v>90</v>
      </c>
      <c r="N38" s="98"/>
      <c r="O38" s="19">
        <f t="shared" si="0"/>
        <v>599</v>
      </c>
      <c r="P38" s="22">
        <f>3+10+12+30+25+114+20+37+30+84+25+32+97</f>
        <v>519</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ht="24.75" customHeight="1">
      <c r="A39" s="111" t="s">
        <v>15</v>
      </c>
      <c r="B39" s="112"/>
      <c r="C39" s="112"/>
      <c r="D39" s="112"/>
      <c r="E39" s="112"/>
      <c r="F39" s="112"/>
      <c r="G39" s="112"/>
      <c r="H39" s="112"/>
      <c r="I39" s="113"/>
      <c r="J39" s="5">
        <f>SUM(J5:J38)</f>
        <v>23392</v>
      </c>
      <c r="K39" s="5">
        <f>+SUMPRODUCT(((MOD(ROW(K5:K38),2)=1)*(K5:K38)))</f>
        <v>1037</v>
      </c>
      <c r="L39" s="5">
        <f>+SUMPRODUCT(((MOD(ROW(L5:L38),2)=1)*(L5:L38)))</f>
        <v>785</v>
      </c>
      <c r="M39" s="5">
        <f>+SUMPRODUCT(((MOD(ROW(M5:M38),2)=1)*(M5:M38)))</f>
        <v>291</v>
      </c>
      <c r="N39" s="23">
        <f>O39/L39</f>
        <v>0.62929936305732481</v>
      </c>
      <c r="O39" s="5">
        <f>+SUMPRODUCT(((MOD(ROW(O5:O38),2)=1)*(O5:O38)))</f>
        <v>494</v>
      </c>
      <c r="P39" s="5">
        <f>+SUMPRODUCT(((MOD(ROW(P5:P38),2)=1)*(P5:P38)))</f>
        <v>837</v>
      </c>
      <c r="Q39" s="5">
        <f>+SUMPRODUCT(((MOD(ROW(Q5:Q38),2)=1)*(Q5:Q38)))</f>
        <v>1111</v>
      </c>
      <c r="R39" s="69"/>
      <c r="S39" s="68">
        <f t="shared" ref="S39:BG39" si="1">SUM(S5:S38)</f>
        <v>23</v>
      </c>
      <c r="T39" s="68">
        <f t="shared" si="1"/>
        <v>122</v>
      </c>
      <c r="U39" s="68">
        <f t="shared" si="1"/>
        <v>11</v>
      </c>
      <c r="V39" s="68">
        <f t="shared" si="1"/>
        <v>0</v>
      </c>
      <c r="W39" s="68">
        <f t="shared" si="1"/>
        <v>0</v>
      </c>
      <c r="X39" s="68">
        <f t="shared" si="1"/>
        <v>12</v>
      </c>
      <c r="Y39" s="5">
        <f t="shared" si="1"/>
        <v>0</v>
      </c>
      <c r="Z39" s="5">
        <f t="shared" si="1"/>
        <v>12</v>
      </c>
      <c r="AA39" s="5">
        <f t="shared" si="1"/>
        <v>0</v>
      </c>
      <c r="AB39" s="5">
        <f t="shared" si="1"/>
        <v>0</v>
      </c>
      <c r="AC39" s="5">
        <f t="shared" si="1"/>
        <v>77</v>
      </c>
      <c r="AD39" s="5">
        <f t="shared" si="1"/>
        <v>8</v>
      </c>
      <c r="AE39" s="5">
        <f t="shared" si="1"/>
        <v>25</v>
      </c>
      <c r="AF39" s="5">
        <f t="shared" si="1"/>
        <v>48</v>
      </c>
      <c r="AG39" s="5">
        <f t="shared" si="1"/>
        <v>28</v>
      </c>
      <c r="AH39" s="5">
        <f t="shared" si="1"/>
        <v>85</v>
      </c>
      <c r="AI39" s="5">
        <f t="shared" si="1"/>
        <v>0</v>
      </c>
      <c r="AJ39" s="5">
        <f t="shared" si="1"/>
        <v>6</v>
      </c>
      <c r="AK39" s="5">
        <f t="shared" si="1"/>
        <v>0</v>
      </c>
      <c r="AL39" s="5">
        <f t="shared" si="1"/>
        <v>37</v>
      </c>
      <c r="AM39" s="5">
        <f t="shared" si="1"/>
        <v>0</v>
      </c>
      <c r="AN39" s="5">
        <f t="shared" si="1"/>
        <v>0</v>
      </c>
      <c r="AO39" s="5">
        <f t="shared" si="1"/>
        <v>0</v>
      </c>
      <c r="AP39" s="5">
        <f t="shared" si="1"/>
        <v>0</v>
      </c>
      <c r="AQ39" s="5">
        <f t="shared" si="1"/>
        <v>0</v>
      </c>
      <c r="AR39" s="5">
        <f t="shared" si="1"/>
        <v>0</v>
      </c>
      <c r="AS39" s="5">
        <f t="shared" si="1"/>
        <v>0</v>
      </c>
      <c r="AT39" s="5">
        <f t="shared" si="1"/>
        <v>0</v>
      </c>
      <c r="AU39" s="5">
        <f t="shared" si="1"/>
        <v>0</v>
      </c>
      <c r="AV39" s="5">
        <f t="shared" si="1"/>
        <v>0</v>
      </c>
      <c r="AW39" s="5">
        <f t="shared" si="1"/>
        <v>0</v>
      </c>
      <c r="AX39" s="5">
        <f t="shared" si="1"/>
        <v>0</v>
      </c>
      <c r="AY39" s="5">
        <f t="shared" si="1"/>
        <v>0</v>
      </c>
      <c r="AZ39" s="5">
        <f t="shared" si="1"/>
        <v>0</v>
      </c>
      <c r="BA39" s="5">
        <f t="shared" si="1"/>
        <v>0</v>
      </c>
      <c r="BB39" s="5">
        <f t="shared" si="1"/>
        <v>0</v>
      </c>
      <c r="BC39" s="5">
        <f t="shared" si="1"/>
        <v>0</v>
      </c>
      <c r="BD39" s="5">
        <f t="shared" si="1"/>
        <v>0</v>
      </c>
      <c r="BE39" s="5">
        <f t="shared" si="1"/>
        <v>0</v>
      </c>
      <c r="BF39" s="5">
        <f t="shared" si="1"/>
        <v>0</v>
      </c>
      <c r="BG39" s="5">
        <f t="shared" si="1"/>
        <v>0</v>
      </c>
    </row>
    <row r="40" spans="1:59" s="17" customFormat="1" ht="12" hidden="1" customHeight="1">
      <c r="A40" s="108"/>
      <c r="B40" s="87"/>
      <c r="C40" s="89"/>
      <c r="D40" s="91"/>
      <c r="E40" s="91"/>
      <c r="F40" s="89"/>
      <c r="G40" s="93"/>
      <c r="H40" s="89"/>
      <c r="I40" s="89"/>
      <c r="J40" s="89"/>
      <c r="K40" s="20"/>
      <c r="L40" s="20"/>
      <c r="M40" s="20"/>
      <c r="N40" s="146"/>
      <c r="O40" s="21"/>
      <c r="P40" s="27"/>
      <c r="Q40" s="99"/>
      <c r="R40" s="175"/>
      <c r="S40" s="96"/>
      <c r="T40" s="96"/>
      <c r="U40" s="96"/>
      <c r="V40" s="96"/>
      <c r="W40" s="96"/>
      <c r="X40" s="96"/>
      <c r="Y40" s="149"/>
      <c r="Z40" s="149"/>
      <c r="AA40" s="149"/>
      <c r="AB40" s="149"/>
      <c r="AC40" s="149"/>
      <c r="AD40" s="149"/>
      <c r="AE40" s="149"/>
      <c r="AF40" s="149"/>
      <c r="AG40" s="149"/>
      <c r="AH40" s="149"/>
      <c r="AI40" s="149"/>
      <c r="AJ40" s="149"/>
      <c r="AK40" s="149"/>
      <c r="AL40" s="149"/>
      <c r="AM40" s="163"/>
      <c r="AN40" s="163"/>
      <c r="AO40" s="163"/>
      <c r="AP40" s="163"/>
      <c r="AQ40" s="163"/>
      <c r="AR40" s="163"/>
      <c r="AS40" s="163"/>
      <c r="AT40" s="163"/>
      <c r="AU40" s="163"/>
      <c r="AV40" s="163"/>
      <c r="AW40" s="163"/>
      <c r="AX40" s="163"/>
      <c r="AY40" s="167"/>
      <c r="AZ40" s="167"/>
      <c r="BA40" s="167"/>
      <c r="BB40" s="167"/>
      <c r="BC40" s="167"/>
      <c r="BD40" s="167"/>
      <c r="BE40" s="163"/>
      <c r="BF40" s="165"/>
      <c r="BG40" s="165"/>
    </row>
    <row r="41" spans="1:59" s="17" customFormat="1" ht="12" hidden="1" customHeight="1">
      <c r="A41" s="85"/>
      <c r="B41" s="88"/>
      <c r="C41" s="90"/>
      <c r="D41" s="92"/>
      <c r="E41" s="92"/>
      <c r="F41" s="90"/>
      <c r="G41" s="94"/>
      <c r="H41" s="90"/>
      <c r="I41" s="90"/>
      <c r="J41" s="90"/>
      <c r="K41" s="22"/>
      <c r="L41" s="18"/>
      <c r="M41" s="18"/>
      <c r="N41" s="147"/>
      <c r="O41" s="19"/>
      <c r="P41" s="22"/>
      <c r="Q41" s="100"/>
      <c r="R41" s="175"/>
      <c r="S41" s="96"/>
      <c r="T41" s="96"/>
      <c r="U41" s="96"/>
      <c r="V41" s="96"/>
      <c r="W41" s="96"/>
      <c r="X41" s="96"/>
      <c r="Y41" s="150"/>
      <c r="Z41" s="150"/>
      <c r="AA41" s="150"/>
      <c r="AB41" s="150"/>
      <c r="AC41" s="150"/>
      <c r="AD41" s="150"/>
      <c r="AE41" s="150"/>
      <c r="AF41" s="150"/>
      <c r="AG41" s="150"/>
      <c r="AH41" s="150"/>
      <c r="AI41" s="150"/>
      <c r="AJ41" s="150"/>
      <c r="AK41" s="150"/>
      <c r="AL41" s="150"/>
      <c r="AM41" s="164"/>
      <c r="AN41" s="164"/>
      <c r="AO41" s="164"/>
      <c r="AP41" s="164"/>
      <c r="AQ41" s="164"/>
      <c r="AR41" s="164"/>
      <c r="AS41" s="164"/>
      <c r="AT41" s="164"/>
      <c r="AU41" s="164"/>
      <c r="AV41" s="164"/>
      <c r="AW41" s="164"/>
      <c r="AX41" s="164"/>
      <c r="AY41" s="168"/>
      <c r="AZ41" s="168"/>
      <c r="BA41" s="168"/>
      <c r="BB41" s="168"/>
      <c r="BC41" s="168"/>
      <c r="BD41" s="168"/>
      <c r="BE41" s="164"/>
      <c r="BF41" s="166"/>
      <c r="BG41" s="166"/>
    </row>
    <row r="42" spans="1:59" s="17" customFormat="1" ht="12" hidden="1" customHeight="1">
      <c r="A42" s="154"/>
      <c r="B42" s="114"/>
      <c r="C42" s="116"/>
      <c r="D42" s="118"/>
      <c r="E42" s="116"/>
      <c r="F42" s="116"/>
      <c r="G42" s="120"/>
      <c r="H42" s="89"/>
      <c r="I42" s="89"/>
      <c r="J42" s="89"/>
      <c r="K42" s="20"/>
      <c r="L42" s="20"/>
      <c r="M42" s="20"/>
      <c r="N42" s="146"/>
      <c r="O42" s="21"/>
      <c r="P42" s="27"/>
      <c r="Q42" s="99"/>
      <c r="R42" s="174"/>
      <c r="S42" s="96"/>
      <c r="T42" s="96"/>
      <c r="U42" s="96"/>
      <c r="V42" s="96"/>
      <c r="W42" s="96"/>
      <c r="X42" s="96"/>
      <c r="Y42" s="149"/>
      <c r="Z42" s="149"/>
      <c r="AA42" s="149"/>
      <c r="AB42" s="149"/>
      <c r="AC42" s="149"/>
      <c r="AD42" s="149"/>
      <c r="AE42" s="149"/>
      <c r="AF42" s="149"/>
      <c r="AG42" s="149"/>
      <c r="AH42" s="149"/>
      <c r="AI42" s="149"/>
      <c r="AJ42" s="149"/>
      <c r="AK42" s="149"/>
      <c r="AL42" s="149"/>
      <c r="AM42" s="163"/>
      <c r="AN42" s="163"/>
      <c r="AO42" s="163"/>
      <c r="AP42" s="163"/>
      <c r="AQ42" s="163"/>
      <c r="AR42" s="163"/>
      <c r="AS42" s="163"/>
      <c r="AT42" s="163"/>
      <c r="AU42" s="163"/>
      <c r="AV42" s="163"/>
      <c r="AW42" s="163"/>
      <c r="AX42" s="163"/>
      <c r="AY42" s="167"/>
      <c r="AZ42" s="167"/>
      <c r="BA42" s="167"/>
      <c r="BB42" s="167"/>
      <c r="BC42" s="167"/>
      <c r="BD42" s="167"/>
      <c r="BE42" s="163"/>
      <c r="BF42" s="165"/>
      <c r="BG42" s="165"/>
    </row>
    <row r="43" spans="1:59" s="17" customFormat="1" ht="12" hidden="1" customHeight="1">
      <c r="A43" s="101"/>
      <c r="B43" s="115"/>
      <c r="C43" s="117"/>
      <c r="D43" s="119"/>
      <c r="E43" s="117"/>
      <c r="F43" s="117"/>
      <c r="G43" s="121"/>
      <c r="H43" s="90"/>
      <c r="I43" s="90"/>
      <c r="J43" s="90"/>
      <c r="K43" s="22"/>
      <c r="L43" s="18"/>
      <c r="M43" s="18"/>
      <c r="N43" s="147"/>
      <c r="O43" s="19"/>
      <c r="P43" s="22"/>
      <c r="Q43" s="100"/>
      <c r="R43" s="174"/>
      <c r="S43" s="96"/>
      <c r="T43" s="96"/>
      <c r="U43" s="96"/>
      <c r="V43" s="96"/>
      <c r="W43" s="96"/>
      <c r="X43" s="96"/>
      <c r="Y43" s="150"/>
      <c r="Z43" s="150"/>
      <c r="AA43" s="150"/>
      <c r="AB43" s="150"/>
      <c r="AC43" s="150"/>
      <c r="AD43" s="150"/>
      <c r="AE43" s="150"/>
      <c r="AF43" s="150"/>
      <c r="AG43" s="150"/>
      <c r="AH43" s="150"/>
      <c r="AI43" s="150"/>
      <c r="AJ43" s="150"/>
      <c r="AK43" s="150"/>
      <c r="AL43" s="150"/>
      <c r="AM43" s="164"/>
      <c r="AN43" s="164"/>
      <c r="AO43" s="164"/>
      <c r="AP43" s="164"/>
      <c r="AQ43" s="164"/>
      <c r="AR43" s="164"/>
      <c r="AS43" s="164"/>
      <c r="AT43" s="164"/>
      <c r="AU43" s="164"/>
      <c r="AV43" s="164"/>
      <c r="AW43" s="164"/>
      <c r="AX43" s="164"/>
      <c r="AY43" s="168"/>
      <c r="AZ43" s="168"/>
      <c r="BA43" s="168"/>
      <c r="BB43" s="168"/>
      <c r="BC43" s="168"/>
      <c r="BD43" s="168"/>
      <c r="BE43" s="164"/>
      <c r="BF43" s="166"/>
      <c r="BG43" s="166"/>
    </row>
    <row r="44" spans="1:59" s="17" customFormat="1" ht="12" hidden="1" customHeight="1">
      <c r="A44" s="154"/>
      <c r="B44" s="114"/>
      <c r="C44" s="116"/>
      <c r="D44" s="118"/>
      <c r="E44" s="116"/>
      <c r="F44" s="116"/>
      <c r="G44" s="120"/>
      <c r="H44" s="89"/>
      <c r="I44" s="89"/>
      <c r="J44" s="89"/>
      <c r="K44" s="20"/>
      <c r="L44" s="20"/>
      <c r="M44" s="20"/>
      <c r="N44" s="146"/>
      <c r="O44" s="21"/>
      <c r="P44" s="27"/>
      <c r="Q44" s="99"/>
      <c r="R44" s="174"/>
      <c r="S44" s="96"/>
      <c r="T44" s="96"/>
      <c r="U44" s="96"/>
      <c r="V44" s="96"/>
      <c r="W44" s="96"/>
      <c r="X44" s="96"/>
      <c r="Y44" s="149"/>
      <c r="Z44" s="149"/>
      <c r="AA44" s="149"/>
      <c r="AB44" s="149"/>
      <c r="AC44" s="149"/>
      <c r="AD44" s="149"/>
      <c r="AE44" s="149"/>
      <c r="AF44" s="149"/>
      <c r="AG44" s="149"/>
      <c r="AH44" s="149"/>
      <c r="AI44" s="149"/>
      <c r="AJ44" s="149"/>
      <c r="AK44" s="149"/>
      <c r="AL44" s="149"/>
      <c r="AM44" s="163"/>
      <c r="AN44" s="163"/>
      <c r="AO44" s="163"/>
      <c r="AP44" s="163"/>
      <c r="AQ44" s="163"/>
      <c r="AR44" s="163"/>
      <c r="AS44" s="163"/>
      <c r="AT44" s="163"/>
      <c r="AU44" s="163"/>
      <c r="AV44" s="163"/>
      <c r="AW44" s="163"/>
      <c r="AX44" s="163"/>
      <c r="AY44" s="167"/>
      <c r="AZ44" s="167"/>
      <c r="BA44" s="167"/>
      <c r="BB44" s="167"/>
      <c r="BC44" s="167"/>
      <c r="BD44" s="167"/>
      <c r="BE44" s="163"/>
      <c r="BF44" s="165"/>
      <c r="BG44" s="165"/>
    </row>
    <row r="45" spans="1:59" s="17" customFormat="1" ht="12" hidden="1" customHeight="1">
      <c r="A45" s="101"/>
      <c r="B45" s="115"/>
      <c r="C45" s="117"/>
      <c r="D45" s="119"/>
      <c r="E45" s="117"/>
      <c r="F45" s="117"/>
      <c r="G45" s="121"/>
      <c r="H45" s="90"/>
      <c r="I45" s="90"/>
      <c r="J45" s="90"/>
      <c r="K45" s="22"/>
      <c r="L45" s="18"/>
      <c r="M45" s="18"/>
      <c r="N45" s="147"/>
      <c r="O45" s="19"/>
      <c r="P45" s="22"/>
      <c r="Q45" s="100"/>
      <c r="R45" s="174"/>
      <c r="S45" s="96"/>
      <c r="T45" s="96"/>
      <c r="U45" s="96"/>
      <c r="V45" s="96"/>
      <c r="W45" s="96"/>
      <c r="X45" s="96"/>
      <c r="Y45" s="150"/>
      <c r="Z45" s="150"/>
      <c r="AA45" s="150"/>
      <c r="AB45" s="150"/>
      <c r="AC45" s="150"/>
      <c r="AD45" s="150"/>
      <c r="AE45" s="150"/>
      <c r="AF45" s="150"/>
      <c r="AG45" s="150"/>
      <c r="AH45" s="150"/>
      <c r="AI45" s="150"/>
      <c r="AJ45" s="150"/>
      <c r="AK45" s="150"/>
      <c r="AL45" s="150"/>
      <c r="AM45" s="164"/>
      <c r="AN45" s="164"/>
      <c r="AO45" s="164"/>
      <c r="AP45" s="164"/>
      <c r="AQ45" s="164"/>
      <c r="AR45" s="164"/>
      <c r="AS45" s="164"/>
      <c r="AT45" s="164"/>
      <c r="AU45" s="164"/>
      <c r="AV45" s="164"/>
      <c r="AW45" s="164"/>
      <c r="AX45" s="164"/>
      <c r="AY45" s="168"/>
      <c r="AZ45" s="168"/>
      <c r="BA45" s="168"/>
      <c r="BB45" s="168"/>
      <c r="BC45" s="168"/>
      <c r="BD45" s="168"/>
      <c r="BE45" s="164"/>
      <c r="BF45" s="166"/>
      <c r="BG45" s="166"/>
    </row>
    <row r="46" spans="1:59" ht="12" hidden="1" customHeight="1">
      <c r="A46" s="111" t="s">
        <v>46</v>
      </c>
      <c r="B46" s="112"/>
      <c r="C46" s="112"/>
      <c r="D46" s="112"/>
      <c r="E46" s="112"/>
      <c r="F46" s="112"/>
      <c r="G46" s="112"/>
      <c r="H46" s="112"/>
      <c r="I46" s="113"/>
      <c r="J46" s="5">
        <f>SUM(J40:J45)</f>
        <v>0</v>
      </c>
      <c r="K46" s="5">
        <f>+SUMPRODUCT(((MOD(ROW(K40:K45),2)=0)*(K40:K45)))</f>
        <v>0</v>
      </c>
      <c r="L46" s="5">
        <f>+SUMPRODUCT(((MOD(ROW(L40:L45),2)=0)*(L40:L45)))</f>
        <v>0</v>
      </c>
      <c r="M46" s="5">
        <f>+SUMPRODUCT(((MOD(ROW(M40:M45),2)=0)*(M40:M45)))</f>
        <v>0</v>
      </c>
      <c r="N46" s="23" t="e">
        <f>O46/L46</f>
        <v>#DIV/0!</v>
      </c>
      <c r="O46" s="5">
        <f>+SUMPRODUCT(((MOD(ROW(O40:O45),2)=0)*(O40:O45)))</f>
        <v>0</v>
      </c>
      <c r="P46" s="5">
        <f>+SUMPRODUCT(((MOD(ROW(P40:P45),2)=0)*(P40:P45)))</f>
        <v>0</v>
      </c>
      <c r="Q46" s="29">
        <f>SUM(Q40:Q45)</f>
        <v>0</v>
      </c>
      <c r="R46" s="69"/>
      <c r="S46" s="68">
        <f t="shared" ref="S46:BG46" si="2">SUM(S40:S45)</f>
        <v>0</v>
      </c>
      <c r="T46" s="68">
        <f t="shared" si="2"/>
        <v>0</v>
      </c>
      <c r="U46" s="68">
        <f t="shared" si="2"/>
        <v>0</v>
      </c>
      <c r="V46" s="68">
        <f t="shared" si="2"/>
        <v>0</v>
      </c>
      <c r="W46" s="68">
        <f t="shared" si="2"/>
        <v>0</v>
      </c>
      <c r="X46" s="68">
        <f t="shared" si="2"/>
        <v>0</v>
      </c>
      <c r="Y46" s="5">
        <f t="shared" si="2"/>
        <v>0</v>
      </c>
      <c r="Z46" s="5">
        <f t="shared" si="2"/>
        <v>0</v>
      </c>
      <c r="AA46" s="5">
        <f t="shared" si="2"/>
        <v>0</v>
      </c>
      <c r="AB46" s="5">
        <f t="shared" si="2"/>
        <v>0</v>
      </c>
      <c r="AC46" s="5">
        <f t="shared" si="2"/>
        <v>0</v>
      </c>
      <c r="AD46" s="5">
        <f t="shared" si="2"/>
        <v>0</v>
      </c>
      <c r="AE46" s="5">
        <f t="shared" si="2"/>
        <v>0</v>
      </c>
      <c r="AF46" s="5">
        <f t="shared" si="2"/>
        <v>0</v>
      </c>
      <c r="AG46" s="5">
        <f t="shared" si="2"/>
        <v>0</v>
      </c>
      <c r="AH46" s="5">
        <f t="shared" si="2"/>
        <v>0</v>
      </c>
      <c r="AI46" s="5">
        <f t="shared" si="2"/>
        <v>0</v>
      </c>
      <c r="AJ46" s="5">
        <f t="shared" si="2"/>
        <v>0</v>
      </c>
      <c r="AK46" s="5">
        <f t="shared" si="2"/>
        <v>0</v>
      </c>
      <c r="AL46" s="5">
        <f t="shared" si="2"/>
        <v>0</v>
      </c>
      <c r="AM46" s="5">
        <f t="shared" si="2"/>
        <v>0</v>
      </c>
      <c r="AN46" s="5">
        <f t="shared" si="2"/>
        <v>0</v>
      </c>
      <c r="AO46" s="5">
        <f t="shared" si="2"/>
        <v>0</v>
      </c>
      <c r="AP46" s="5">
        <f t="shared" si="2"/>
        <v>0</v>
      </c>
      <c r="AQ46" s="5">
        <f t="shared" si="2"/>
        <v>0</v>
      </c>
      <c r="AR46" s="5">
        <f t="shared" si="2"/>
        <v>0</v>
      </c>
      <c r="AS46" s="5">
        <f t="shared" si="2"/>
        <v>0</v>
      </c>
      <c r="AT46" s="5">
        <f t="shared" si="2"/>
        <v>0</v>
      </c>
      <c r="AU46" s="5">
        <f t="shared" si="2"/>
        <v>0</v>
      </c>
      <c r="AV46" s="5">
        <f t="shared" si="2"/>
        <v>0</v>
      </c>
      <c r="AW46" s="5">
        <f t="shared" si="2"/>
        <v>0</v>
      </c>
      <c r="AX46" s="5">
        <f t="shared" si="2"/>
        <v>0</v>
      </c>
      <c r="AY46" s="5">
        <f t="shared" si="2"/>
        <v>0</v>
      </c>
      <c r="AZ46" s="5">
        <f t="shared" si="2"/>
        <v>0</v>
      </c>
      <c r="BA46" s="5">
        <f t="shared" si="2"/>
        <v>0</v>
      </c>
      <c r="BB46" s="5">
        <f t="shared" si="2"/>
        <v>0</v>
      </c>
      <c r="BC46" s="5">
        <f t="shared" si="2"/>
        <v>0</v>
      </c>
      <c r="BD46" s="5">
        <f t="shared" si="2"/>
        <v>0</v>
      </c>
      <c r="BE46" s="5">
        <f t="shared" si="2"/>
        <v>0</v>
      </c>
      <c r="BF46" s="5">
        <f t="shared" si="2"/>
        <v>0</v>
      </c>
      <c r="BG46" s="5">
        <f t="shared" si="2"/>
        <v>0</v>
      </c>
    </row>
    <row r="47" spans="1:59" s="17" customFormat="1" ht="12" hidden="1" customHeight="1">
      <c r="A47" s="85"/>
      <c r="B47" s="87"/>
      <c r="C47" s="89"/>
      <c r="D47" s="91"/>
      <c r="E47" s="89"/>
      <c r="F47" s="89"/>
      <c r="G47" s="93"/>
      <c r="H47" s="90"/>
      <c r="I47" s="90"/>
      <c r="J47" s="90"/>
      <c r="K47" s="20"/>
      <c r="L47" s="20"/>
      <c r="M47" s="20"/>
      <c r="N47" s="97"/>
      <c r="O47" s="21"/>
      <c r="P47" s="27"/>
      <c r="Q47" s="99"/>
      <c r="R47" s="174"/>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6"/>
      <c r="AZ47" s="106"/>
      <c r="BA47" s="106"/>
      <c r="BB47" s="106"/>
      <c r="BC47" s="106"/>
      <c r="BD47" s="106"/>
      <c r="BE47" s="103"/>
      <c r="BF47" s="104"/>
      <c r="BG47" s="104"/>
    </row>
    <row r="48" spans="1:59" s="17" customFormat="1" ht="12" hidden="1" customHeight="1">
      <c r="A48" s="86"/>
      <c r="B48" s="88"/>
      <c r="C48" s="90"/>
      <c r="D48" s="92"/>
      <c r="E48" s="90"/>
      <c r="F48" s="90"/>
      <c r="G48" s="94"/>
      <c r="H48" s="95"/>
      <c r="I48" s="95"/>
      <c r="J48" s="95"/>
      <c r="K48" s="22"/>
      <c r="L48" s="18"/>
      <c r="M48" s="18"/>
      <c r="N48" s="98"/>
      <c r="O48" s="19"/>
      <c r="P48" s="22"/>
      <c r="Q48" s="100"/>
      <c r="R48" s="102"/>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7"/>
      <c r="AZ48" s="107"/>
      <c r="BA48" s="107"/>
      <c r="BB48" s="107"/>
      <c r="BC48" s="107"/>
      <c r="BD48" s="107"/>
      <c r="BE48" s="103"/>
      <c r="BF48" s="105"/>
      <c r="BG48" s="105"/>
    </row>
    <row r="49" spans="1:59" s="17" customFormat="1" ht="12" hidden="1" customHeight="1">
      <c r="A49" s="101"/>
      <c r="B49" s="114"/>
      <c r="C49" s="116"/>
      <c r="D49" s="118"/>
      <c r="E49" s="118"/>
      <c r="F49" s="116"/>
      <c r="G49" s="120"/>
      <c r="H49" s="90"/>
      <c r="I49" s="90"/>
      <c r="J49" s="90"/>
      <c r="K49" s="20"/>
      <c r="L49" s="20"/>
      <c r="M49" s="20"/>
      <c r="N49" s="97" t="e">
        <f>O50/L50</f>
        <v>#DIV/0!</v>
      </c>
      <c r="O49" s="21">
        <f t="shared" ref="O49:O56" si="3">L49-M49</f>
        <v>0</v>
      </c>
      <c r="P49" s="27"/>
      <c r="Q49" s="99">
        <f>+L50-P50</f>
        <v>0</v>
      </c>
      <c r="R49" s="174"/>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6"/>
      <c r="AZ49" s="106"/>
      <c r="BA49" s="106"/>
      <c r="BB49" s="106"/>
      <c r="BC49" s="106"/>
      <c r="BD49" s="106"/>
      <c r="BE49" s="103"/>
      <c r="BF49" s="104"/>
      <c r="BG49" s="104"/>
    </row>
    <row r="50" spans="1:59" s="17" customFormat="1" ht="12" hidden="1" customHeight="1">
      <c r="A50" s="102"/>
      <c r="B50" s="115"/>
      <c r="C50" s="117"/>
      <c r="D50" s="119"/>
      <c r="E50" s="119"/>
      <c r="F50" s="117"/>
      <c r="G50" s="121"/>
      <c r="H50" s="95"/>
      <c r="I50" s="95"/>
      <c r="J50" s="95"/>
      <c r="K50" s="22"/>
      <c r="L50" s="18"/>
      <c r="M50" s="18"/>
      <c r="N50" s="98"/>
      <c r="O50" s="19">
        <f t="shared" si="3"/>
        <v>0</v>
      </c>
      <c r="P50" s="22"/>
      <c r="Q50" s="100"/>
      <c r="R50" s="102"/>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7"/>
      <c r="AZ50" s="107"/>
      <c r="BA50" s="107"/>
      <c r="BB50" s="107"/>
      <c r="BC50" s="107"/>
      <c r="BD50" s="107"/>
      <c r="BE50" s="103"/>
      <c r="BF50" s="105"/>
      <c r="BG50" s="105"/>
    </row>
    <row r="51" spans="1:59" s="17" customFormat="1" ht="12" hidden="1" customHeight="1">
      <c r="A51" s="101"/>
      <c r="B51" s="114"/>
      <c r="C51" s="116"/>
      <c r="D51" s="118"/>
      <c r="E51" s="118"/>
      <c r="F51" s="116"/>
      <c r="G51" s="120"/>
      <c r="H51" s="90"/>
      <c r="I51" s="90"/>
      <c r="J51" s="90"/>
      <c r="K51" s="20"/>
      <c r="L51" s="20"/>
      <c r="M51" s="20"/>
      <c r="N51" s="97" t="e">
        <f>O52/L52</f>
        <v>#DIV/0!</v>
      </c>
      <c r="O51" s="21">
        <f t="shared" si="3"/>
        <v>0</v>
      </c>
      <c r="P51" s="27"/>
      <c r="Q51" s="99">
        <f>+L52-P52</f>
        <v>0</v>
      </c>
      <c r="R51" s="174"/>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6"/>
      <c r="AZ51" s="106"/>
      <c r="BA51" s="106"/>
      <c r="BB51" s="106"/>
      <c r="BC51" s="106"/>
      <c r="BD51" s="106"/>
      <c r="BE51" s="103"/>
      <c r="BF51" s="104"/>
      <c r="BG51" s="104"/>
    </row>
    <row r="52" spans="1:59" s="17" customFormat="1" ht="12" hidden="1" customHeight="1">
      <c r="A52" s="102"/>
      <c r="B52" s="115"/>
      <c r="C52" s="117"/>
      <c r="D52" s="119"/>
      <c r="E52" s="119"/>
      <c r="F52" s="117"/>
      <c r="G52" s="121"/>
      <c r="H52" s="95"/>
      <c r="I52" s="95"/>
      <c r="J52" s="95"/>
      <c r="K52" s="22"/>
      <c r="L52" s="18"/>
      <c r="M52" s="18"/>
      <c r="N52" s="98"/>
      <c r="O52" s="19">
        <f t="shared" si="3"/>
        <v>0</v>
      </c>
      <c r="P52" s="22"/>
      <c r="Q52" s="100"/>
      <c r="R52" s="102"/>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7"/>
      <c r="AZ52" s="107"/>
      <c r="BA52" s="107"/>
      <c r="BB52" s="107"/>
      <c r="BC52" s="107"/>
      <c r="BD52" s="107"/>
      <c r="BE52" s="103"/>
      <c r="BF52" s="105"/>
      <c r="BG52" s="105"/>
    </row>
    <row r="53" spans="1:59" s="17" customFormat="1" ht="12" hidden="1" customHeight="1">
      <c r="A53" s="101"/>
      <c r="B53" s="114"/>
      <c r="C53" s="116"/>
      <c r="D53" s="118"/>
      <c r="E53" s="118"/>
      <c r="F53" s="116"/>
      <c r="G53" s="120"/>
      <c r="H53" s="90"/>
      <c r="I53" s="90"/>
      <c r="J53" s="90"/>
      <c r="K53" s="20"/>
      <c r="L53" s="20"/>
      <c r="M53" s="20"/>
      <c r="N53" s="97" t="e">
        <f>O54/L54</f>
        <v>#DIV/0!</v>
      </c>
      <c r="O53" s="21">
        <f t="shared" si="3"/>
        <v>0</v>
      </c>
      <c r="P53" s="27"/>
      <c r="Q53" s="99">
        <f>+L54-P54</f>
        <v>0</v>
      </c>
      <c r="R53" s="174"/>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2" hidden="1" customHeight="1">
      <c r="A54" s="102"/>
      <c r="B54" s="115"/>
      <c r="C54" s="117"/>
      <c r="D54" s="119"/>
      <c r="E54" s="119"/>
      <c r="F54" s="117"/>
      <c r="G54" s="121"/>
      <c r="H54" s="95"/>
      <c r="I54" s="95"/>
      <c r="J54" s="95"/>
      <c r="K54" s="22"/>
      <c r="L54" s="18"/>
      <c r="M54" s="18"/>
      <c r="N54" s="98"/>
      <c r="O54" s="19">
        <f t="shared" si="3"/>
        <v>0</v>
      </c>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2" hidden="1" customHeight="1">
      <c r="A55" s="101"/>
      <c r="B55" s="114"/>
      <c r="C55" s="116"/>
      <c r="D55" s="118"/>
      <c r="E55" s="118"/>
      <c r="F55" s="116"/>
      <c r="G55" s="120"/>
      <c r="H55" s="109"/>
      <c r="I55" s="90"/>
      <c r="J55" s="90"/>
      <c r="K55" s="20"/>
      <c r="L55" s="20"/>
      <c r="M55" s="20"/>
      <c r="N55" s="97" t="e">
        <f>O56/L56</f>
        <v>#DIV/0!</v>
      </c>
      <c r="O55" s="21">
        <f t="shared" si="3"/>
        <v>0</v>
      </c>
      <c r="P55" s="27"/>
      <c r="Q55" s="99">
        <f>+L56-P56</f>
        <v>0</v>
      </c>
      <c r="R55" s="174"/>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2" hidden="1" customHeight="1">
      <c r="A56" s="102"/>
      <c r="B56" s="115"/>
      <c r="C56" s="117"/>
      <c r="D56" s="119"/>
      <c r="E56" s="119"/>
      <c r="F56" s="117"/>
      <c r="G56" s="121"/>
      <c r="H56" s="95"/>
      <c r="I56" s="95"/>
      <c r="J56" s="95"/>
      <c r="K56" s="22"/>
      <c r="L56" s="18"/>
      <c r="M56" s="18"/>
      <c r="N56" s="98"/>
      <c r="O56" s="19">
        <f t="shared" si="3"/>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2" hidden="1" customHeight="1">
      <c r="A57" s="101"/>
      <c r="B57" s="114"/>
      <c r="C57" s="116"/>
      <c r="D57" s="118"/>
      <c r="E57" s="116"/>
      <c r="F57" s="116"/>
      <c r="G57" s="120"/>
      <c r="H57" s="90"/>
      <c r="I57" s="90"/>
      <c r="J57" s="90"/>
      <c r="K57" s="20"/>
      <c r="L57" s="20"/>
      <c r="M57" s="20"/>
      <c r="N57" s="97" t="e">
        <f>O58/L58</f>
        <v>#DIV/0!</v>
      </c>
      <c r="O57" s="21"/>
      <c r="P57" s="27"/>
      <c r="Q57" s="99"/>
      <c r="R57" s="174"/>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2" hidden="1" customHeight="1">
      <c r="A58" s="102"/>
      <c r="B58" s="115"/>
      <c r="C58" s="117"/>
      <c r="D58" s="119"/>
      <c r="E58" s="117"/>
      <c r="F58" s="117"/>
      <c r="G58" s="121"/>
      <c r="H58" s="95"/>
      <c r="I58" s="95"/>
      <c r="J58" s="95"/>
      <c r="K58" s="22"/>
      <c r="L58" s="18"/>
      <c r="M58" s="18"/>
      <c r="N58" s="98"/>
      <c r="O58" s="19"/>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ht="12" hidden="1" customHeight="1">
      <c r="A59" s="111" t="s">
        <v>74</v>
      </c>
      <c r="B59" s="112"/>
      <c r="C59" s="112"/>
      <c r="D59" s="112"/>
      <c r="E59" s="112"/>
      <c r="F59" s="112"/>
      <c r="G59" s="112"/>
      <c r="H59" s="112"/>
      <c r="I59" s="113"/>
      <c r="J59" s="5">
        <f>+SUMPRODUCT(((MOD(ROW(J47:J58),2)=1)*(J47:J58)))</f>
        <v>0</v>
      </c>
      <c r="K59" s="5">
        <f>+SUMPRODUCT(((MOD(ROW(K47:K58),2)=1)*(K47:K58)))</f>
        <v>0</v>
      </c>
      <c r="L59" s="5">
        <f>+SUMPRODUCT(((MOD(ROW(L47:L58),2)=1)*(L47:L58)))</f>
        <v>0</v>
      </c>
      <c r="M59" s="5">
        <f>+SUMPRODUCT(((MOD(ROW(M47:M58),2)=1)*(M47:M58)))</f>
        <v>0</v>
      </c>
      <c r="N59" s="23" t="e">
        <f>O59/L59</f>
        <v>#DIV/0!</v>
      </c>
      <c r="O59" s="5">
        <f>+SUMPRODUCT(((MOD(ROW(O47:O58),2)=1)*(O47:O58)))</f>
        <v>0</v>
      </c>
      <c r="P59" s="5">
        <f>+SUMPRODUCT(((MOD(ROW(P47:P58),2)=1)*(P47:P58)))</f>
        <v>0</v>
      </c>
      <c r="Q59" s="29">
        <f>SUM(Q47:Q58)</f>
        <v>0</v>
      </c>
      <c r="R59" s="69"/>
      <c r="S59" s="68">
        <f t="shared" ref="S59:BG59" si="4">SUM(S47:S58)</f>
        <v>0</v>
      </c>
      <c r="T59" s="68">
        <f t="shared" si="4"/>
        <v>0</v>
      </c>
      <c r="U59" s="68">
        <f t="shared" si="4"/>
        <v>0</v>
      </c>
      <c r="V59" s="68">
        <f t="shared" si="4"/>
        <v>0</v>
      </c>
      <c r="W59" s="68">
        <f t="shared" si="4"/>
        <v>0</v>
      </c>
      <c r="X59" s="68">
        <f t="shared" si="4"/>
        <v>0</v>
      </c>
      <c r="Y59" s="5">
        <f t="shared" si="4"/>
        <v>0</v>
      </c>
      <c r="Z59" s="5">
        <f t="shared" si="4"/>
        <v>0</v>
      </c>
      <c r="AA59" s="5">
        <f t="shared" si="4"/>
        <v>0</v>
      </c>
      <c r="AB59" s="5">
        <f t="shared" si="4"/>
        <v>0</v>
      </c>
      <c r="AC59" s="5">
        <f t="shared" si="4"/>
        <v>0</v>
      </c>
      <c r="AD59" s="5">
        <f t="shared" si="4"/>
        <v>0</v>
      </c>
      <c r="AE59" s="5">
        <f t="shared" si="4"/>
        <v>0</v>
      </c>
      <c r="AF59" s="5">
        <f t="shared" si="4"/>
        <v>0</v>
      </c>
      <c r="AG59" s="5">
        <f t="shared" si="4"/>
        <v>0</v>
      </c>
      <c r="AH59" s="5">
        <f t="shared" si="4"/>
        <v>0</v>
      </c>
      <c r="AI59" s="5">
        <f t="shared" si="4"/>
        <v>0</v>
      </c>
      <c r="AJ59" s="5">
        <f t="shared" si="4"/>
        <v>0</v>
      </c>
      <c r="AK59" s="5">
        <f t="shared" si="4"/>
        <v>0</v>
      </c>
      <c r="AL59" s="5">
        <f t="shared" si="4"/>
        <v>0</v>
      </c>
      <c r="AM59" s="5">
        <f t="shared" si="4"/>
        <v>0</v>
      </c>
      <c r="AN59" s="5">
        <f t="shared" si="4"/>
        <v>0</v>
      </c>
      <c r="AO59" s="5">
        <f t="shared" si="4"/>
        <v>0</v>
      </c>
      <c r="AP59" s="5">
        <f t="shared" si="4"/>
        <v>0</v>
      </c>
      <c r="AQ59" s="5">
        <f t="shared" si="4"/>
        <v>0</v>
      </c>
      <c r="AR59" s="5">
        <f t="shared" si="4"/>
        <v>0</v>
      </c>
      <c r="AS59" s="5">
        <f t="shared" si="4"/>
        <v>0</v>
      </c>
      <c r="AT59" s="5">
        <f t="shared" si="4"/>
        <v>0</v>
      </c>
      <c r="AU59" s="5">
        <f t="shared" si="4"/>
        <v>0</v>
      </c>
      <c r="AV59" s="5">
        <f t="shared" si="4"/>
        <v>0</v>
      </c>
      <c r="AW59" s="5">
        <f t="shared" si="4"/>
        <v>0</v>
      </c>
      <c r="AX59" s="5">
        <f t="shared" si="4"/>
        <v>0</v>
      </c>
      <c r="AY59" s="5">
        <f t="shared" si="4"/>
        <v>0</v>
      </c>
      <c r="AZ59" s="5">
        <f t="shared" si="4"/>
        <v>0</v>
      </c>
      <c r="BA59" s="5">
        <f t="shared" si="4"/>
        <v>0</v>
      </c>
      <c r="BB59" s="5">
        <f t="shared" si="4"/>
        <v>0</v>
      </c>
      <c r="BC59" s="5">
        <f t="shared" si="4"/>
        <v>0</v>
      </c>
      <c r="BD59" s="5">
        <f t="shared" si="4"/>
        <v>0</v>
      </c>
      <c r="BE59" s="5">
        <f t="shared" si="4"/>
        <v>0</v>
      </c>
      <c r="BF59" s="5">
        <f t="shared" si="4"/>
        <v>0</v>
      </c>
      <c r="BG59" s="5">
        <f t="shared" si="4"/>
        <v>0</v>
      </c>
    </row>
    <row r="60" spans="1:59" ht="24.75" customHeight="1">
      <c r="A60" s="122" t="s">
        <v>5</v>
      </c>
      <c r="B60" s="122"/>
      <c r="C60" s="122"/>
      <c r="D60" s="122"/>
      <c r="E60" s="122"/>
      <c r="F60" s="122"/>
      <c r="G60" s="122"/>
      <c r="H60" s="122"/>
      <c r="I60" s="122"/>
      <c r="J60" s="30">
        <f>J39+J59+J46</f>
        <v>23392</v>
      </c>
      <c r="K60" s="73">
        <f>K39+K46+K59</f>
        <v>1037</v>
      </c>
      <c r="L60" s="73">
        <f>L39+L46+L59</f>
        <v>785</v>
      </c>
      <c r="M60" s="73">
        <f>M39+M46+M59</f>
        <v>291</v>
      </c>
      <c r="N60" s="32">
        <f>O60/L60</f>
        <v>0.62929936305732481</v>
      </c>
      <c r="O60" s="73">
        <f>O39+O46+O59</f>
        <v>494</v>
      </c>
      <c r="P60" s="73">
        <f>P39+P46+P59</f>
        <v>837</v>
      </c>
      <c r="Q60" s="73">
        <f>Q39+Q46+Q59</f>
        <v>1111</v>
      </c>
      <c r="R60" s="73"/>
      <c r="S60" s="73">
        <f t="shared" ref="S60:BG60" si="5">S39+S46+S59</f>
        <v>23</v>
      </c>
      <c r="T60" s="73">
        <f t="shared" si="5"/>
        <v>122</v>
      </c>
      <c r="U60" s="73">
        <f t="shared" si="5"/>
        <v>11</v>
      </c>
      <c r="V60" s="73">
        <f t="shared" si="5"/>
        <v>0</v>
      </c>
      <c r="W60" s="73">
        <f t="shared" si="5"/>
        <v>0</v>
      </c>
      <c r="X60" s="73">
        <f t="shared" si="5"/>
        <v>12</v>
      </c>
      <c r="Y60" s="73">
        <f t="shared" si="5"/>
        <v>0</v>
      </c>
      <c r="Z60" s="73">
        <f t="shared" si="5"/>
        <v>12</v>
      </c>
      <c r="AA60" s="73">
        <f t="shared" si="5"/>
        <v>0</v>
      </c>
      <c r="AB60" s="73">
        <f t="shared" si="5"/>
        <v>0</v>
      </c>
      <c r="AC60" s="73">
        <f t="shared" si="5"/>
        <v>77</v>
      </c>
      <c r="AD60" s="73">
        <f t="shared" si="5"/>
        <v>8</v>
      </c>
      <c r="AE60" s="73">
        <f t="shared" si="5"/>
        <v>25</v>
      </c>
      <c r="AF60" s="73">
        <f t="shared" si="5"/>
        <v>48</v>
      </c>
      <c r="AG60" s="73">
        <f t="shared" si="5"/>
        <v>28</v>
      </c>
      <c r="AH60" s="73">
        <f t="shared" si="5"/>
        <v>85</v>
      </c>
      <c r="AI60" s="73">
        <f t="shared" si="5"/>
        <v>0</v>
      </c>
      <c r="AJ60" s="73">
        <f t="shared" si="5"/>
        <v>6</v>
      </c>
      <c r="AK60" s="73">
        <f t="shared" si="5"/>
        <v>0</v>
      </c>
      <c r="AL60" s="73">
        <f t="shared" si="5"/>
        <v>37</v>
      </c>
      <c r="AM60" s="73">
        <f t="shared" si="5"/>
        <v>0</v>
      </c>
      <c r="AN60" s="73">
        <f t="shared" si="5"/>
        <v>0</v>
      </c>
      <c r="AO60" s="73">
        <f t="shared" si="5"/>
        <v>0</v>
      </c>
      <c r="AP60" s="73">
        <f t="shared" si="5"/>
        <v>0</v>
      </c>
      <c r="AQ60" s="73">
        <f t="shared" si="5"/>
        <v>0</v>
      </c>
      <c r="AR60" s="73">
        <f t="shared" si="5"/>
        <v>0</v>
      </c>
      <c r="AS60" s="73">
        <f t="shared" si="5"/>
        <v>0</v>
      </c>
      <c r="AT60" s="73">
        <f t="shared" si="5"/>
        <v>0</v>
      </c>
      <c r="AU60" s="73">
        <f t="shared" si="5"/>
        <v>0</v>
      </c>
      <c r="AV60" s="73">
        <f t="shared" si="5"/>
        <v>0</v>
      </c>
      <c r="AW60" s="73">
        <f t="shared" si="5"/>
        <v>0</v>
      </c>
      <c r="AX60" s="73">
        <f t="shared" si="5"/>
        <v>0</v>
      </c>
      <c r="AY60" s="73">
        <f t="shared" si="5"/>
        <v>0</v>
      </c>
      <c r="AZ60" s="73">
        <f t="shared" si="5"/>
        <v>0</v>
      </c>
      <c r="BA60" s="73">
        <f t="shared" si="5"/>
        <v>0</v>
      </c>
      <c r="BB60" s="73">
        <f t="shared" si="5"/>
        <v>0</v>
      </c>
      <c r="BC60" s="73">
        <f t="shared" si="5"/>
        <v>0</v>
      </c>
      <c r="BD60" s="73">
        <f t="shared" si="5"/>
        <v>0</v>
      </c>
      <c r="BE60" s="73">
        <f t="shared" si="5"/>
        <v>0</v>
      </c>
      <c r="BF60" s="73">
        <f t="shared" si="5"/>
        <v>0</v>
      </c>
      <c r="BG60" s="73">
        <f t="shared" si="5"/>
        <v>0</v>
      </c>
    </row>
    <row r="61" spans="1:59" ht="31.8">
      <c r="A61" s="81" t="s">
        <v>36</v>
      </c>
      <c r="B61" s="81"/>
      <c r="C61" s="81"/>
      <c r="D61" s="81"/>
      <c r="E61" s="81"/>
      <c r="F61" s="81"/>
      <c r="G61" s="81"/>
      <c r="H61" s="81"/>
      <c r="I61" s="81"/>
      <c r="J61" s="81"/>
      <c r="K61" s="81"/>
      <c r="L61" s="81"/>
      <c r="M61" s="81"/>
      <c r="N61" s="81"/>
      <c r="O61" s="81"/>
      <c r="P61" s="24"/>
      <c r="Q61" s="24"/>
      <c r="R61" s="67"/>
      <c r="S61" s="67"/>
      <c r="T61" s="67"/>
      <c r="U61" s="176"/>
      <c r="V61" s="66"/>
      <c r="W61" s="65"/>
      <c r="AM61" s="34"/>
      <c r="AN61" s="34"/>
      <c r="AO61" s="34"/>
      <c r="AP61" s="34"/>
      <c r="AQ61" s="34"/>
      <c r="AR61" s="34"/>
      <c r="AS61" s="34"/>
      <c r="AT61" s="34"/>
      <c r="AU61" s="34"/>
      <c r="AV61" s="34"/>
      <c r="AW61" s="34"/>
      <c r="AX61" s="34"/>
      <c r="AY61" s="34"/>
      <c r="AZ61" s="34"/>
      <c r="BA61" s="34"/>
      <c r="BB61" s="34"/>
      <c r="BC61" s="34"/>
      <c r="BD61" s="34"/>
      <c r="BE61" s="34"/>
      <c r="BF61" s="34"/>
      <c r="BG61" s="34"/>
    </row>
    <row r="62" spans="1:59" ht="33.75" customHeight="1">
      <c r="A62" s="82" t="s">
        <v>13</v>
      </c>
      <c r="B62" s="82"/>
      <c r="C62" s="82"/>
      <c r="D62" s="82"/>
      <c r="E62" s="82"/>
      <c r="F62" s="82"/>
      <c r="G62" s="82"/>
      <c r="H62" s="82"/>
      <c r="I62" s="82"/>
      <c r="J62" s="82"/>
      <c r="K62" s="82"/>
      <c r="L62" s="82"/>
      <c r="M62" s="82"/>
      <c r="N62" s="82"/>
      <c r="O62" s="82"/>
      <c r="R62" s="64"/>
      <c r="S62" s="64"/>
      <c r="T62" s="64"/>
      <c r="U62" s="176"/>
      <c r="V62" s="63"/>
      <c r="W62" s="62"/>
      <c r="AM62" s="34"/>
      <c r="AN62" s="34"/>
      <c r="AO62" s="34"/>
      <c r="AP62" s="34"/>
      <c r="AQ62" s="34"/>
      <c r="AR62" s="34"/>
      <c r="AS62" s="34"/>
      <c r="AT62" s="34"/>
      <c r="AU62" s="34"/>
      <c r="AV62" s="34"/>
      <c r="AW62" s="34"/>
      <c r="AX62" s="34"/>
      <c r="AY62" s="34"/>
      <c r="AZ62" s="34"/>
      <c r="BA62" s="34"/>
      <c r="BB62" s="34"/>
      <c r="BC62" s="34"/>
      <c r="BD62" s="34"/>
      <c r="BE62" s="34"/>
      <c r="BF62" s="34"/>
      <c r="BG62" s="34"/>
    </row>
    <row r="63" spans="1:59" ht="62.4">
      <c r="A63" s="9" t="s">
        <v>0</v>
      </c>
      <c r="B63" s="10" t="s">
        <v>34</v>
      </c>
      <c r="C63" s="11" t="s">
        <v>7</v>
      </c>
      <c r="D63" s="12" t="s">
        <v>1</v>
      </c>
      <c r="E63" s="13" t="s">
        <v>4</v>
      </c>
      <c r="F63" s="13" t="s">
        <v>2</v>
      </c>
      <c r="G63" s="13" t="s">
        <v>3</v>
      </c>
      <c r="H63" s="11" t="s">
        <v>6</v>
      </c>
      <c r="I63" s="14" t="s">
        <v>8</v>
      </c>
      <c r="J63" s="14" t="s">
        <v>17</v>
      </c>
      <c r="K63" s="12" t="s">
        <v>9</v>
      </c>
      <c r="L63" s="15" t="s">
        <v>10</v>
      </c>
      <c r="M63" s="15" t="s">
        <v>11</v>
      </c>
      <c r="N63" s="15" t="s">
        <v>12</v>
      </c>
      <c r="O63" s="15" t="s">
        <v>14</v>
      </c>
      <c r="P63" s="26" t="s">
        <v>16</v>
      </c>
      <c r="Q63" s="15" t="s">
        <v>42</v>
      </c>
      <c r="R63" s="15" t="s">
        <v>44</v>
      </c>
      <c r="S63" s="83">
        <v>101</v>
      </c>
      <c r="T63" s="83">
        <v>102</v>
      </c>
      <c r="U63" s="80">
        <v>106</v>
      </c>
      <c r="V63" s="80">
        <v>108</v>
      </c>
      <c r="W63" s="80">
        <v>109</v>
      </c>
      <c r="X63" s="80">
        <v>113</v>
      </c>
      <c r="Y63" s="80">
        <v>114</v>
      </c>
      <c r="Z63" s="80">
        <v>115</v>
      </c>
      <c r="AA63" s="80">
        <v>116</v>
      </c>
      <c r="AB63" s="80">
        <v>199</v>
      </c>
      <c r="AC63" s="80">
        <v>201</v>
      </c>
      <c r="AD63" s="80">
        <v>202</v>
      </c>
      <c r="AE63" s="80">
        <v>203</v>
      </c>
      <c r="AF63" s="80">
        <v>205</v>
      </c>
      <c r="AG63" s="80">
        <v>206</v>
      </c>
      <c r="AH63" s="79">
        <v>209</v>
      </c>
      <c r="AI63" s="79">
        <v>212</v>
      </c>
      <c r="AJ63" s="79">
        <v>216</v>
      </c>
      <c r="AK63" s="79">
        <v>217</v>
      </c>
      <c r="AL63" s="79">
        <v>299</v>
      </c>
      <c r="AM63" s="79">
        <v>301</v>
      </c>
      <c r="AN63" s="79">
        <v>302</v>
      </c>
      <c r="AO63" s="79">
        <v>399</v>
      </c>
      <c r="AP63" s="79">
        <v>401</v>
      </c>
      <c r="AQ63" s="79">
        <v>402</v>
      </c>
      <c r="AR63" s="79">
        <v>411</v>
      </c>
      <c r="AS63" s="79">
        <v>412</v>
      </c>
      <c r="AT63" s="79">
        <v>413</v>
      </c>
      <c r="AU63" s="79">
        <v>499</v>
      </c>
      <c r="AV63" s="79">
        <v>501</v>
      </c>
      <c r="AW63" s="79">
        <v>502</v>
      </c>
      <c r="AX63" s="79">
        <v>599</v>
      </c>
      <c r="AY63" s="79">
        <v>604</v>
      </c>
      <c r="AZ63" s="79">
        <v>605</v>
      </c>
      <c r="BA63" s="79">
        <v>699</v>
      </c>
      <c r="BB63" s="79">
        <v>701</v>
      </c>
      <c r="BC63" s="79">
        <v>702</v>
      </c>
      <c r="BD63" s="79">
        <v>703</v>
      </c>
      <c r="BE63" s="79">
        <v>704</v>
      </c>
      <c r="BF63" s="79">
        <v>799</v>
      </c>
      <c r="BG63" s="84">
        <v>999</v>
      </c>
    </row>
    <row r="64" spans="1:59" ht="62.25" customHeight="1">
      <c r="A64" s="10" t="s">
        <v>18</v>
      </c>
      <c r="B64" s="10" t="s">
        <v>19</v>
      </c>
      <c r="C64" s="13" t="s">
        <v>20</v>
      </c>
      <c r="D64" s="12" t="s">
        <v>21</v>
      </c>
      <c r="E64" s="13" t="s">
        <v>22</v>
      </c>
      <c r="F64" s="13" t="s">
        <v>23</v>
      </c>
      <c r="G64" s="13" t="s">
        <v>25</v>
      </c>
      <c r="H64" s="13" t="s">
        <v>24</v>
      </c>
      <c r="I64" s="14" t="s">
        <v>26</v>
      </c>
      <c r="J64" s="14" t="s">
        <v>27</v>
      </c>
      <c r="K64" s="15" t="s">
        <v>28</v>
      </c>
      <c r="L64" s="15" t="s">
        <v>29</v>
      </c>
      <c r="M64" s="15" t="s">
        <v>30</v>
      </c>
      <c r="N64" s="15" t="s">
        <v>32</v>
      </c>
      <c r="O64" s="15" t="s">
        <v>31</v>
      </c>
      <c r="P64" s="26" t="s">
        <v>33</v>
      </c>
      <c r="Q64" s="15" t="s">
        <v>43</v>
      </c>
      <c r="R64" s="15" t="s">
        <v>45</v>
      </c>
      <c r="S64" s="83"/>
      <c r="T64" s="83"/>
      <c r="U64" s="80"/>
      <c r="V64" s="80"/>
      <c r="W64" s="80"/>
      <c r="X64" s="80"/>
      <c r="Y64" s="80"/>
      <c r="Z64" s="80"/>
      <c r="AA64" s="80"/>
      <c r="AB64" s="80"/>
      <c r="AC64" s="80"/>
      <c r="AD64" s="80"/>
      <c r="AE64" s="80"/>
      <c r="AF64" s="80"/>
      <c r="AG64" s="80"/>
      <c r="AH64" s="79"/>
      <c r="AI64" s="79"/>
      <c r="AJ64" s="79"/>
      <c r="AK64" s="79"/>
      <c r="AL64" s="79"/>
      <c r="AM64" s="79"/>
      <c r="AN64" s="79"/>
      <c r="AO64" s="79"/>
      <c r="AP64" s="79"/>
      <c r="AQ64" s="79"/>
      <c r="AR64" s="79"/>
      <c r="AS64" s="79"/>
      <c r="AT64" s="79"/>
      <c r="AU64" s="79"/>
      <c r="AV64" s="79"/>
      <c r="AW64" s="79"/>
      <c r="AX64" s="79"/>
      <c r="AY64" s="79"/>
      <c r="AZ64" s="79"/>
      <c r="BA64" s="79"/>
      <c r="BB64" s="79"/>
      <c r="BC64" s="79"/>
      <c r="BD64" s="79"/>
      <c r="BE64" s="79"/>
      <c r="BF64" s="79"/>
      <c r="BG64" s="84"/>
    </row>
    <row r="65" spans="1:59" s="17" customFormat="1" ht="12" hidden="1" customHeight="1">
      <c r="A65" s="108"/>
      <c r="B65" s="87"/>
      <c r="C65" s="89"/>
      <c r="D65" s="91"/>
      <c r="E65" s="89"/>
      <c r="F65" s="89"/>
      <c r="G65" s="93"/>
      <c r="H65" s="89"/>
      <c r="I65" s="89"/>
      <c r="J65" s="89"/>
      <c r="K65" s="20"/>
      <c r="L65" s="20"/>
      <c r="M65" s="20"/>
      <c r="N65" s="146" t="e">
        <f>O66/L66</f>
        <v>#DIV/0!</v>
      </c>
      <c r="O65" s="21">
        <f t="shared" ref="O65:O70" si="6">L65-M65</f>
        <v>0</v>
      </c>
      <c r="P65" s="27"/>
      <c r="Q65" s="99">
        <f>+L66-P66</f>
        <v>0</v>
      </c>
      <c r="R65" s="108"/>
      <c r="S65" s="149"/>
      <c r="T65" s="149"/>
      <c r="U65" s="149"/>
      <c r="V65" s="149"/>
      <c r="W65" s="149"/>
      <c r="X65" s="149"/>
      <c r="Y65" s="149"/>
      <c r="Z65" s="149"/>
      <c r="AA65" s="149"/>
      <c r="AB65" s="149"/>
      <c r="AC65" s="149"/>
      <c r="AD65" s="149"/>
      <c r="AE65" s="149"/>
      <c r="AF65" s="149"/>
      <c r="AG65" s="149"/>
      <c r="AH65" s="149"/>
      <c r="AI65" s="149"/>
      <c r="AJ65" s="149"/>
      <c r="AK65" s="149"/>
      <c r="AL65" s="149"/>
      <c r="AM65" s="163"/>
      <c r="AN65" s="163"/>
      <c r="AO65" s="163"/>
      <c r="AP65" s="163"/>
      <c r="AQ65" s="163"/>
      <c r="AR65" s="163"/>
      <c r="AS65" s="163"/>
      <c r="AT65" s="163"/>
      <c r="AU65" s="163"/>
      <c r="AV65" s="163"/>
      <c r="AW65" s="163"/>
      <c r="AX65" s="163"/>
      <c r="AY65" s="167"/>
      <c r="AZ65" s="167"/>
      <c r="BA65" s="167"/>
      <c r="BB65" s="167"/>
      <c r="BC65" s="167"/>
      <c r="BD65" s="161"/>
      <c r="BE65" s="163"/>
      <c r="BF65" s="165"/>
      <c r="BG65" s="165"/>
    </row>
    <row r="66" spans="1:59" s="17" customFormat="1" ht="12" hidden="1" customHeight="1">
      <c r="A66" s="85"/>
      <c r="B66" s="88"/>
      <c r="C66" s="90"/>
      <c r="D66" s="92"/>
      <c r="E66" s="90"/>
      <c r="F66" s="90"/>
      <c r="G66" s="94"/>
      <c r="H66" s="90"/>
      <c r="I66" s="90"/>
      <c r="J66" s="90"/>
      <c r="K66" s="22"/>
      <c r="L66" s="18"/>
      <c r="M66" s="18"/>
      <c r="N66" s="147"/>
      <c r="O66" s="19">
        <f t="shared" si="6"/>
        <v>0</v>
      </c>
      <c r="P66" s="22"/>
      <c r="Q66" s="100"/>
      <c r="R66" s="85"/>
      <c r="S66" s="150"/>
      <c r="T66" s="150"/>
      <c r="U66" s="150"/>
      <c r="V66" s="150"/>
      <c r="W66" s="150"/>
      <c r="X66" s="150"/>
      <c r="Y66" s="150"/>
      <c r="Z66" s="150"/>
      <c r="AA66" s="150"/>
      <c r="AB66" s="150"/>
      <c r="AC66" s="150"/>
      <c r="AD66" s="150"/>
      <c r="AE66" s="150"/>
      <c r="AF66" s="150"/>
      <c r="AG66" s="150"/>
      <c r="AH66" s="150"/>
      <c r="AI66" s="150"/>
      <c r="AJ66" s="150"/>
      <c r="AK66" s="150"/>
      <c r="AL66" s="150"/>
      <c r="AM66" s="164"/>
      <c r="AN66" s="164"/>
      <c r="AO66" s="164"/>
      <c r="AP66" s="164"/>
      <c r="AQ66" s="164"/>
      <c r="AR66" s="164"/>
      <c r="AS66" s="164"/>
      <c r="AT66" s="164"/>
      <c r="AU66" s="164"/>
      <c r="AV66" s="164"/>
      <c r="AW66" s="164"/>
      <c r="AX66" s="164"/>
      <c r="AY66" s="168"/>
      <c r="AZ66" s="168"/>
      <c r="BA66" s="168"/>
      <c r="BB66" s="168"/>
      <c r="BC66" s="168"/>
      <c r="BD66" s="162"/>
      <c r="BE66" s="164"/>
      <c r="BF66" s="166"/>
      <c r="BG66" s="166"/>
    </row>
    <row r="67" spans="1:59" s="17" customFormat="1" ht="18" customHeight="1">
      <c r="A67" s="108">
        <v>45286</v>
      </c>
      <c r="B67" s="138" t="s">
        <v>37</v>
      </c>
      <c r="C67" s="90" t="s">
        <v>56</v>
      </c>
      <c r="D67" s="91" t="s">
        <v>38</v>
      </c>
      <c r="E67" s="89">
        <v>84217</v>
      </c>
      <c r="F67" s="89" t="s">
        <v>49</v>
      </c>
      <c r="G67" s="137" t="s">
        <v>61</v>
      </c>
      <c r="H67" s="95" t="s">
        <v>39</v>
      </c>
      <c r="I67" s="90">
        <v>4497</v>
      </c>
      <c r="J67" s="90">
        <v>4097</v>
      </c>
      <c r="K67" s="20">
        <v>5</v>
      </c>
      <c r="L67" s="20">
        <v>5</v>
      </c>
      <c r="M67" s="20">
        <v>5</v>
      </c>
      <c r="N67" s="97">
        <f>O68/L68</f>
        <v>0.61214041930765484</v>
      </c>
      <c r="O67" s="21">
        <f t="shared" si="6"/>
        <v>0</v>
      </c>
      <c r="P67" s="27">
        <v>5</v>
      </c>
      <c r="Q67" s="99">
        <f>+L68-P68</f>
        <v>0</v>
      </c>
      <c r="R67" s="85"/>
      <c r="S67" s="96"/>
      <c r="T67" s="96"/>
      <c r="U67" s="96"/>
      <c r="V67" s="96"/>
      <c r="W67" s="96"/>
      <c r="X67" s="96"/>
      <c r="Y67" s="96"/>
      <c r="Z67" s="96"/>
      <c r="AA67" s="96"/>
      <c r="AB67" s="96"/>
      <c r="AC67" s="96"/>
      <c r="AD67" s="96"/>
      <c r="AE67" s="96"/>
      <c r="AF67" s="96"/>
      <c r="AG67" s="96"/>
      <c r="AH67" s="96"/>
      <c r="AI67" s="96"/>
      <c r="AJ67" s="96"/>
      <c r="AK67" s="96"/>
      <c r="AL67" s="96"/>
      <c r="AM67" s="103"/>
      <c r="AN67" s="103"/>
      <c r="AO67" s="103"/>
      <c r="AP67" s="103"/>
      <c r="AQ67" s="103"/>
      <c r="AR67" s="103"/>
      <c r="AS67" s="103"/>
      <c r="AT67" s="103"/>
      <c r="AU67" s="103"/>
      <c r="AV67" s="103"/>
      <c r="AW67" s="103"/>
      <c r="AX67" s="103"/>
      <c r="AY67" s="106"/>
      <c r="AZ67" s="106"/>
      <c r="BA67" s="106"/>
      <c r="BB67" s="106"/>
      <c r="BC67" s="106"/>
      <c r="BD67" s="106"/>
      <c r="BE67" s="103"/>
      <c r="BF67" s="104"/>
      <c r="BG67" s="104"/>
    </row>
    <row r="68" spans="1:59" s="17" customFormat="1" ht="17.25" customHeight="1">
      <c r="A68" s="85"/>
      <c r="B68" s="139"/>
      <c r="C68" s="95"/>
      <c r="D68" s="92"/>
      <c r="E68" s="90"/>
      <c r="F68" s="90"/>
      <c r="G68" s="95"/>
      <c r="H68" s="95"/>
      <c r="I68" s="95"/>
      <c r="J68" s="95"/>
      <c r="K68" s="18">
        <f>260+160+50+100+100+240+349+166+150+60+120+30+30+230+80+125+115+200+209+115+50+371+435+245+60+40+7+5</f>
        <v>4102</v>
      </c>
      <c r="L68" s="18">
        <f>260+160+50+100+140+100+240+150+60+370+60+150+75+245+185+200+450+375+390+290+40+7+5</f>
        <v>4102</v>
      </c>
      <c r="M68" s="18">
        <f>120+55+27+40+30+60+87+45+34+74+40+100+40+75+74+73+199+146+180+50+30+7+5</f>
        <v>1591</v>
      </c>
      <c r="N68" s="98"/>
      <c r="O68" s="19">
        <f t="shared" si="6"/>
        <v>2511</v>
      </c>
      <c r="P68" s="49">
        <f>170+70+15+112+30+30+83+50+100+127+218+53+42+60+34+200+66+100+130+190+144+20+151+307+424+312+340+441+22+30+26+5</f>
        <v>4102</v>
      </c>
      <c r="Q68" s="100"/>
      <c r="R68" s="86"/>
      <c r="S68" s="96"/>
      <c r="T68" s="96"/>
      <c r="U68" s="96"/>
      <c r="V68" s="96"/>
      <c r="W68" s="96"/>
      <c r="X68" s="96"/>
      <c r="Y68" s="96"/>
      <c r="Z68" s="96"/>
      <c r="AA68" s="96"/>
      <c r="AB68" s="96"/>
      <c r="AC68" s="96"/>
      <c r="AD68" s="96"/>
      <c r="AE68" s="96"/>
      <c r="AF68" s="96"/>
      <c r="AG68" s="96"/>
      <c r="AH68" s="96"/>
      <c r="AI68" s="96"/>
      <c r="AJ68" s="96"/>
      <c r="AK68" s="96"/>
      <c r="AL68" s="96"/>
      <c r="AM68" s="103"/>
      <c r="AN68" s="103"/>
      <c r="AO68" s="103"/>
      <c r="AP68" s="103"/>
      <c r="AQ68" s="103"/>
      <c r="AR68" s="103"/>
      <c r="AS68" s="103"/>
      <c r="AT68" s="103"/>
      <c r="AU68" s="103"/>
      <c r="AV68" s="103"/>
      <c r="AW68" s="103"/>
      <c r="AX68" s="103"/>
      <c r="AY68" s="107"/>
      <c r="AZ68" s="107"/>
      <c r="BA68" s="107"/>
      <c r="BB68" s="107"/>
      <c r="BC68" s="107"/>
      <c r="BD68" s="107"/>
      <c r="BE68" s="103"/>
      <c r="BF68" s="105"/>
      <c r="BG68" s="105"/>
    </row>
    <row r="69" spans="1:59" s="17" customFormat="1" ht="18" customHeight="1">
      <c r="A69" s="108">
        <v>45286</v>
      </c>
      <c r="B69" s="132" t="s">
        <v>37</v>
      </c>
      <c r="C69" s="117" t="s">
        <v>56</v>
      </c>
      <c r="D69" s="118" t="s">
        <v>38</v>
      </c>
      <c r="E69" s="116">
        <v>84217</v>
      </c>
      <c r="F69" s="116" t="s">
        <v>49</v>
      </c>
      <c r="G69" s="141" t="s">
        <v>63</v>
      </c>
      <c r="H69" s="95" t="s">
        <v>39</v>
      </c>
      <c r="I69" s="90">
        <v>4970</v>
      </c>
      <c r="J69" s="90">
        <v>4754</v>
      </c>
      <c r="K69" s="20">
        <v>50</v>
      </c>
      <c r="L69" s="20">
        <f>110+50</f>
        <v>160</v>
      </c>
      <c r="M69" s="20">
        <f>48+30</f>
        <v>78</v>
      </c>
      <c r="N69" s="143">
        <f>O70/L70</f>
        <v>0.52376237623762378</v>
      </c>
      <c r="O69" s="21">
        <f t="shared" si="6"/>
        <v>82</v>
      </c>
      <c r="P69" s="60">
        <f>132+60</f>
        <v>192</v>
      </c>
      <c r="Q69" s="99">
        <f>+L70-P70</f>
        <v>162</v>
      </c>
      <c r="R69" s="101"/>
      <c r="S69" s="96">
        <v>2</v>
      </c>
      <c r="T69" s="96"/>
      <c r="U69" s="96">
        <v>14</v>
      </c>
      <c r="V69" s="96"/>
      <c r="W69" s="96"/>
      <c r="X69" s="96"/>
      <c r="Y69" s="96"/>
      <c r="Z69" s="96"/>
      <c r="AA69" s="96"/>
      <c r="AB69" s="96"/>
      <c r="AC69" s="140">
        <v>27</v>
      </c>
      <c r="AD69" s="96"/>
      <c r="AE69" s="96">
        <v>10</v>
      </c>
      <c r="AF69" s="96"/>
      <c r="AG69" s="96"/>
      <c r="AH69" s="96">
        <v>19</v>
      </c>
      <c r="AI69" s="96"/>
      <c r="AJ69" s="96"/>
      <c r="AK69" s="96"/>
      <c r="AL69" s="96">
        <v>10</v>
      </c>
      <c r="AM69" s="96"/>
      <c r="AN69" s="96"/>
      <c r="AO69" s="96"/>
      <c r="AP69" s="96"/>
      <c r="AQ69" s="96"/>
      <c r="AR69" s="96"/>
      <c r="AS69" s="96"/>
      <c r="AT69" s="96"/>
      <c r="AU69" s="96"/>
      <c r="AV69" s="96"/>
      <c r="AW69" s="96"/>
      <c r="AX69" s="96"/>
      <c r="AY69" s="124"/>
      <c r="AZ69" s="123"/>
      <c r="BA69" s="123"/>
      <c r="BB69" s="123"/>
      <c r="BC69" s="123"/>
      <c r="BD69" s="123"/>
      <c r="BE69" s="123"/>
      <c r="BF69" s="123"/>
      <c r="BG69" s="123"/>
    </row>
    <row r="70" spans="1:59" s="17" customFormat="1" ht="17.25" customHeight="1">
      <c r="A70" s="85"/>
      <c r="B70" s="145"/>
      <c r="C70" s="142"/>
      <c r="D70" s="119"/>
      <c r="E70" s="117"/>
      <c r="F70" s="117"/>
      <c r="G70" s="142"/>
      <c r="H70" s="95"/>
      <c r="I70" s="95"/>
      <c r="J70" s="95"/>
      <c r="K70" s="3">
        <f>300+50+100+200+310+50</f>
        <v>1010</v>
      </c>
      <c r="L70" s="3">
        <f>200+150+100+100+300+160</f>
        <v>1010</v>
      </c>
      <c r="M70" s="3">
        <f>88+64+65+19+167+78</f>
        <v>481</v>
      </c>
      <c r="N70" s="144"/>
      <c r="O70" s="7">
        <f t="shared" si="6"/>
        <v>529</v>
      </c>
      <c r="P70" s="22">
        <f>88+144+147+54+223+192</f>
        <v>848</v>
      </c>
      <c r="Q70" s="100"/>
      <c r="R70" s="102"/>
      <c r="S70" s="96"/>
      <c r="T70" s="96"/>
      <c r="U70" s="96"/>
      <c r="V70" s="96"/>
      <c r="W70" s="96"/>
      <c r="X70" s="96"/>
      <c r="Y70" s="96"/>
      <c r="Z70" s="96"/>
      <c r="AA70" s="96"/>
      <c r="AB70" s="96"/>
      <c r="AC70" s="140"/>
      <c r="AD70" s="96"/>
      <c r="AE70" s="96"/>
      <c r="AF70" s="96"/>
      <c r="AG70" s="96"/>
      <c r="AH70" s="96"/>
      <c r="AI70" s="96"/>
      <c r="AJ70" s="96"/>
      <c r="AK70" s="96"/>
      <c r="AL70" s="96"/>
      <c r="AM70" s="96"/>
      <c r="AN70" s="96"/>
      <c r="AO70" s="96"/>
      <c r="AP70" s="96"/>
      <c r="AQ70" s="96"/>
      <c r="AR70" s="96"/>
      <c r="AS70" s="96"/>
      <c r="AT70" s="96"/>
      <c r="AU70" s="96"/>
      <c r="AV70" s="96"/>
      <c r="AW70" s="96"/>
      <c r="AX70" s="96"/>
      <c r="AY70" s="124"/>
      <c r="AZ70" s="124"/>
      <c r="BA70" s="124"/>
      <c r="BB70" s="124"/>
      <c r="BC70" s="124"/>
      <c r="BD70" s="124"/>
      <c r="BE70" s="124"/>
      <c r="BF70" s="124"/>
      <c r="BG70" s="124"/>
    </row>
    <row r="71" spans="1:59" s="17" customFormat="1" ht="12" hidden="1" customHeight="1">
      <c r="A71" s="108"/>
      <c r="B71" s="132"/>
      <c r="C71" s="117"/>
      <c r="D71" s="118"/>
      <c r="E71" s="116"/>
      <c r="F71" s="116"/>
      <c r="G71" s="141"/>
      <c r="H71" s="95"/>
      <c r="I71" s="90"/>
      <c r="J71" s="90"/>
      <c r="K71" s="20"/>
      <c r="L71" s="20"/>
      <c r="M71" s="20"/>
      <c r="N71" s="143"/>
      <c r="O71" s="61"/>
      <c r="P71" s="60"/>
      <c r="Q71" s="172"/>
      <c r="R71" s="101"/>
      <c r="S71" s="96"/>
      <c r="T71" s="96"/>
      <c r="U71" s="96"/>
      <c r="V71" s="96"/>
      <c r="W71" s="96"/>
      <c r="X71" s="96"/>
      <c r="Y71" s="96"/>
      <c r="Z71" s="96"/>
      <c r="AA71" s="96"/>
      <c r="AB71" s="96"/>
      <c r="AC71" s="140"/>
      <c r="AD71" s="96"/>
      <c r="AE71" s="96"/>
      <c r="AF71" s="96"/>
      <c r="AG71" s="96"/>
      <c r="AH71" s="96"/>
      <c r="AI71" s="96"/>
      <c r="AJ71" s="96"/>
      <c r="AK71" s="96"/>
      <c r="AL71" s="96"/>
      <c r="AM71" s="96"/>
      <c r="AN71" s="96"/>
      <c r="AO71" s="96"/>
      <c r="AP71" s="96"/>
      <c r="AQ71" s="96"/>
      <c r="AR71" s="96"/>
      <c r="AS71" s="96"/>
      <c r="AT71" s="96"/>
      <c r="AU71" s="96"/>
      <c r="AV71" s="96"/>
      <c r="AW71" s="96"/>
      <c r="AX71" s="96"/>
      <c r="AY71" s="124"/>
      <c r="AZ71" s="123"/>
      <c r="BA71" s="123"/>
      <c r="BB71" s="123"/>
      <c r="BC71" s="123"/>
      <c r="BD71" s="123"/>
      <c r="BE71" s="123"/>
      <c r="BF71" s="123"/>
      <c r="BG71" s="123"/>
    </row>
    <row r="72" spans="1:59" s="17" customFormat="1" ht="12" hidden="1" customHeight="1">
      <c r="A72" s="85"/>
      <c r="B72" s="145"/>
      <c r="C72" s="142"/>
      <c r="D72" s="119"/>
      <c r="E72" s="117"/>
      <c r="F72" s="117"/>
      <c r="G72" s="142"/>
      <c r="H72" s="95"/>
      <c r="I72" s="95"/>
      <c r="J72" s="95"/>
      <c r="K72" s="3"/>
      <c r="L72" s="3"/>
      <c r="M72" s="3"/>
      <c r="N72" s="144"/>
      <c r="O72" s="59"/>
      <c r="P72" s="22"/>
      <c r="Q72" s="173"/>
      <c r="R72" s="102"/>
      <c r="S72" s="96"/>
      <c r="T72" s="96"/>
      <c r="U72" s="96"/>
      <c r="V72" s="96"/>
      <c r="W72" s="96"/>
      <c r="X72" s="96"/>
      <c r="Y72" s="96"/>
      <c r="Z72" s="96"/>
      <c r="AA72" s="96"/>
      <c r="AB72" s="96"/>
      <c r="AC72" s="140"/>
      <c r="AD72" s="96"/>
      <c r="AE72" s="96"/>
      <c r="AF72" s="96"/>
      <c r="AG72" s="96"/>
      <c r="AH72" s="96"/>
      <c r="AI72" s="96"/>
      <c r="AJ72" s="96"/>
      <c r="AK72" s="96"/>
      <c r="AL72" s="96"/>
      <c r="AM72" s="96"/>
      <c r="AN72" s="96"/>
      <c r="AO72" s="96"/>
      <c r="AP72" s="96"/>
      <c r="AQ72" s="96"/>
      <c r="AR72" s="96"/>
      <c r="AS72" s="96"/>
      <c r="AT72" s="96"/>
      <c r="AU72" s="96"/>
      <c r="AV72" s="96"/>
      <c r="AW72" s="96"/>
      <c r="AX72" s="96"/>
      <c r="AY72" s="124"/>
      <c r="AZ72" s="124"/>
      <c r="BA72" s="124"/>
      <c r="BB72" s="124"/>
      <c r="BC72" s="124"/>
      <c r="BD72" s="124"/>
      <c r="BE72" s="124"/>
      <c r="BF72" s="124"/>
      <c r="BG72" s="124"/>
    </row>
    <row r="73" spans="1:59" ht="24.75" customHeight="1">
      <c r="A73" s="111" t="s">
        <v>15</v>
      </c>
      <c r="B73" s="112"/>
      <c r="C73" s="112"/>
      <c r="D73" s="112"/>
      <c r="E73" s="112"/>
      <c r="F73" s="112"/>
      <c r="G73" s="112"/>
      <c r="H73" s="112"/>
      <c r="I73" s="113"/>
      <c r="J73" s="5">
        <f>SUM(J65:J72)</f>
        <v>8851</v>
      </c>
      <c r="K73" s="5">
        <f>+SUMPRODUCT(((MOD(ROW(K65:K72),2)=1)*(K65:K72)))</f>
        <v>55</v>
      </c>
      <c r="L73" s="5">
        <f>+SUMPRODUCT(((MOD(ROW(L65:L72),2)=1)*(L65:L72)))</f>
        <v>165</v>
      </c>
      <c r="M73" s="5">
        <f>+SUMPRODUCT(((MOD(ROW(M65:M72),2)=1)*(M65:M72)))</f>
        <v>83</v>
      </c>
      <c r="N73" s="23">
        <f>O73/L73</f>
        <v>0.49696969696969695</v>
      </c>
      <c r="O73" s="5">
        <f>+SUMPRODUCT(((MOD(ROW(O65:O72),2)=1)*(O65:O72)))</f>
        <v>82</v>
      </c>
      <c r="P73" s="5">
        <f>+SUMPRODUCT(((MOD(ROW(P65:P72),2)=1)*(P65:P72)))</f>
        <v>197</v>
      </c>
      <c r="Q73" s="5">
        <f>+SUMPRODUCT(((MOD(ROW(Q65:Q72),2)=1)*(Q65:Q72)))</f>
        <v>162</v>
      </c>
      <c r="R73" s="5"/>
      <c r="S73" s="5">
        <f t="shared" ref="S73:BG73" si="7">SUM(S65:S72)</f>
        <v>2</v>
      </c>
      <c r="T73" s="5">
        <f t="shared" si="7"/>
        <v>0</v>
      </c>
      <c r="U73" s="5">
        <f t="shared" si="7"/>
        <v>14</v>
      </c>
      <c r="V73" s="5">
        <f t="shared" si="7"/>
        <v>0</v>
      </c>
      <c r="W73" s="5">
        <f t="shared" si="7"/>
        <v>0</v>
      </c>
      <c r="X73" s="5">
        <f t="shared" si="7"/>
        <v>0</v>
      </c>
      <c r="Y73" s="5">
        <f t="shared" si="7"/>
        <v>0</v>
      </c>
      <c r="Z73" s="5">
        <f t="shared" si="7"/>
        <v>0</v>
      </c>
      <c r="AA73" s="5">
        <f t="shared" si="7"/>
        <v>0</v>
      </c>
      <c r="AB73" s="5">
        <f t="shared" si="7"/>
        <v>0</v>
      </c>
      <c r="AC73" s="5">
        <f t="shared" si="7"/>
        <v>27</v>
      </c>
      <c r="AD73" s="5">
        <f t="shared" si="7"/>
        <v>0</v>
      </c>
      <c r="AE73" s="5">
        <f t="shared" si="7"/>
        <v>10</v>
      </c>
      <c r="AF73" s="5">
        <f t="shared" si="7"/>
        <v>0</v>
      </c>
      <c r="AG73" s="5">
        <f t="shared" si="7"/>
        <v>0</v>
      </c>
      <c r="AH73" s="5">
        <f t="shared" si="7"/>
        <v>19</v>
      </c>
      <c r="AI73" s="5">
        <f t="shared" si="7"/>
        <v>0</v>
      </c>
      <c r="AJ73" s="5">
        <f t="shared" si="7"/>
        <v>0</v>
      </c>
      <c r="AK73" s="5">
        <f t="shared" si="7"/>
        <v>0</v>
      </c>
      <c r="AL73" s="5">
        <f t="shared" si="7"/>
        <v>10</v>
      </c>
      <c r="AM73" s="5">
        <f t="shared" si="7"/>
        <v>0</v>
      </c>
      <c r="AN73" s="5">
        <f t="shared" si="7"/>
        <v>0</v>
      </c>
      <c r="AO73" s="5">
        <f t="shared" si="7"/>
        <v>0</v>
      </c>
      <c r="AP73" s="5">
        <f t="shared" si="7"/>
        <v>0</v>
      </c>
      <c r="AQ73" s="5">
        <f t="shared" si="7"/>
        <v>0</v>
      </c>
      <c r="AR73" s="5">
        <f t="shared" si="7"/>
        <v>0</v>
      </c>
      <c r="AS73" s="5">
        <f t="shared" si="7"/>
        <v>0</v>
      </c>
      <c r="AT73" s="5">
        <f t="shared" si="7"/>
        <v>0</v>
      </c>
      <c r="AU73" s="5">
        <f t="shared" si="7"/>
        <v>0</v>
      </c>
      <c r="AV73" s="5">
        <f t="shared" si="7"/>
        <v>0</v>
      </c>
      <c r="AW73" s="5">
        <f t="shared" si="7"/>
        <v>0</v>
      </c>
      <c r="AX73" s="5">
        <f t="shared" si="7"/>
        <v>0</v>
      </c>
      <c r="AY73" s="5">
        <f t="shared" si="7"/>
        <v>0</v>
      </c>
      <c r="AZ73" s="5">
        <f t="shared" si="7"/>
        <v>0</v>
      </c>
      <c r="BA73" s="5">
        <f t="shared" si="7"/>
        <v>0</v>
      </c>
      <c r="BB73" s="5">
        <f t="shared" si="7"/>
        <v>0</v>
      </c>
      <c r="BC73" s="5">
        <f t="shared" si="7"/>
        <v>0</v>
      </c>
      <c r="BD73" s="5">
        <f t="shared" si="7"/>
        <v>0</v>
      </c>
      <c r="BE73" s="5">
        <f t="shared" si="7"/>
        <v>0</v>
      </c>
      <c r="BF73" s="5">
        <f t="shared" si="7"/>
        <v>0</v>
      </c>
      <c r="BG73" s="5">
        <f t="shared" si="7"/>
        <v>0</v>
      </c>
    </row>
    <row r="74" spans="1:59" s="17" customFormat="1" ht="15.75" hidden="1" customHeight="1">
      <c r="A74" s="101"/>
      <c r="B74" s="114"/>
      <c r="C74" s="116"/>
      <c r="D74" s="118"/>
      <c r="E74" s="116"/>
      <c r="F74" s="116"/>
      <c r="G74" s="120"/>
      <c r="H74" s="151"/>
      <c r="I74" s="89"/>
      <c r="J74" s="89"/>
      <c r="K74" s="20"/>
      <c r="L74" s="20"/>
      <c r="M74" s="20"/>
      <c r="N74" s="146"/>
      <c r="O74" s="21"/>
      <c r="P74" s="27"/>
      <c r="Q74" s="99"/>
      <c r="R74" s="148"/>
      <c r="S74" s="149"/>
      <c r="T74" s="149"/>
      <c r="U74" s="149"/>
      <c r="V74" s="149"/>
      <c r="W74" s="149"/>
      <c r="X74" s="149"/>
      <c r="Y74" s="149"/>
      <c r="Z74" s="149"/>
      <c r="AA74" s="149"/>
      <c r="AB74" s="149"/>
      <c r="AC74" s="149"/>
      <c r="AD74" s="149"/>
      <c r="AE74" s="149"/>
      <c r="AF74" s="149"/>
      <c r="AG74" s="149"/>
      <c r="AH74" s="149"/>
      <c r="AI74" s="149"/>
      <c r="AJ74" s="149"/>
      <c r="AK74" s="149"/>
      <c r="AL74" s="149"/>
      <c r="AM74" s="149"/>
      <c r="AN74" s="149"/>
      <c r="AO74" s="149"/>
      <c r="AP74" s="149"/>
      <c r="AQ74" s="149"/>
      <c r="AR74" s="149"/>
      <c r="AS74" s="149"/>
      <c r="AT74" s="149"/>
      <c r="AU74" s="149"/>
      <c r="AV74" s="149"/>
      <c r="AW74" s="149"/>
      <c r="AX74" s="149"/>
      <c r="AY74" s="152"/>
      <c r="AZ74" s="152"/>
      <c r="BA74" s="152"/>
      <c r="BB74" s="152"/>
      <c r="BC74" s="152"/>
      <c r="BD74" s="152"/>
      <c r="BE74" s="149"/>
      <c r="BF74" s="152"/>
      <c r="BG74" s="152"/>
    </row>
    <row r="75" spans="1:59" s="17" customFormat="1" ht="15.75" hidden="1" customHeight="1">
      <c r="A75" s="102"/>
      <c r="B75" s="115"/>
      <c r="C75" s="117"/>
      <c r="D75" s="119"/>
      <c r="E75" s="117"/>
      <c r="F75" s="117"/>
      <c r="G75" s="121"/>
      <c r="H75" s="90"/>
      <c r="I75" s="90"/>
      <c r="J75" s="90"/>
      <c r="K75" s="22"/>
      <c r="L75" s="18"/>
      <c r="M75" s="18"/>
      <c r="N75" s="147"/>
      <c r="O75" s="19"/>
      <c r="P75" s="22"/>
      <c r="Q75" s="100"/>
      <c r="R75" s="101"/>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3"/>
      <c r="AZ75" s="153"/>
      <c r="BA75" s="153"/>
      <c r="BB75" s="153"/>
      <c r="BC75" s="153"/>
      <c r="BD75" s="153"/>
      <c r="BE75" s="150"/>
      <c r="BF75" s="153"/>
      <c r="BG75" s="153"/>
    </row>
    <row r="76" spans="1:59" s="17" customFormat="1" ht="15.75" hidden="1" customHeight="1">
      <c r="A76" s="101"/>
      <c r="B76" s="114"/>
      <c r="C76" s="116"/>
      <c r="D76" s="118"/>
      <c r="E76" s="116"/>
      <c r="F76" s="116"/>
      <c r="G76" s="120"/>
      <c r="H76" s="151"/>
      <c r="I76" s="89"/>
      <c r="J76" s="89"/>
      <c r="K76" s="20"/>
      <c r="L76" s="20"/>
      <c r="M76" s="20"/>
      <c r="N76" s="146"/>
      <c r="O76" s="21"/>
      <c r="P76" s="27"/>
      <c r="Q76" s="99"/>
      <c r="R76" s="148"/>
      <c r="S76" s="149"/>
      <c r="T76" s="149"/>
      <c r="U76" s="149"/>
      <c r="V76" s="149"/>
      <c r="W76" s="149"/>
      <c r="X76" s="149"/>
      <c r="Y76" s="149"/>
      <c r="Z76" s="149"/>
      <c r="AA76" s="149"/>
      <c r="AB76" s="149"/>
      <c r="AC76" s="149"/>
      <c r="AD76" s="149"/>
      <c r="AE76" s="149"/>
      <c r="AF76" s="149"/>
      <c r="AG76" s="149"/>
      <c r="AH76" s="149"/>
      <c r="AI76" s="149"/>
      <c r="AJ76" s="149"/>
      <c r="AK76" s="149"/>
      <c r="AL76" s="149"/>
      <c r="AM76" s="149"/>
      <c r="AN76" s="149"/>
      <c r="AO76" s="149"/>
      <c r="AP76" s="149"/>
      <c r="AQ76" s="149"/>
      <c r="AR76" s="149"/>
      <c r="AS76" s="149"/>
      <c r="AT76" s="149"/>
      <c r="AU76" s="149"/>
      <c r="AV76" s="149"/>
      <c r="AW76" s="149"/>
      <c r="AX76" s="149"/>
      <c r="AY76" s="152"/>
      <c r="AZ76" s="152"/>
      <c r="BA76" s="152"/>
      <c r="BB76" s="152"/>
      <c r="BC76" s="152"/>
      <c r="BD76" s="152"/>
      <c r="BE76" s="149"/>
      <c r="BF76" s="152"/>
      <c r="BG76" s="152"/>
    </row>
    <row r="77" spans="1:59" s="17" customFormat="1" ht="15.75" hidden="1" customHeight="1">
      <c r="A77" s="102"/>
      <c r="B77" s="115"/>
      <c r="C77" s="117"/>
      <c r="D77" s="119"/>
      <c r="E77" s="117"/>
      <c r="F77" s="117"/>
      <c r="G77" s="121"/>
      <c r="H77" s="90"/>
      <c r="I77" s="90"/>
      <c r="J77" s="90"/>
      <c r="K77" s="22"/>
      <c r="L77" s="18"/>
      <c r="M77" s="18"/>
      <c r="N77" s="147"/>
      <c r="O77" s="19"/>
      <c r="P77" s="22"/>
      <c r="Q77" s="100"/>
      <c r="R77" s="101"/>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3"/>
      <c r="AZ77" s="153"/>
      <c r="BA77" s="153"/>
      <c r="BB77" s="153"/>
      <c r="BC77" s="153"/>
      <c r="BD77" s="153"/>
      <c r="BE77" s="150"/>
      <c r="BF77" s="153"/>
      <c r="BG77" s="153"/>
    </row>
    <row r="78" spans="1:59" s="17" customFormat="1" ht="15.75" hidden="1" customHeight="1">
      <c r="A78" s="101"/>
      <c r="B78" s="114"/>
      <c r="C78" s="116"/>
      <c r="D78" s="118"/>
      <c r="E78" s="116"/>
      <c r="F78" s="116"/>
      <c r="G78" s="120"/>
      <c r="H78" s="109"/>
      <c r="I78" s="90"/>
      <c r="J78" s="90"/>
      <c r="K78" s="20"/>
      <c r="L78" s="20"/>
      <c r="M78" s="20"/>
      <c r="N78" s="97"/>
      <c r="O78" s="21"/>
      <c r="P78" s="27"/>
      <c r="Q78" s="99"/>
      <c r="R78" s="154"/>
      <c r="S78" s="96"/>
      <c r="T78" s="96"/>
      <c r="U78" s="96"/>
      <c r="V78" s="96"/>
      <c r="W78" s="96"/>
      <c r="X78" s="96"/>
      <c r="Y78" s="96"/>
      <c r="Z78" s="96"/>
      <c r="AA78" s="96"/>
      <c r="AB78" s="96"/>
      <c r="AC78" s="96"/>
      <c r="AD78" s="96"/>
      <c r="AE78" s="96"/>
      <c r="AF78" s="96"/>
      <c r="AG78" s="96"/>
      <c r="AH78" s="96"/>
      <c r="AI78" s="96"/>
      <c r="AJ78" s="96"/>
      <c r="AK78" s="96"/>
      <c r="AL78" s="96"/>
      <c r="AM78" s="96"/>
      <c r="AN78" s="96"/>
      <c r="AO78" s="96"/>
      <c r="AP78" s="96"/>
      <c r="AQ78" s="96"/>
      <c r="AR78" s="96"/>
      <c r="AS78" s="96"/>
      <c r="AT78" s="96"/>
      <c r="AU78" s="96"/>
      <c r="AV78" s="96"/>
      <c r="AW78" s="96"/>
      <c r="AX78" s="96"/>
      <c r="AY78" s="155"/>
      <c r="AZ78" s="155"/>
      <c r="BA78" s="155"/>
      <c r="BB78" s="155"/>
      <c r="BC78" s="155"/>
      <c r="BD78" s="155"/>
      <c r="BE78" s="96"/>
      <c r="BF78" s="155"/>
      <c r="BG78" s="155"/>
    </row>
    <row r="79" spans="1:59" s="17" customFormat="1" ht="15.75" hidden="1" customHeight="1">
      <c r="A79" s="102"/>
      <c r="B79" s="115"/>
      <c r="C79" s="117"/>
      <c r="D79" s="119"/>
      <c r="E79" s="117"/>
      <c r="F79" s="117"/>
      <c r="G79" s="121"/>
      <c r="H79" s="95"/>
      <c r="I79" s="95"/>
      <c r="J79" s="95"/>
      <c r="K79" s="22"/>
      <c r="L79" s="18"/>
      <c r="M79" s="18"/>
      <c r="N79" s="98"/>
      <c r="O79" s="19"/>
      <c r="P79" s="22"/>
      <c r="Q79" s="100"/>
      <c r="R79" s="101"/>
      <c r="S79" s="96"/>
      <c r="T79" s="96"/>
      <c r="U79" s="96"/>
      <c r="V79" s="96"/>
      <c r="W79" s="96"/>
      <c r="X79" s="96"/>
      <c r="Y79" s="96"/>
      <c r="Z79" s="96"/>
      <c r="AA79" s="96"/>
      <c r="AB79" s="96"/>
      <c r="AC79" s="96"/>
      <c r="AD79" s="96"/>
      <c r="AE79" s="96"/>
      <c r="AF79" s="96"/>
      <c r="AG79" s="96"/>
      <c r="AH79" s="96"/>
      <c r="AI79" s="96"/>
      <c r="AJ79" s="96"/>
      <c r="AK79" s="96"/>
      <c r="AL79" s="96"/>
      <c r="AM79" s="96"/>
      <c r="AN79" s="96"/>
      <c r="AO79" s="96"/>
      <c r="AP79" s="96"/>
      <c r="AQ79" s="96"/>
      <c r="AR79" s="96"/>
      <c r="AS79" s="96"/>
      <c r="AT79" s="96"/>
      <c r="AU79" s="96"/>
      <c r="AV79" s="96"/>
      <c r="AW79" s="96"/>
      <c r="AX79" s="96"/>
      <c r="AY79" s="156"/>
      <c r="AZ79" s="156"/>
      <c r="BA79" s="156"/>
      <c r="BB79" s="156"/>
      <c r="BC79" s="156"/>
      <c r="BD79" s="156"/>
      <c r="BE79" s="96"/>
      <c r="BF79" s="156"/>
      <c r="BG79" s="156"/>
    </row>
    <row r="80" spans="1:59" s="17" customFormat="1" ht="15.75" hidden="1" customHeight="1">
      <c r="A80" s="101"/>
      <c r="B80" s="114"/>
      <c r="C80" s="116"/>
      <c r="D80" s="118"/>
      <c r="E80" s="116"/>
      <c r="F80" s="116"/>
      <c r="G80" s="120"/>
      <c r="H80" s="109"/>
      <c r="I80" s="90"/>
      <c r="J80" s="90"/>
      <c r="K80" s="20"/>
      <c r="L80" s="20"/>
      <c r="M80" s="20"/>
      <c r="N80" s="97"/>
      <c r="O80" s="21"/>
      <c r="P80" s="27"/>
      <c r="Q80" s="99"/>
      <c r="R80" s="148"/>
      <c r="S80" s="96"/>
      <c r="T80" s="96"/>
      <c r="U80" s="96"/>
      <c r="V80" s="96"/>
      <c r="W80" s="96"/>
      <c r="X80" s="96"/>
      <c r="Y80" s="96"/>
      <c r="Z80" s="96"/>
      <c r="AA80" s="96"/>
      <c r="AB80" s="96"/>
      <c r="AC80" s="96"/>
      <c r="AD80" s="96"/>
      <c r="AE80" s="96"/>
      <c r="AF80" s="96"/>
      <c r="AG80" s="96"/>
      <c r="AH80" s="96"/>
      <c r="AI80" s="96"/>
      <c r="AJ80" s="96"/>
      <c r="AK80" s="96"/>
      <c r="AL80" s="96"/>
      <c r="AM80" s="96"/>
      <c r="AN80" s="96"/>
      <c r="AO80" s="96"/>
      <c r="AP80" s="96"/>
      <c r="AQ80" s="96"/>
      <c r="AR80" s="96"/>
      <c r="AS80" s="96"/>
      <c r="AT80" s="96"/>
      <c r="AU80" s="96"/>
      <c r="AV80" s="96"/>
      <c r="AW80" s="96"/>
      <c r="AX80" s="96"/>
      <c r="AY80" s="155"/>
      <c r="AZ80" s="155"/>
      <c r="BA80" s="155"/>
      <c r="BB80" s="155"/>
      <c r="BC80" s="155"/>
      <c r="BD80" s="155"/>
      <c r="BE80" s="96"/>
      <c r="BF80" s="155"/>
      <c r="BG80" s="155"/>
    </row>
    <row r="81" spans="1:61" s="17" customFormat="1" ht="15.75" hidden="1" customHeight="1">
      <c r="A81" s="102"/>
      <c r="B81" s="115"/>
      <c r="C81" s="117"/>
      <c r="D81" s="119"/>
      <c r="E81" s="117"/>
      <c r="F81" s="117"/>
      <c r="G81" s="121"/>
      <c r="H81" s="95"/>
      <c r="I81" s="95"/>
      <c r="J81" s="95"/>
      <c r="K81" s="22"/>
      <c r="L81" s="18"/>
      <c r="M81" s="18"/>
      <c r="N81" s="98"/>
      <c r="O81" s="19"/>
      <c r="P81" s="22"/>
      <c r="Q81" s="100"/>
      <c r="R81" s="101"/>
      <c r="S81" s="96"/>
      <c r="T81" s="96"/>
      <c r="U81" s="96"/>
      <c r="V81" s="96"/>
      <c r="W81" s="96"/>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6"/>
      <c r="AY81" s="156"/>
      <c r="AZ81" s="156"/>
      <c r="BA81" s="156"/>
      <c r="BB81" s="156"/>
      <c r="BC81" s="156"/>
      <c r="BD81" s="156"/>
      <c r="BE81" s="96"/>
      <c r="BF81" s="156"/>
      <c r="BG81" s="156"/>
    </row>
    <row r="82" spans="1:61" s="17" customFormat="1" ht="15.75" hidden="1" customHeight="1">
      <c r="A82" s="101">
        <v>45084</v>
      </c>
      <c r="B82" s="114" t="s">
        <v>37</v>
      </c>
      <c r="C82" s="116"/>
      <c r="D82" s="118"/>
      <c r="E82" s="116"/>
      <c r="F82" s="116"/>
      <c r="G82" s="120"/>
      <c r="H82" s="109"/>
      <c r="I82" s="90"/>
      <c r="J82" s="90"/>
      <c r="K82" s="20"/>
      <c r="L82" s="20"/>
      <c r="M82" s="20"/>
      <c r="N82" s="97" t="e">
        <f>O83/L83</f>
        <v>#DIV/0!</v>
      </c>
      <c r="O82" s="21"/>
      <c r="P82" s="27"/>
      <c r="Q82" s="99">
        <f>+L83-P83</f>
        <v>0</v>
      </c>
      <c r="R82" s="101"/>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155"/>
      <c r="AZ82" s="155"/>
      <c r="BA82" s="155"/>
      <c r="BB82" s="155"/>
      <c r="BC82" s="155"/>
      <c r="BD82" s="155"/>
      <c r="BE82" s="96"/>
      <c r="BF82" s="155"/>
      <c r="BG82" s="155"/>
    </row>
    <row r="83" spans="1:61" s="17" customFormat="1" ht="15.75" hidden="1" customHeight="1">
      <c r="A83" s="102"/>
      <c r="B83" s="115"/>
      <c r="C83" s="117"/>
      <c r="D83" s="119"/>
      <c r="E83" s="117"/>
      <c r="F83" s="117"/>
      <c r="G83" s="121"/>
      <c r="H83" s="95"/>
      <c r="I83" s="95"/>
      <c r="J83" s="95"/>
      <c r="K83" s="22"/>
      <c r="L83" s="18"/>
      <c r="M83" s="18"/>
      <c r="N83" s="98"/>
      <c r="O83" s="19"/>
      <c r="P83" s="22"/>
      <c r="Q83" s="100"/>
      <c r="R83" s="102"/>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6"/>
      <c r="AZ83" s="156"/>
      <c r="BA83" s="156"/>
      <c r="BB83" s="156"/>
      <c r="BC83" s="156"/>
      <c r="BD83" s="156"/>
      <c r="BE83" s="96"/>
      <c r="BF83" s="156"/>
      <c r="BG83" s="156"/>
    </row>
    <row r="84" spans="1:61" ht="24.75" hidden="1" customHeight="1">
      <c r="A84" s="111" t="s">
        <v>40</v>
      </c>
      <c r="B84" s="112"/>
      <c r="C84" s="112"/>
      <c r="D84" s="112"/>
      <c r="E84" s="112"/>
      <c r="F84" s="112"/>
      <c r="G84" s="112"/>
      <c r="H84" s="112"/>
      <c r="I84" s="113"/>
      <c r="J84" s="5">
        <f>SUM(J74:J83)</f>
        <v>0</v>
      </c>
      <c r="K84" s="5">
        <f>+SUMPRODUCT(((MOD(ROW(K74:K81),2)=0)*(K74:K81)))</f>
        <v>0</v>
      </c>
      <c r="L84" s="5">
        <f>+SUMPRODUCT(((MOD(ROW(L74:L81),2)=0)*(L74:L81)))</f>
        <v>0</v>
      </c>
      <c r="M84" s="5">
        <f>+SUMPRODUCT(((MOD(ROW(M74:M81),2)=0)*(M74:M81)))</f>
        <v>0</v>
      </c>
      <c r="N84" s="6" t="e">
        <f>O84/L84</f>
        <v>#DIV/0!</v>
      </c>
      <c r="O84" s="5">
        <f>+SUMPRODUCT(((MOD(ROW(O74:O81),2)=0)*(O74:O81)))</f>
        <v>0</v>
      </c>
      <c r="P84" s="5">
        <f>+SUMPRODUCT(((MOD(ROW(P74:P81),2)=0)*(P74:P81)))</f>
        <v>0</v>
      </c>
      <c r="Q84" s="29">
        <f>SUM(Q74:Q83)</f>
        <v>0</v>
      </c>
      <c r="R84" s="29"/>
      <c r="S84" s="29">
        <f t="shared" ref="S84:BG84" si="8">SUM(S74:S83)</f>
        <v>0</v>
      </c>
      <c r="T84" s="29">
        <f t="shared" si="8"/>
        <v>0</v>
      </c>
      <c r="U84" s="29">
        <f t="shared" si="8"/>
        <v>0</v>
      </c>
      <c r="V84" s="29">
        <f t="shared" si="8"/>
        <v>0</v>
      </c>
      <c r="W84" s="29">
        <f t="shared" si="8"/>
        <v>0</v>
      </c>
      <c r="X84" s="29">
        <f t="shared" si="8"/>
        <v>0</v>
      </c>
      <c r="Y84" s="29">
        <f t="shared" si="8"/>
        <v>0</v>
      </c>
      <c r="Z84" s="29">
        <f t="shared" si="8"/>
        <v>0</v>
      </c>
      <c r="AA84" s="29">
        <f t="shared" si="8"/>
        <v>0</v>
      </c>
      <c r="AB84" s="29">
        <f t="shared" si="8"/>
        <v>0</v>
      </c>
      <c r="AC84" s="29">
        <f t="shared" si="8"/>
        <v>0</v>
      </c>
      <c r="AD84" s="29">
        <f t="shared" si="8"/>
        <v>0</v>
      </c>
      <c r="AE84" s="29">
        <f t="shared" si="8"/>
        <v>0</v>
      </c>
      <c r="AF84" s="29">
        <f t="shared" si="8"/>
        <v>0</v>
      </c>
      <c r="AG84" s="29">
        <f t="shared" si="8"/>
        <v>0</v>
      </c>
      <c r="AH84" s="29">
        <f t="shared" si="8"/>
        <v>0</v>
      </c>
      <c r="AI84" s="29">
        <f t="shared" si="8"/>
        <v>0</v>
      </c>
      <c r="AJ84" s="29">
        <f t="shared" si="8"/>
        <v>0</v>
      </c>
      <c r="AK84" s="29">
        <f t="shared" si="8"/>
        <v>0</v>
      </c>
      <c r="AL84" s="29">
        <f t="shared" si="8"/>
        <v>0</v>
      </c>
      <c r="AM84" s="29">
        <f t="shared" si="8"/>
        <v>0</v>
      </c>
      <c r="AN84" s="29">
        <f t="shared" si="8"/>
        <v>0</v>
      </c>
      <c r="AO84" s="29">
        <f t="shared" si="8"/>
        <v>0</v>
      </c>
      <c r="AP84" s="29">
        <f t="shared" si="8"/>
        <v>0</v>
      </c>
      <c r="AQ84" s="29">
        <f t="shared" si="8"/>
        <v>0</v>
      </c>
      <c r="AR84" s="29">
        <f t="shared" si="8"/>
        <v>0</v>
      </c>
      <c r="AS84" s="29">
        <f t="shared" si="8"/>
        <v>0</v>
      </c>
      <c r="AT84" s="29">
        <f t="shared" si="8"/>
        <v>0</v>
      </c>
      <c r="AU84" s="29">
        <f t="shared" si="8"/>
        <v>0</v>
      </c>
      <c r="AV84" s="29">
        <f t="shared" si="8"/>
        <v>0</v>
      </c>
      <c r="AW84" s="29">
        <f t="shared" si="8"/>
        <v>0</v>
      </c>
      <c r="AX84" s="29">
        <f t="shared" si="8"/>
        <v>0</v>
      </c>
      <c r="AY84" s="29">
        <f t="shared" si="8"/>
        <v>0</v>
      </c>
      <c r="AZ84" s="29">
        <f t="shared" si="8"/>
        <v>0</v>
      </c>
      <c r="BA84" s="29">
        <f t="shared" si="8"/>
        <v>0</v>
      </c>
      <c r="BB84" s="29">
        <f t="shared" si="8"/>
        <v>0</v>
      </c>
      <c r="BC84" s="29">
        <f t="shared" si="8"/>
        <v>0</v>
      </c>
      <c r="BD84" s="29">
        <f t="shared" si="8"/>
        <v>0</v>
      </c>
      <c r="BE84" s="29">
        <f t="shared" si="8"/>
        <v>0</v>
      </c>
      <c r="BF84" s="29">
        <f t="shared" si="8"/>
        <v>0</v>
      </c>
      <c r="BG84" s="29">
        <f t="shared" si="8"/>
        <v>0</v>
      </c>
      <c r="BH84" s="17"/>
      <c r="BI84" s="17"/>
    </row>
    <row r="85" spans="1:61" s="17" customFormat="1" ht="15.75" hidden="1" customHeight="1">
      <c r="A85" s="101"/>
      <c r="B85" s="114"/>
      <c r="C85" s="116"/>
      <c r="D85" s="118"/>
      <c r="E85" s="116"/>
      <c r="F85" s="116"/>
      <c r="G85" s="120"/>
      <c r="H85" s="109"/>
      <c r="I85" s="90"/>
      <c r="J85" s="90"/>
      <c r="K85" s="20"/>
      <c r="L85" s="20"/>
      <c r="M85" s="20"/>
      <c r="N85" s="97"/>
      <c r="O85" s="21"/>
      <c r="P85" s="27"/>
      <c r="Q85" s="99"/>
      <c r="R85" s="154"/>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5"/>
      <c r="AZ85" s="155"/>
      <c r="BA85" s="155"/>
      <c r="BB85" s="155"/>
      <c r="BC85" s="155"/>
      <c r="BD85" s="155"/>
      <c r="BE85" s="96"/>
      <c r="BF85" s="155"/>
      <c r="BG85" s="155"/>
    </row>
    <row r="86" spans="1:61" s="17" customFormat="1" ht="15.75" hidden="1" customHeight="1">
      <c r="A86" s="102"/>
      <c r="B86" s="115"/>
      <c r="C86" s="117"/>
      <c r="D86" s="119"/>
      <c r="E86" s="117"/>
      <c r="F86" s="117"/>
      <c r="G86" s="121"/>
      <c r="H86" s="95"/>
      <c r="I86" s="95"/>
      <c r="J86" s="95"/>
      <c r="K86" s="22"/>
      <c r="L86" s="18"/>
      <c r="M86" s="18"/>
      <c r="N86" s="98"/>
      <c r="O86" s="19"/>
      <c r="P86" s="22"/>
      <c r="Q86" s="100"/>
      <c r="R86" s="101"/>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6"/>
      <c r="AZ86" s="156"/>
      <c r="BA86" s="156"/>
      <c r="BB86" s="156"/>
      <c r="BC86" s="156"/>
      <c r="BD86" s="156"/>
      <c r="BE86" s="96"/>
      <c r="BF86" s="156"/>
      <c r="BG86" s="156"/>
    </row>
    <row r="87" spans="1:61" s="17" customFormat="1" ht="15.75" hidden="1" customHeight="1">
      <c r="A87" s="101"/>
      <c r="B87" s="114"/>
      <c r="C87" s="116"/>
      <c r="D87" s="118"/>
      <c r="E87" s="116"/>
      <c r="F87" s="116"/>
      <c r="G87" s="120"/>
      <c r="H87" s="90"/>
      <c r="I87" s="90"/>
      <c r="J87" s="90"/>
      <c r="K87" s="20"/>
      <c r="L87" s="20"/>
      <c r="M87" s="20"/>
      <c r="N87" s="97"/>
      <c r="O87" s="21"/>
      <c r="P87" s="27"/>
      <c r="Q87" s="99"/>
      <c r="R87" s="154"/>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5"/>
      <c r="AZ87" s="155"/>
      <c r="BA87" s="155"/>
      <c r="BB87" s="155"/>
      <c r="BC87" s="155"/>
      <c r="BD87" s="155"/>
      <c r="BE87" s="96"/>
      <c r="BF87" s="155"/>
      <c r="BG87" s="155"/>
    </row>
    <row r="88" spans="1:61" s="17" customFormat="1" ht="15.75" hidden="1" customHeight="1">
      <c r="A88" s="102"/>
      <c r="B88" s="115"/>
      <c r="C88" s="117"/>
      <c r="D88" s="119"/>
      <c r="E88" s="117"/>
      <c r="F88" s="117"/>
      <c r="G88" s="121"/>
      <c r="H88" s="95"/>
      <c r="I88" s="95"/>
      <c r="J88" s="95"/>
      <c r="K88" s="22"/>
      <c r="L88" s="18"/>
      <c r="M88" s="18"/>
      <c r="N88" s="98"/>
      <c r="O88" s="19"/>
      <c r="P88" s="22"/>
      <c r="Q88" s="100"/>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6"/>
      <c r="AZ88" s="156"/>
      <c r="BA88" s="156"/>
      <c r="BB88" s="156"/>
      <c r="BC88" s="156"/>
      <c r="BD88" s="156"/>
      <c r="BE88" s="96"/>
      <c r="BF88" s="156"/>
      <c r="BG88" s="156"/>
    </row>
    <row r="89" spans="1:61" s="17" customFormat="1" ht="15.75" hidden="1" customHeight="1">
      <c r="A89" s="101">
        <v>45163</v>
      </c>
      <c r="B89" s="114" t="s">
        <v>37</v>
      </c>
      <c r="C89" s="116"/>
      <c r="D89" s="118"/>
      <c r="E89" s="116"/>
      <c r="F89" s="116"/>
      <c r="G89" s="120"/>
      <c r="H89" s="90"/>
      <c r="I89" s="90"/>
      <c r="J89" s="90"/>
      <c r="K89" s="20"/>
      <c r="L89" s="20"/>
      <c r="M89" s="20"/>
      <c r="N89" s="97" t="e">
        <f>O90/L90</f>
        <v>#DIV/0!</v>
      </c>
      <c r="O89" s="21">
        <f>L89-M89</f>
        <v>0</v>
      </c>
      <c r="P89" s="27"/>
      <c r="Q89" s="99">
        <f>+L90-P90</f>
        <v>0</v>
      </c>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f>L90-M90</f>
        <v>0</v>
      </c>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row>
    <row r="91" spans="1:61" s="17" customFormat="1" ht="15.75" hidden="1" customHeight="1">
      <c r="A91" s="101">
        <v>45163</v>
      </c>
      <c r="B91" s="114" t="s">
        <v>37</v>
      </c>
      <c r="C91" s="116"/>
      <c r="D91" s="118"/>
      <c r="E91" s="116"/>
      <c r="F91" s="116"/>
      <c r="G91" s="120"/>
      <c r="H91" s="90"/>
      <c r="I91" s="90"/>
      <c r="J91" s="90"/>
      <c r="K91" s="20"/>
      <c r="L91" s="20"/>
      <c r="M91" s="20"/>
      <c r="N91" s="97" t="e">
        <f>O92/L92</f>
        <v>#DIV/0!</v>
      </c>
      <c r="O91" s="21">
        <f>L91-M91</f>
        <v>0</v>
      </c>
      <c r="P91" s="27"/>
      <c r="Q91" s="99">
        <f>+L92-P92</f>
        <v>0</v>
      </c>
      <c r="R91" s="154"/>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155"/>
      <c r="AZ91" s="155"/>
      <c r="BA91" s="155"/>
      <c r="BB91" s="155"/>
      <c r="BC91" s="155"/>
      <c r="BD91" s="155"/>
      <c r="BE91" s="96"/>
      <c r="BF91" s="155"/>
      <c r="BG91" s="155"/>
    </row>
    <row r="92" spans="1:61" s="17" customFormat="1" ht="15.75" hidden="1" customHeight="1">
      <c r="A92" s="102"/>
      <c r="B92" s="115"/>
      <c r="C92" s="117"/>
      <c r="D92" s="119"/>
      <c r="E92" s="117"/>
      <c r="F92" s="117"/>
      <c r="G92" s="121"/>
      <c r="H92" s="95"/>
      <c r="I92" s="95"/>
      <c r="J92" s="95"/>
      <c r="K92" s="22"/>
      <c r="L92" s="18"/>
      <c r="M92" s="18"/>
      <c r="N92" s="98"/>
      <c r="O92" s="19">
        <f>L92-M92</f>
        <v>0</v>
      </c>
      <c r="P92" s="22"/>
      <c r="Q92" s="100"/>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6"/>
      <c r="AZ92" s="156"/>
      <c r="BA92" s="156"/>
      <c r="BB92" s="156"/>
      <c r="BC92" s="156"/>
      <c r="BD92" s="156"/>
      <c r="BE92" s="96"/>
      <c r="BF92" s="156"/>
      <c r="BG92" s="156"/>
      <c r="BH92" s="1"/>
      <c r="BI92" s="1"/>
    </row>
    <row r="93" spans="1:61" ht="24.75" hidden="1" customHeight="1">
      <c r="A93" s="111" t="s">
        <v>48</v>
      </c>
      <c r="B93" s="112"/>
      <c r="C93" s="112"/>
      <c r="D93" s="112"/>
      <c r="E93" s="112"/>
      <c r="F93" s="112"/>
      <c r="G93" s="112"/>
      <c r="H93" s="112"/>
      <c r="I93" s="113"/>
      <c r="J93" s="5">
        <f>SUM(J85:J92)</f>
        <v>0</v>
      </c>
      <c r="K93" s="5">
        <f>+SUMPRODUCT(((MOD(ROW(K85:K92),2)=0)*(K85:K92)))</f>
        <v>0</v>
      </c>
      <c r="L93" s="5">
        <f>+SUMPRODUCT(((MOD(ROW(L85:L92),2)=0)*(L85:L92)))</f>
        <v>0</v>
      </c>
      <c r="M93" s="5">
        <f>+SUMPRODUCT(((MOD(ROW(M85:M92),2)=0)*(M85:M92)))</f>
        <v>0</v>
      </c>
      <c r="N93" s="6" t="e">
        <f>O93/L93</f>
        <v>#DIV/0!</v>
      </c>
      <c r="O93" s="5">
        <f>+SUMPRODUCT(((MOD(ROW(O85:O92),2)=0)*(O85:O92)))</f>
        <v>0</v>
      </c>
      <c r="P93" s="5">
        <f>+SUMPRODUCT(((MOD(ROW(P85:P92),2)=0)*(P85:P92)))</f>
        <v>0</v>
      </c>
      <c r="Q93" s="29">
        <f>SUM(Q85:Q92)</f>
        <v>0</v>
      </c>
      <c r="R93" s="29"/>
      <c r="S93" s="29">
        <f t="shared" ref="S93:BG93" si="9">SUM(S85:S92)</f>
        <v>0</v>
      </c>
      <c r="T93" s="29">
        <f t="shared" si="9"/>
        <v>0</v>
      </c>
      <c r="U93" s="29">
        <f t="shared" si="9"/>
        <v>0</v>
      </c>
      <c r="V93" s="29">
        <f t="shared" si="9"/>
        <v>0</v>
      </c>
      <c r="W93" s="29">
        <f t="shared" si="9"/>
        <v>0</v>
      </c>
      <c r="X93" s="29">
        <f t="shared" si="9"/>
        <v>0</v>
      </c>
      <c r="Y93" s="29">
        <f t="shared" si="9"/>
        <v>0</v>
      </c>
      <c r="Z93" s="29">
        <f t="shared" si="9"/>
        <v>0</v>
      </c>
      <c r="AA93" s="29">
        <f t="shared" si="9"/>
        <v>0</v>
      </c>
      <c r="AB93" s="29">
        <f t="shared" si="9"/>
        <v>0</v>
      </c>
      <c r="AC93" s="29">
        <f t="shared" si="9"/>
        <v>0</v>
      </c>
      <c r="AD93" s="29">
        <f t="shared" si="9"/>
        <v>0</v>
      </c>
      <c r="AE93" s="29">
        <f t="shared" si="9"/>
        <v>0</v>
      </c>
      <c r="AF93" s="29">
        <f t="shared" si="9"/>
        <v>0</v>
      </c>
      <c r="AG93" s="29">
        <f t="shared" si="9"/>
        <v>0</v>
      </c>
      <c r="AH93" s="29">
        <f t="shared" si="9"/>
        <v>0</v>
      </c>
      <c r="AI93" s="29">
        <f t="shared" si="9"/>
        <v>0</v>
      </c>
      <c r="AJ93" s="29">
        <f t="shared" si="9"/>
        <v>0</v>
      </c>
      <c r="AK93" s="29">
        <f t="shared" si="9"/>
        <v>0</v>
      </c>
      <c r="AL93" s="29">
        <f t="shared" si="9"/>
        <v>0</v>
      </c>
      <c r="AM93" s="29">
        <f t="shared" si="9"/>
        <v>0</v>
      </c>
      <c r="AN93" s="29">
        <f t="shared" si="9"/>
        <v>0</v>
      </c>
      <c r="AO93" s="29">
        <f t="shared" si="9"/>
        <v>0</v>
      </c>
      <c r="AP93" s="29">
        <f t="shared" si="9"/>
        <v>0</v>
      </c>
      <c r="AQ93" s="29">
        <f t="shared" si="9"/>
        <v>0</v>
      </c>
      <c r="AR93" s="29">
        <f t="shared" si="9"/>
        <v>0</v>
      </c>
      <c r="AS93" s="29">
        <f t="shared" si="9"/>
        <v>0</v>
      </c>
      <c r="AT93" s="29">
        <f t="shared" si="9"/>
        <v>0</v>
      </c>
      <c r="AU93" s="29">
        <f t="shared" si="9"/>
        <v>0</v>
      </c>
      <c r="AV93" s="29">
        <f t="shared" si="9"/>
        <v>0</v>
      </c>
      <c r="AW93" s="29">
        <f t="shared" si="9"/>
        <v>0</v>
      </c>
      <c r="AX93" s="29">
        <f t="shared" si="9"/>
        <v>0</v>
      </c>
      <c r="AY93" s="29">
        <f t="shared" si="9"/>
        <v>0</v>
      </c>
      <c r="AZ93" s="29">
        <f t="shared" si="9"/>
        <v>0</v>
      </c>
      <c r="BA93" s="29">
        <f t="shared" si="9"/>
        <v>0</v>
      </c>
      <c r="BB93" s="29">
        <f t="shared" si="9"/>
        <v>0</v>
      </c>
      <c r="BC93" s="29">
        <f t="shared" si="9"/>
        <v>0</v>
      </c>
      <c r="BD93" s="29">
        <f t="shared" si="9"/>
        <v>0</v>
      </c>
      <c r="BE93" s="29">
        <f t="shared" si="9"/>
        <v>0</v>
      </c>
      <c r="BF93" s="29">
        <f t="shared" si="9"/>
        <v>0</v>
      </c>
      <c r="BG93" s="29">
        <f t="shared" si="9"/>
        <v>0</v>
      </c>
      <c r="BH93" s="17"/>
      <c r="BI93" s="17"/>
    </row>
    <row r="94" spans="1:61" s="17" customFormat="1" ht="15.75" hidden="1" customHeight="1">
      <c r="A94" s="101"/>
      <c r="B94" s="114"/>
      <c r="C94" s="116"/>
      <c r="D94" s="118"/>
      <c r="E94" s="157"/>
      <c r="F94" s="116"/>
      <c r="G94" s="120"/>
      <c r="H94" s="109"/>
      <c r="I94" s="90"/>
      <c r="J94" s="90"/>
      <c r="K94" s="20"/>
      <c r="L94" s="20"/>
      <c r="M94" s="20"/>
      <c r="N94" s="97"/>
      <c r="O94" s="21"/>
      <c r="P94" s="27"/>
      <c r="Q94" s="99"/>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5"/>
      <c r="AZ94" s="155"/>
      <c r="BA94" s="155"/>
      <c r="BB94" s="155"/>
      <c r="BC94" s="155"/>
      <c r="BD94" s="155"/>
      <c r="BE94" s="96"/>
      <c r="BF94" s="155"/>
      <c r="BG94" s="155"/>
    </row>
    <row r="95" spans="1:61" s="17" customFormat="1" ht="15.75" hidden="1" customHeight="1">
      <c r="A95" s="102"/>
      <c r="B95" s="115"/>
      <c r="C95" s="117"/>
      <c r="D95" s="119"/>
      <c r="E95" s="117"/>
      <c r="F95" s="117"/>
      <c r="G95" s="121"/>
      <c r="H95" s="95"/>
      <c r="I95" s="95"/>
      <c r="J95" s="95"/>
      <c r="K95" s="22"/>
      <c r="L95" s="18"/>
      <c r="M95" s="18"/>
      <c r="N95" s="98"/>
      <c r="O95" s="19"/>
      <c r="P95" s="22"/>
      <c r="Q95" s="100"/>
      <c r="R95" s="102"/>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6"/>
      <c r="AZ95" s="156"/>
      <c r="BA95" s="156"/>
      <c r="BB95" s="156"/>
      <c r="BC95" s="156"/>
      <c r="BD95" s="156"/>
      <c r="BE95" s="96"/>
      <c r="BF95" s="156"/>
      <c r="BG95" s="156"/>
    </row>
    <row r="96" spans="1:61" s="17" customFormat="1" ht="15.75" hidden="1" customHeight="1">
      <c r="A96" s="101">
        <v>45061</v>
      </c>
      <c r="B96" s="114" t="s">
        <v>37</v>
      </c>
      <c r="C96" s="116"/>
      <c r="D96" s="118"/>
      <c r="E96" s="157"/>
      <c r="F96" s="116"/>
      <c r="G96" s="120"/>
      <c r="H96" s="90"/>
      <c r="I96" s="90"/>
      <c r="J96" s="90"/>
      <c r="K96" s="20"/>
      <c r="L96" s="20"/>
      <c r="M96" s="20"/>
      <c r="N96" s="97" t="e">
        <f>O97/L97</f>
        <v>#DIV/0!</v>
      </c>
      <c r="O96" s="21">
        <f t="shared" ref="O96:O101" si="10">L96-M96</f>
        <v>0</v>
      </c>
      <c r="P96" s="27"/>
      <c r="Q96" s="99">
        <f>+L97-P97</f>
        <v>0</v>
      </c>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5"/>
      <c r="AZ96" s="155"/>
      <c r="BA96" s="155"/>
      <c r="BB96" s="155"/>
      <c r="BC96" s="155"/>
      <c r="BD96" s="155"/>
      <c r="BE96" s="96"/>
      <c r="BF96" s="155"/>
      <c r="BG96" s="155"/>
    </row>
    <row r="97" spans="1:61" s="17" customFormat="1" ht="15.75" hidden="1" customHeight="1">
      <c r="A97" s="102"/>
      <c r="B97" s="115"/>
      <c r="C97" s="117"/>
      <c r="D97" s="119"/>
      <c r="E97" s="117"/>
      <c r="F97" s="117"/>
      <c r="G97" s="121"/>
      <c r="H97" s="95"/>
      <c r="I97" s="95"/>
      <c r="J97" s="95"/>
      <c r="K97" s="22"/>
      <c r="L97" s="18"/>
      <c r="M97" s="18"/>
      <c r="N97" s="98"/>
      <c r="O97" s="19">
        <f t="shared" si="10"/>
        <v>0</v>
      </c>
      <c r="P97" s="22"/>
      <c r="Q97" s="100"/>
      <c r="R97" s="102"/>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6"/>
      <c r="AZ97" s="156"/>
      <c r="BA97" s="156"/>
      <c r="BB97" s="156"/>
      <c r="BC97" s="156"/>
      <c r="BD97" s="156"/>
      <c r="BE97" s="96"/>
      <c r="BF97" s="156"/>
      <c r="BG97" s="156"/>
    </row>
    <row r="98" spans="1:61" s="17" customFormat="1" ht="15.75" hidden="1" customHeight="1">
      <c r="A98" s="101">
        <v>44990</v>
      </c>
      <c r="B98" s="114" t="s">
        <v>37</v>
      </c>
      <c r="C98" s="116"/>
      <c r="D98" s="118"/>
      <c r="E98" s="116"/>
      <c r="F98" s="116"/>
      <c r="G98" s="120"/>
      <c r="H98" s="90"/>
      <c r="I98" s="90"/>
      <c r="J98" s="90"/>
      <c r="K98" s="20"/>
      <c r="L98" s="20"/>
      <c r="M98" s="20"/>
      <c r="N98" s="97" t="e">
        <f>O99/L99</f>
        <v>#DIV/0!</v>
      </c>
      <c r="O98" s="21">
        <f t="shared" si="10"/>
        <v>0</v>
      </c>
      <c r="P98" s="27"/>
      <c r="Q98" s="99">
        <f>+L99-P99</f>
        <v>0</v>
      </c>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f t="shared" si="10"/>
        <v>0</v>
      </c>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row>
    <row r="100" spans="1:61" s="17" customFormat="1" ht="15.75" hidden="1" customHeight="1">
      <c r="A100" s="101">
        <v>44990</v>
      </c>
      <c r="B100" s="114" t="s">
        <v>37</v>
      </c>
      <c r="C100" s="116"/>
      <c r="D100" s="118"/>
      <c r="E100" s="116"/>
      <c r="F100" s="116"/>
      <c r="G100" s="120"/>
      <c r="H100" s="90"/>
      <c r="I100" s="90"/>
      <c r="J100" s="90"/>
      <c r="K100" s="20"/>
      <c r="L100" s="20"/>
      <c r="M100" s="20"/>
      <c r="N100" s="97" t="e">
        <f>O101/L101</f>
        <v>#DIV/0!</v>
      </c>
      <c r="O100" s="21">
        <f t="shared" si="10"/>
        <v>0</v>
      </c>
      <c r="P100" s="27"/>
      <c r="Q100" s="99">
        <f>+L101-P101</f>
        <v>0</v>
      </c>
      <c r="R100" s="101"/>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155"/>
      <c r="AZ100" s="155"/>
      <c r="BA100" s="155"/>
      <c r="BB100" s="155"/>
      <c r="BC100" s="155"/>
      <c r="BD100" s="155"/>
      <c r="BE100" s="96"/>
      <c r="BF100" s="155"/>
      <c r="BG100" s="155"/>
    </row>
    <row r="101" spans="1:61" s="17" customFormat="1" ht="15.75" hidden="1" customHeight="1">
      <c r="A101" s="102"/>
      <c r="B101" s="115"/>
      <c r="C101" s="117"/>
      <c r="D101" s="119"/>
      <c r="E101" s="117"/>
      <c r="F101" s="117"/>
      <c r="G101" s="121"/>
      <c r="H101" s="95"/>
      <c r="I101" s="95"/>
      <c r="J101" s="95"/>
      <c r="K101" s="22"/>
      <c r="L101" s="18"/>
      <c r="M101" s="18"/>
      <c r="N101" s="98"/>
      <c r="O101" s="19">
        <f t="shared" si="10"/>
        <v>0</v>
      </c>
      <c r="P101" s="22"/>
      <c r="Q101" s="100"/>
      <c r="R101" s="102"/>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156"/>
      <c r="AZ101" s="156"/>
      <c r="BA101" s="156"/>
      <c r="BB101" s="156"/>
      <c r="BC101" s="156"/>
      <c r="BD101" s="156"/>
      <c r="BE101" s="96"/>
      <c r="BF101" s="156"/>
      <c r="BG101" s="156"/>
      <c r="BH101" s="1"/>
      <c r="BI101" s="1"/>
    </row>
    <row r="102" spans="1:61" ht="24.75" hidden="1" customHeight="1">
      <c r="A102" s="111" t="s">
        <v>46</v>
      </c>
      <c r="B102" s="112"/>
      <c r="C102" s="112"/>
      <c r="D102" s="112"/>
      <c r="E102" s="112"/>
      <c r="F102" s="112"/>
      <c r="G102" s="112"/>
      <c r="H102" s="112"/>
      <c r="I102" s="113"/>
      <c r="J102" s="5">
        <f>SUM(J94:J101)</f>
        <v>0</v>
      </c>
      <c r="K102" s="5">
        <f>+SUMPRODUCT(((MOD(ROW(K94:K101),2)=0)*(K94:K101)))</f>
        <v>0</v>
      </c>
      <c r="L102" s="5">
        <f>+SUMPRODUCT(((MOD(ROW(L94:L101),2)=0)*(L94:L101)))</f>
        <v>0</v>
      </c>
      <c r="M102" s="5">
        <f>+SUMPRODUCT(((MOD(ROW(M94:M101),2)=0)*(M94:M101)))</f>
        <v>0</v>
      </c>
      <c r="N102" s="6" t="e">
        <f>O102/L102</f>
        <v>#DIV/0!</v>
      </c>
      <c r="O102" s="5">
        <f>+SUMPRODUCT(((MOD(ROW(O94:O101),2)=0)*(O94:O101)))</f>
        <v>0</v>
      </c>
      <c r="P102" s="5">
        <f>+SUMPRODUCT(((MOD(ROW(P94:P101),2)=0)*(P94:P101)))</f>
        <v>0</v>
      </c>
      <c r="Q102" s="29">
        <f>SUM(Q94:Q101)</f>
        <v>0</v>
      </c>
      <c r="R102" s="29"/>
      <c r="S102" s="29">
        <f t="shared" ref="S102:BG102" si="11">SUM(S94:S101)</f>
        <v>0</v>
      </c>
      <c r="T102" s="29">
        <f t="shared" si="11"/>
        <v>0</v>
      </c>
      <c r="U102" s="29">
        <f t="shared" si="11"/>
        <v>0</v>
      </c>
      <c r="V102" s="29">
        <f t="shared" si="11"/>
        <v>0</v>
      </c>
      <c r="W102" s="29">
        <f t="shared" si="11"/>
        <v>0</v>
      </c>
      <c r="X102" s="29">
        <f t="shared" si="11"/>
        <v>0</v>
      </c>
      <c r="Y102" s="29">
        <f t="shared" si="11"/>
        <v>0</v>
      </c>
      <c r="Z102" s="29">
        <f t="shared" si="11"/>
        <v>0</v>
      </c>
      <c r="AA102" s="29">
        <f t="shared" si="11"/>
        <v>0</v>
      </c>
      <c r="AB102" s="29">
        <f t="shared" si="11"/>
        <v>0</v>
      </c>
      <c r="AC102" s="29">
        <f t="shared" si="11"/>
        <v>0</v>
      </c>
      <c r="AD102" s="29">
        <f t="shared" si="11"/>
        <v>0</v>
      </c>
      <c r="AE102" s="29">
        <f t="shared" si="11"/>
        <v>0</v>
      </c>
      <c r="AF102" s="29">
        <f t="shared" si="11"/>
        <v>0</v>
      </c>
      <c r="AG102" s="29">
        <f t="shared" si="11"/>
        <v>0</v>
      </c>
      <c r="AH102" s="29">
        <f t="shared" si="11"/>
        <v>0</v>
      </c>
      <c r="AI102" s="29">
        <f t="shared" si="11"/>
        <v>0</v>
      </c>
      <c r="AJ102" s="29">
        <f t="shared" si="11"/>
        <v>0</v>
      </c>
      <c r="AK102" s="29">
        <f t="shared" si="11"/>
        <v>0</v>
      </c>
      <c r="AL102" s="29">
        <f t="shared" si="11"/>
        <v>0</v>
      </c>
      <c r="AM102" s="29">
        <f t="shared" si="11"/>
        <v>0</v>
      </c>
      <c r="AN102" s="29">
        <f t="shared" si="11"/>
        <v>0</v>
      </c>
      <c r="AO102" s="29">
        <f t="shared" si="11"/>
        <v>0</v>
      </c>
      <c r="AP102" s="29">
        <f t="shared" si="11"/>
        <v>0</v>
      </c>
      <c r="AQ102" s="29">
        <f t="shared" si="11"/>
        <v>0</v>
      </c>
      <c r="AR102" s="29">
        <f t="shared" si="11"/>
        <v>0</v>
      </c>
      <c r="AS102" s="29">
        <f t="shared" si="11"/>
        <v>0</v>
      </c>
      <c r="AT102" s="29">
        <f t="shared" si="11"/>
        <v>0</v>
      </c>
      <c r="AU102" s="29">
        <f t="shared" si="11"/>
        <v>0</v>
      </c>
      <c r="AV102" s="29">
        <f t="shared" si="11"/>
        <v>0</v>
      </c>
      <c r="AW102" s="29">
        <f t="shared" si="11"/>
        <v>0</v>
      </c>
      <c r="AX102" s="29">
        <f t="shared" si="11"/>
        <v>0</v>
      </c>
      <c r="AY102" s="29">
        <f t="shared" si="11"/>
        <v>0</v>
      </c>
      <c r="AZ102" s="29">
        <f t="shared" si="11"/>
        <v>0</v>
      </c>
      <c r="BA102" s="29">
        <f t="shared" si="11"/>
        <v>0</v>
      </c>
      <c r="BB102" s="29">
        <f t="shared" si="11"/>
        <v>0</v>
      </c>
      <c r="BC102" s="29">
        <f t="shared" si="11"/>
        <v>0</v>
      </c>
      <c r="BD102" s="29">
        <f t="shared" si="11"/>
        <v>0</v>
      </c>
      <c r="BE102" s="29">
        <f t="shared" si="11"/>
        <v>0</v>
      </c>
      <c r="BF102" s="29">
        <f t="shared" si="11"/>
        <v>0</v>
      </c>
      <c r="BG102" s="29">
        <f t="shared" si="11"/>
        <v>0</v>
      </c>
    </row>
    <row r="103" spans="1:61" ht="24.75" customHeight="1">
      <c r="A103" s="122" t="s">
        <v>5</v>
      </c>
      <c r="B103" s="122"/>
      <c r="C103" s="122"/>
      <c r="D103" s="122"/>
      <c r="E103" s="122"/>
      <c r="F103" s="122"/>
      <c r="G103" s="122"/>
      <c r="H103" s="122"/>
      <c r="I103" s="122"/>
      <c r="J103" s="4">
        <f>J73+J84+J93+J102</f>
        <v>8851</v>
      </c>
      <c r="K103" s="4">
        <f>K73+K84+K93+K102</f>
        <v>55</v>
      </c>
      <c r="L103" s="4">
        <f>L73+L84+L93+L102</f>
        <v>165</v>
      </c>
      <c r="M103" s="4">
        <f>M73+M84+M93+M102</f>
        <v>83</v>
      </c>
      <c r="N103" s="33">
        <f>O103/L103</f>
        <v>0.49696969696969695</v>
      </c>
      <c r="O103" s="4">
        <f>O73+O84+O93+O102</f>
        <v>82</v>
      </c>
      <c r="P103" s="31">
        <f>P73+P84+P93+P102</f>
        <v>197</v>
      </c>
      <c r="Q103" s="31">
        <f>Q73+Q84+Q93+Q102</f>
        <v>162</v>
      </c>
      <c r="R103" s="4"/>
      <c r="S103" s="31">
        <f t="shared" ref="S103:BG103" si="12">S73+S84+S93+S102</f>
        <v>2</v>
      </c>
      <c r="T103" s="31">
        <f t="shared" si="12"/>
        <v>0</v>
      </c>
      <c r="U103" s="31">
        <f t="shared" si="12"/>
        <v>14</v>
      </c>
      <c r="V103" s="31">
        <f t="shared" si="12"/>
        <v>0</v>
      </c>
      <c r="W103" s="31">
        <f t="shared" si="12"/>
        <v>0</v>
      </c>
      <c r="X103" s="31">
        <f t="shared" si="12"/>
        <v>0</v>
      </c>
      <c r="Y103" s="31">
        <f t="shared" si="12"/>
        <v>0</v>
      </c>
      <c r="Z103" s="31">
        <f t="shared" si="12"/>
        <v>0</v>
      </c>
      <c r="AA103" s="31">
        <f t="shared" si="12"/>
        <v>0</v>
      </c>
      <c r="AB103" s="31">
        <f t="shared" si="12"/>
        <v>0</v>
      </c>
      <c r="AC103" s="31">
        <f t="shared" si="12"/>
        <v>27</v>
      </c>
      <c r="AD103" s="31">
        <f t="shared" si="12"/>
        <v>0</v>
      </c>
      <c r="AE103" s="31">
        <f t="shared" si="12"/>
        <v>10</v>
      </c>
      <c r="AF103" s="31">
        <f t="shared" si="12"/>
        <v>0</v>
      </c>
      <c r="AG103" s="31">
        <f t="shared" si="12"/>
        <v>0</v>
      </c>
      <c r="AH103" s="31">
        <f t="shared" si="12"/>
        <v>19</v>
      </c>
      <c r="AI103" s="31">
        <f t="shared" si="12"/>
        <v>0</v>
      </c>
      <c r="AJ103" s="31">
        <f t="shared" si="12"/>
        <v>0</v>
      </c>
      <c r="AK103" s="31">
        <f t="shared" si="12"/>
        <v>0</v>
      </c>
      <c r="AL103" s="31">
        <f t="shared" si="12"/>
        <v>10</v>
      </c>
      <c r="AM103" s="31">
        <f t="shared" si="12"/>
        <v>0</v>
      </c>
      <c r="AN103" s="31">
        <f t="shared" si="12"/>
        <v>0</v>
      </c>
      <c r="AO103" s="31">
        <f t="shared" si="12"/>
        <v>0</v>
      </c>
      <c r="AP103" s="31">
        <f t="shared" si="12"/>
        <v>0</v>
      </c>
      <c r="AQ103" s="31">
        <f t="shared" si="12"/>
        <v>0</v>
      </c>
      <c r="AR103" s="31">
        <f t="shared" si="12"/>
        <v>0</v>
      </c>
      <c r="AS103" s="31">
        <f t="shared" si="12"/>
        <v>0</v>
      </c>
      <c r="AT103" s="31">
        <f t="shared" si="12"/>
        <v>0</v>
      </c>
      <c r="AU103" s="31">
        <f t="shared" si="12"/>
        <v>0</v>
      </c>
      <c r="AV103" s="31">
        <f t="shared" si="12"/>
        <v>0</v>
      </c>
      <c r="AW103" s="31">
        <f t="shared" si="12"/>
        <v>0</v>
      </c>
      <c r="AX103" s="31">
        <f t="shared" si="12"/>
        <v>0</v>
      </c>
      <c r="AY103" s="31">
        <f t="shared" si="12"/>
        <v>0</v>
      </c>
      <c r="AZ103" s="31">
        <f t="shared" si="12"/>
        <v>0</v>
      </c>
      <c r="BA103" s="31">
        <f t="shared" si="12"/>
        <v>0</v>
      </c>
      <c r="BB103" s="31">
        <f t="shared" si="12"/>
        <v>0</v>
      </c>
      <c r="BC103" s="31">
        <f t="shared" si="12"/>
        <v>0</v>
      </c>
      <c r="BD103" s="31">
        <f t="shared" si="12"/>
        <v>0</v>
      </c>
      <c r="BE103" s="31">
        <f t="shared" si="12"/>
        <v>0</v>
      </c>
      <c r="BF103" s="31">
        <f t="shared" si="12"/>
        <v>0</v>
      </c>
      <c r="BG103" s="31">
        <f t="shared" si="12"/>
        <v>0</v>
      </c>
    </row>
    <row r="106" spans="1:61" s="25" customFormat="1" ht="35.25" customHeight="1">
      <c r="A106" s="2"/>
      <c r="B106" s="2"/>
      <c r="C106" s="2"/>
      <c r="D106" s="1"/>
      <c r="E106" s="1"/>
      <c r="F106" s="1"/>
      <c r="G106" s="1"/>
      <c r="H106" s="1"/>
      <c r="I106" s="1"/>
      <c r="J106" s="1"/>
      <c r="K106" s="35"/>
      <c r="L106" s="35"/>
      <c r="M106" s="35"/>
      <c r="N106" s="35"/>
      <c r="O106" s="35"/>
      <c r="P106" s="35"/>
      <c r="Q106" s="36"/>
      <c r="S106" s="8"/>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row>
    <row r="109" spans="1:61" s="25" customFormat="1" ht="33" customHeight="1">
      <c r="A109" s="2"/>
      <c r="B109" s="2"/>
      <c r="C109" s="2"/>
      <c r="D109" s="1"/>
      <c r="E109" s="1"/>
      <c r="F109" s="1"/>
      <c r="G109" s="1"/>
      <c r="H109" s="1"/>
      <c r="I109" s="1"/>
      <c r="J109" s="1"/>
      <c r="K109" s="1"/>
      <c r="L109" s="1"/>
      <c r="M109" s="1"/>
      <c r="N109" s="1"/>
      <c r="O109" s="1"/>
      <c r="S109" s="8"/>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row>
  </sheetData>
  <mergeCells count="2418">
    <mergeCell ref="W100:W101"/>
    <mergeCell ref="X100:X101"/>
    <mergeCell ref="Y100:Y101"/>
    <mergeCell ref="Z100:Z101"/>
    <mergeCell ref="A102:I102"/>
    <mergeCell ref="A103:I103"/>
    <mergeCell ref="BB100:BB101"/>
    <mergeCell ref="BC100:BC101"/>
    <mergeCell ref="BD100:BD101"/>
    <mergeCell ref="BE100:BE101"/>
    <mergeCell ref="AP100:AP101"/>
    <mergeCell ref="AQ100:AQ101"/>
    <mergeCell ref="AR100:AR101"/>
    <mergeCell ref="AS100:AS101"/>
    <mergeCell ref="AI100:AI101"/>
    <mergeCell ref="AT100:AT101"/>
    <mergeCell ref="AU100:AU101"/>
    <mergeCell ref="AJ100:AJ101"/>
    <mergeCell ref="AK100:AK101"/>
    <mergeCell ref="AL100:AL101"/>
    <mergeCell ref="AM100:AM101"/>
    <mergeCell ref="AN100:AN101"/>
    <mergeCell ref="AO100:AO101"/>
    <mergeCell ref="AA100:AA101"/>
    <mergeCell ref="AB100:AB101"/>
    <mergeCell ref="AC100:AC101"/>
    <mergeCell ref="AD100:AD101"/>
    <mergeCell ref="AE100:AE101"/>
    <mergeCell ref="AF100:AF101"/>
    <mergeCell ref="AG100:AG101"/>
    <mergeCell ref="AH100:AH101"/>
    <mergeCell ref="A100:A101"/>
    <mergeCell ref="B100:B101"/>
    <mergeCell ref="C100:C101"/>
    <mergeCell ref="D100:D101"/>
    <mergeCell ref="E100:E101"/>
    <mergeCell ref="F100:F101"/>
    <mergeCell ref="G100:G101"/>
    <mergeCell ref="H100:H101"/>
    <mergeCell ref="I100:I101"/>
    <mergeCell ref="J100:J101"/>
    <mergeCell ref="N100:N101"/>
    <mergeCell ref="Q100:Q101"/>
    <mergeCell ref="R100:R101"/>
    <mergeCell ref="S100:S101"/>
    <mergeCell ref="T100:T101"/>
    <mergeCell ref="U100:U101"/>
    <mergeCell ref="V100:V101"/>
    <mergeCell ref="AP98:AP99"/>
    <mergeCell ref="AQ98:AQ99"/>
    <mergeCell ref="AR98:AR99"/>
    <mergeCell ref="AS98:AS99"/>
    <mergeCell ref="AT98:AT99"/>
    <mergeCell ref="AU98:AU99"/>
    <mergeCell ref="AV98:AV99"/>
    <mergeCell ref="AW98:AW99"/>
    <mergeCell ref="AX98:AX99"/>
    <mergeCell ref="AY98:AY99"/>
    <mergeCell ref="AZ98:AZ99"/>
    <mergeCell ref="BA98:BA99"/>
    <mergeCell ref="BB98:BB99"/>
    <mergeCell ref="BC98:BC99"/>
    <mergeCell ref="BD98:BD99"/>
    <mergeCell ref="BF100:BF101"/>
    <mergeCell ref="BG100:BG101"/>
    <mergeCell ref="AV100:AV101"/>
    <mergeCell ref="AW100:AW101"/>
    <mergeCell ref="AX100:AX101"/>
    <mergeCell ref="AY100:AY101"/>
    <mergeCell ref="AZ100:AZ101"/>
    <mergeCell ref="BA100:BA101"/>
    <mergeCell ref="BE98:BE99"/>
    <mergeCell ref="BF98:BF99"/>
    <mergeCell ref="BG98:BG99"/>
    <mergeCell ref="Y98:Y99"/>
    <mergeCell ref="Z98:Z99"/>
    <mergeCell ref="AA98:AA99"/>
    <mergeCell ref="AB98:AB99"/>
    <mergeCell ref="AC98:AC99"/>
    <mergeCell ref="AD98:AD99"/>
    <mergeCell ref="AE98:AE99"/>
    <mergeCell ref="AF98:AF99"/>
    <mergeCell ref="AG98:AG99"/>
    <mergeCell ref="AH98:AH99"/>
    <mergeCell ref="AI98:AI99"/>
    <mergeCell ref="AJ98:AJ99"/>
    <mergeCell ref="AK98:AK99"/>
    <mergeCell ref="AL98:AL99"/>
    <mergeCell ref="AM98:AM99"/>
    <mergeCell ref="AN98:AN99"/>
    <mergeCell ref="AO98:AO99"/>
    <mergeCell ref="AU96:AU97"/>
    <mergeCell ref="AV96:AV97"/>
    <mergeCell ref="AW96:AW97"/>
    <mergeCell ref="AX96:AX97"/>
    <mergeCell ref="AY96:AY97"/>
    <mergeCell ref="AZ96:AZ97"/>
    <mergeCell ref="BA96:BA97"/>
    <mergeCell ref="BB96:BB97"/>
    <mergeCell ref="BC96:BC97"/>
    <mergeCell ref="BD96:BD97"/>
    <mergeCell ref="BE96:BE97"/>
    <mergeCell ref="BF96:BF97"/>
    <mergeCell ref="BG96:BG97"/>
    <mergeCell ref="A98:A99"/>
    <mergeCell ref="B98:B99"/>
    <mergeCell ref="C98:C99"/>
    <mergeCell ref="D98:D99"/>
    <mergeCell ref="E98:E99"/>
    <mergeCell ref="F98:F99"/>
    <mergeCell ref="G98:G99"/>
    <mergeCell ref="H98:H99"/>
    <mergeCell ref="I98:I99"/>
    <mergeCell ref="J98:J99"/>
    <mergeCell ref="N98:N99"/>
    <mergeCell ref="Q98:Q99"/>
    <mergeCell ref="R98:R99"/>
    <mergeCell ref="S98:S99"/>
    <mergeCell ref="T98:T99"/>
    <mergeCell ref="U98:U99"/>
    <mergeCell ref="V98:V99"/>
    <mergeCell ref="W98:W99"/>
    <mergeCell ref="X98:X99"/>
    <mergeCell ref="AD96:AD97"/>
    <mergeCell ref="AE96:AE97"/>
    <mergeCell ref="AF96:AF97"/>
    <mergeCell ref="AG96:AG97"/>
    <mergeCell ref="AH96:AH97"/>
    <mergeCell ref="AI96:AI97"/>
    <mergeCell ref="AJ96:AJ97"/>
    <mergeCell ref="AK96:AK97"/>
    <mergeCell ref="AL96:AL97"/>
    <mergeCell ref="AM96:AM97"/>
    <mergeCell ref="AN96:AN97"/>
    <mergeCell ref="AO96:AO97"/>
    <mergeCell ref="AP96:AP97"/>
    <mergeCell ref="AQ96:AQ97"/>
    <mergeCell ref="AR96:AR97"/>
    <mergeCell ref="AS96:AS97"/>
    <mergeCell ref="AT96:AT97"/>
    <mergeCell ref="AZ94:AZ95"/>
    <mergeCell ref="BA94:BA95"/>
    <mergeCell ref="BB94:BB95"/>
    <mergeCell ref="BC94:BC95"/>
    <mergeCell ref="BD94:BD95"/>
    <mergeCell ref="BE94:BE95"/>
    <mergeCell ref="BF94:BF95"/>
    <mergeCell ref="BG94:BG95"/>
    <mergeCell ref="A96:A97"/>
    <mergeCell ref="B96:B97"/>
    <mergeCell ref="C96:C97"/>
    <mergeCell ref="D96:D97"/>
    <mergeCell ref="E96:E97"/>
    <mergeCell ref="F96:F97"/>
    <mergeCell ref="G96:G97"/>
    <mergeCell ref="H96:H97"/>
    <mergeCell ref="I96:I97"/>
    <mergeCell ref="J96:J97"/>
    <mergeCell ref="N96:N97"/>
    <mergeCell ref="Q96:Q97"/>
    <mergeCell ref="R96:R97"/>
    <mergeCell ref="S96:S97"/>
    <mergeCell ref="T96:T97"/>
    <mergeCell ref="U96:U97"/>
    <mergeCell ref="V96:V97"/>
    <mergeCell ref="W96:W97"/>
    <mergeCell ref="X96:X97"/>
    <mergeCell ref="Y96:Y97"/>
    <mergeCell ref="Z96:Z97"/>
    <mergeCell ref="AA96:AA97"/>
    <mergeCell ref="AB96:AB97"/>
    <mergeCell ref="AC96:AC97"/>
    <mergeCell ref="AI94:AI95"/>
    <mergeCell ref="AJ94:AJ95"/>
    <mergeCell ref="AK94:AK95"/>
    <mergeCell ref="AL94:AL95"/>
    <mergeCell ref="AM94:AM95"/>
    <mergeCell ref="AN94:AN95"/>
    <mergeCell ref="AO94:AO95"/>
    <mergeCell ref="AP94:AP95"/>
    <mergeCell ref="AQ94:AQ95"/>
    <mergeCell ref="AR94:AR95"/>
    <mergeCell ref="AS94:AS95"/>
    <mergeCell ref="AT94:AT95"/>
    <mergeCell ref="AU94:AU95"/>
    <mergeCell ref="AV94:AV95"/>
    <mergeCell ref="AW94:AW95"/>
    <mergeCell ref="AX94:AX95"/>
    <mergeCell ref="AY94:AY95"/>
    <mergeCell ref="BF91:BF92"/>
    <mergeCell ref="BG91:BG92"/>
    <mergeCell ref="A93:I93"/>
    <mergeCell ref="A94:A95"/>
    <mergeCell ref="B94:B95"/>
    <mergeCell ref="C94:C95"/>
    <mergeCell ref="D94:D95"/>
    <mergeCell ref="E94:E95"/>
    <mergeCell ref="F94:F95"/>
    <mergeCell ref="G94:G95"/>
    <mergeCell ref="H94:H95"/>
    <mergeCell ref="I94:I95"/>
    <mergeCell ref="J94:J95"/>
    <mergeCell ref="N94:N95"/>
    <mergeCell ref="Q94:Q95"/>
    <mergeCell ref="R94:R95"/>
    <mergeCell ref="S94:S95"/>
    <mergeCell ref="T94:T95"/>
    <mergeCell ref="U94:U95"/>
    <mergeCell ref="V94:V95"/>
    <mergeCell ref="W94:W95"/>
    <mergeCell ref="X94:X95"/>
    <mergeCell ref="Y94:Y95"/>
    <mergeCell ref="Z94:Z95"/>
    <mergeCell ref="AA94:AA95"/>
    <mergeCell ref="AB94:AB95"/>
    <mergeCell ref="AC94:AC95"/>
    <mergeCell ref="AD94:AD95"/>
    <mergeCell ref="AE94:AE95"/>
    <mergeCell ref="AF94:AF95"/>
    <mergeCell ref="AG94:AG95"/>
    <mergeCell ref="AH94:AH95"/>
    <mergeCell ref="AO91:AO92"/>
    <mergeCell ref="AP91:AP92"/>
    <mergeCell ref="AQ91:AQ92"/>
    <mergeCell ref="AR91:AR92"/>
    <mergeCell ref="AS91:AS92"/>
    <mergeCell ref="AT91:AT92"/>
    <mergeCell ref="AU91:AU92"/>
    <mergeCell ref="AV91:AV92"/>
    <mergeCell ref="AW91:AW92"/>
    <mergeCell ref="AX91:AX92"/>
    <mergeCell ref="AY91:AY92"/>
    <mergeCell ref="AZ91:AZ92"/>
    <mergeCell ref="BA91:BA92"/>
    <mergeCell ref="BB91:BB92"/>
    <mergeCell ref="BC91:BC92"/>
    <mergeCell ref="BD91:BD92"/>
    <mergeCell ref="BE91:BE92"/>
    <mergeCell ref="X91:X92"/>
    <mergeCell ref="Y91:Y92"/>
    <mergeCell ref="Z91:Z92"/>
    <mergeCell ref="AA91:AA92"/>
    <mergeCell ref="AB91:AB92"/>
    <mergeCell ref="AC91:AC92"/>
    <mergeCell ref="AD91:AD92"/>
    <mergeCell ref="AE91:AE92"/>
    <mergeCell ref="AF91:AF92"/>
    <mergeCell ref="AG91:AG92"/>
    <mergeCell ref="AH91:AH92"/>
    <mergeCell ref="AI91:AI92"/>
    <mergeCell ref="AJ91:AJ92"/>
    <mergeCell ref="AK91:AK92"/>
    <mergeCell ref="AL91:AL92"/>
    <mergeCell ref="AM91:AM92"/>
    <mergeCell ref="AN91:AN92"/>
    <mergeCell ref="AT89:AT90"/>
    <mergeCell ref="AU89:AU90"/>
    <mergeCell ref="AV89:AV90"/>
    <mergeCell ref="AW89:AW90"/>
    <mergeCell ref="AX89:AX90"/>
    <mergeCell ref="AY89:AY90"/>
    <mergeCell ref="AZ89:AZ90"/>
    <mergeCell ref="BA89:BA90"/>
    <mergeCell ref="BB89:BB90"/>
    <mergeCell ref="BC89:BC90"/>
    <mergeCell ref="BD89:BD90"/>
    <mergeCell ref="BE89:BE90"/>
    <mergeCell ref="BF89:BF90"/>
    <mergeCell ref="BG89:BG90"/>
    <mergeCell ref="A91:A92"/>
    <mergeCell ref="B91:B92"/>
    <mergeCell ref="C91:C92"/>
    <mergeCell ref="D91:D92"/>
    <mergeCell ref="E91:E92"/>
    <mergeCell ref="F91:F92"/>
    <mergeCell ref="G91:G92"/>
    <mergeCell ref="H91:H92"/>
    <mergeCell ref="I91:I92"/>
    <mergeCell ref="J91:J92"/>
    <mergeCell ref="N91:N92"/>
    <mergeCell ref="Q91:Q92"/>
    <mergeCell ref="R91:R92"/>
    <mergeCell ref="S91:S92"/>
    <mergeCell ref="T91:T92"/>
    <mergeCell ref="U91:U92"/>
    <mergeCell ref="V91:V92"/>
    <mergeCell ref="W91:W92"/>
    <mergeCell ref="AC89:AC90"/>
    <mergeCell ref="AD89:AD90"/>
    <mergeCell ref="AE89:AE90"/>
    <mergeCell ref="AF89:AF90"/>
    <mergeCell ref="AG89:AG90"/>
    <mergeCell ref="AH89:AH90"/>
    <mergeCell ref="AI89:AI90"/>
    <mergeCell ref="AJ89:AJ90"/>
    <mergeCell ref="AK89:AK90"/>
    <mergeCell ref="AL89:AL90"/>
    <mergeCell ref="AM89:AM90"/>
    <mergeCell ref="AN89:AN90"/>
    <mergeCell ref="AO89:AO90"/>
    <mergeCell ref="AP89:AP90"/>
    <mergeCell ref="AQ89:AQ90"/>
    <mergeCell ref="AR89:AR90"/>
    <mergeCell ref="AS89:AS90"/>
    <mergeCell ref="AY87:AY88"/>
    <mergeCell ref="AZ87:AZ88"/>
    <mergeCell ref="BA87:BA88"/>
    <mergeCell ref="BB87:BB88"/>
    <mergeCell ref="BC87:BC88"/>
    <mergeCell ref="BD87:BD88"/>
    <mergeCell ref="BE87:BE88"/>
    <mergeCell ref="BF87:BF88"/>
    <mergeCell ref="BG87:BG88"/>
    <mergeCell ref="A89:A90"/>
    <mergeCell ref="B89:B90"/>
    <mergeCell ref="C89:C90"/>
    <mergeCell ref="D89:D90"/>
    <mergeCell ref="E89:E90"/>
    <mergeCell ref="F89:F90"/>
    <mergeCell ref="G89:G90"/>
    <mergeCell ref="H89:H90"/>
    <mergeCell ref="I89:I90"/>
    <mergeCell ref="J89:J90"/>
    <mergeCell ref="N89:N90"/>
    <mergeCell ref="Q89:Q90"/>
    <mergeCell ref="R89:R90"/>
    <mergeCell ref="S89:S90"/>
    <mergeCell ref="T89:T90"/>
    <mergeCell ref="U89:U90"/>
    <mergeCell ref="V89:V90"/>
    <mergeCell ref="W89:W90"/>
    <mergeCell ref="X89:X90"/>
    <mergeCell ref="Y89:Y90"/>
    <mergeCell ref="Z89:Z90"/>
    <mergeCell ref="AA89:AA90"/>
    <mergeCell ref="AB89:AB90"/>
    <mergeCell ref="AH87:AH88"/>
    <mergeCell ref="AI87:AI88"/>
    <mergeCell ref="AJ87:AJ88"/>
    <mergeCell ref="AK87:AK88"/>
    <mergeCell ref="AL87:AL88"/>
    <mergeCell ref="AM87:AM88"/>
    <mergeCell ref="AN87:AN88"/>
    <mergeCell ref="AO87:AO88"/>
    <mergeCell ref="AP87:AP88"/>
    <mergeCell ref="AQ87:AQ88"/>
    <mergeCell ref="AR87:AR88"/>
    <mergeCell ref="AS87:AS88"/>
    <mergeCell ref="AT87:AT88"/>
    <mergeCell ref="AU87:AU88"/>
    <mergeCell ref="AV87:AV88"/>
    <mergeCell ref="AW87:AW88"/>
    <mergeCell ref="AX87:AX88"/>
    <mergeCell ref="BD85:BD86"/>
    <mergeCell ref="BE85:BE86"/>
    <mergeCell ref="BF85:BF86"/>
    <mergeCell ref="BG85:BG86"/>
    <mergeCell ref="A87:A88"/>
    <mergeCell ref="B87:B88"/>
    <mergeCell ref="C87:C88"/>
    <mergeCell ref="D87:D88"/>
    <mergeCell ref="E87:E88"/>
    <mergeCell ref="F87:F88"/>
    <mergeCell ref="G87:G88"/>
    <mergeCell ref="H87:H88"/>
    <mergeCell ref="I87:I88"/>
    <mergeCell ref="J87:J88"/>
    <mergeCell ref="N87:N88"/>
    <mergeCell ref="Q87:Q88"/>
    <mergeCell ref="R87:R88"/>
    <mergeCell ref="S87:S88"/>
    <mergeCell ref="T87:T88"/>
    <mergeCell ref="U87:U88"/>
    <mergeCell ref="V87:V88"/>
    <mergeCell ref="W87:W88"/>
    <mergeCell ref="X87:X88"/>
    <mergeCell ref="Y87:Y88"/>
    <mergeCell ref="Z87:Z88"/>
    <mergeCell ref="AA87:AA88"/>
    <mergeCell ref="AB87:AB88"/>
    <mergeCell ref="AC87:AC88"/>
    <mergeCell ref="AD87:AD88"/>
    <mergeCell ref="AE87:AE88"/>
    <mergeCell ref="AF87:AF88"/>
    <mergeCell ref="AG87:AG88"/>
    <mergeCell ref="AM85:AM86"/>
    <mergeCell ref="AN85:AN86"/>
    <mergeCell ref="AO85:AO86"/>
    <mergeCell ref="AP85:AP86"/>
    <mergeCell ref="AQ85:AQ86"/>
    <mergeCell ref="AR85:AR86"/>
    <mergeCell ref="AS85:AS86"/>
    <mergeCell ref="AT85:AT86"/>
    <mergeCell ref="AU85:AU86"/>
    <mergeCell ref="AV85:AV86"/>
    <mergeCell ref="AW85:AW86"/>
    <mergeCell ref="AX85:AX86"/>
    <mergeCell ref="AY85:AY86"/>
    <mergeCell ref="AZ85:AZ86"/>
    <mergeCell ref="BA85:BA86"/>
    <mergeCell ref="BB85:BB86"/>
    <mergeCell ref="BC85:BC86"/>
    <mergeCell ref="V85:V86"/>
    <mergeCell ref="W85:W86"/>
    <mergeCell ref="X85:X86"/>
    <mergeCell ref="Y85:Y86"/>
    <mergeCell ref="Z85:Z86"/>
    <mergeCell ref="AA85:AA86"/>
    <mergeCell ref="AB85:AB86"/>
    <mergeCell ref="AC85:AC86"/>
    <mergeCell ref="AD85:AD86"/>
    <mergeCell ref="AE85:AE86"/>
    <mergeCell ref="AF85:AF86"/>
    <mergeCell ref="AG85:AG86"/>
    <mergeCell ref="AH85:AH86"/>
    <mergeCell ref="AI85:AI86"/>
    <mergeCell ref="AJ85:AJ86"/>
    <mergeCell ref="AK85:AK86"/>
    <mergeCell ref="AL85:AL86"/>
    <mergeCell ref="A84:I84"/>
    <mergeCell ref="A85:A86"/>
    <mergeCell ref="B85:B86"/>
    <mergeCell ref="C85:C86"/>
    <mergeCell ref="D85:D86"/>
    <mergeCell ref="E85:E86"/>
    <mergeCell ref="F85:F86"/>
    <mergeCell ref="G85:G86"/>
    <mergeCell ref="H85:H86"/>
    <mergeCell ref="I85:I86"/>
    <mergeCell ref="J85:J86"/>
    <mergeCell ref="N85:N86"/>
    <mergeCell ref="Q85:Q86"/>
    <mergeCell ref="R85:R86"/>
    <mergeCell ref="S85:S86"/>
    <mergeCell ref="T85:T86"/>
    <mergeCell ref="U85:U86"/>
    <mergeCell ref="Z82:Z83"/>
    <mergeCell ref="BC82:BC83"/>
    <mergeCell ref="BD82:BD83"/>
    <mergeCell ref="BE82:BE83"/>
    <mergeCell ref="AP82:AP83"/>
    <mergeCell ref="AQ82:AQ83"/>
    <mergeCell ref="AR82:AR83"/>
    <mergeCell ref="AS82:AS83"/>
    <mergeCell ref="AD82:AD83"/>
    <mergeCell ref="AE82:AE83"/>
    <mergeCell ref="AF82:AF83"/>
    <mergeCell ref="AG82:AG83"/>
    <mergeCell ref="AH82:AH83"/>
    <mergeCell ref="AI82:AI83"/>
    <mergeCell ref="BB82:BB83"/>
    <mergeCell ref="AJ82:AJ83"/>
    <mergeCell ref="AK82:AK83"/>
    <mergeCell ref="AL82:AL83"/>
    <mergeCell ref="AM82:AM83"/>
    <mergeCell ref="AN82:AN83"/>
    <mergeCell ref="AO82:AO83"/>
    <mergeCell ref="AT82:AT83"/>
    <mergeCell ref="AU82:AU83"/>
    <mergeCell ref="BG80:BG81"/>
    <mergeCell ref="A82:A83"/>
    <mergeCell ref="B82:B83"/>
    <mergeCell ref="C82:C83"/>
    <mergeCell ref="D82:D83"/>
    <mergeCell ref="E82:E83"/>
    <mergeCell ref="F82:F83"/>
    <mergeCell ref="G82:G83"/>
    <mergeCell ref="H82:H83"/>
    <mergeCell ref="I82:I83"/>
    <mergeCell ref="J82:J83"/>
    <mergeCell ref="N82:N83"/>
    <mergeCell ref="Q82:Q83"/>
    <mergeCell ref="AA82:AA83"/>
    <mergeCell ref="AB82:AB83"/>
    <mergeCell ref="AC82:AC83"/>
    <mergeCell ref="R82:R83"/>
    <mergeCell ref="S82:S83"/>
    <mergeCell ref="T82:T83"/>
    <mergeCell ref="U82:U83"/>
    <mergeCell ref="V82:V83"/>
    <mergeCell ref="W82:W83"/>
    <mergeCell ref="BF82:BF83"/>
    <mergeCell ref="BG82:BG83"/>
    <mergeCell ref="AV82:AV83"/>
    <mergeCell ref="AW82:AW83"/>
    <mergeCell ref="AX82:AX83"/>
    <mergeCell ref="AY82:AY83"/>
    <mergeCell ref="AZ82:AZ83"/>
    <mergeCell ref="BA82:BA83"/>
    <mergeCell ref="X82:X83"/>
    <mergeCell ref="Y82:Y83"/>
    <mergeCell ref="AP80:AP81"/>
    <mergeCell ref="AQ80:AQ81"/>
    <mergeCell ref="AR80:AR81"/>
    <mergeCell ref="AS80:AS81"/>
    <mergeCell ref="AT80:AT81"/>
    <mergeCell ref="AU80:AU81"/>
    <mergeCell ref="AV80:AV81"/>
    <mergeCell ref="AW80:AW81"/>
    <mergeCell ref="AX80:AX81"/>
    <mergeCell ref="AY80:AY81"/>
    <mergeCell ref="AZ80:AZ81"/>
    <mergeCell ref="BA80:BA81"/>
    <mergeCell ref="BB80:BB81"/>
    <mergeCell ref="BC80:BC81"/>
    <mergeCell ref="BD80:BD81"/>
    <mergeCell ref="BE80:BE81"/>
    <mergeCell ref="BF80:BF81"/>
    <mergeCell ref="Y80:Y81"/>
    <mergeCell ref="Z80:Z81"/>
    <mergeCell ref="AA80:AA81"/>
    <mergeCell ref="AB80:AB81"/>
    <mergeCell ref="AC80:AC81"/>
    <mergeCell ref="AD80:AD81"/>
    <mergeCell ref="AE80:AE81"/>
    <mergeCell ref="AF80:AF81"/>
    <mergeCell ref="AG80:AG81"/>
    <mergeCell ref="AH80:AH81"/>
    <mergeCell ref="AI80:AI81"/>
    <mergeCell ref="AJ80:AJ81"/>
    <mergeCell ref="AK80:AK81"/>
    <mergeCell ref="AL80:AL81"/>
    <mergeCell ref="AM80:AM81"/>
    <mergeCell ref="AN80:AN81"/>
    <mergeCell ref="AO80:AO81"/>
    <mergeCell ref="AU78:AU79"/>
    <mergeCell ref="AV78:AV79"/>
    <mergeCell ref="AW78:AW79"/>
    <mergeCell ref="AX78:AX79"/>
    <mergeCell ref="AY78:AY79"/>
    <mergeCell ref="AZ78:AZ79"/>
    <mergeCell ref="BA78:BA79"/>
    <mergeCell ref="BB78:BB79"/>
    <mergeCell ref="BC78:BC79"/>
    <mergeCell ref="BD78:BD79"/>
    <mergeCell ref="BE78:BE79"/>
    <mergeCell ref="BF78:BF79"/>
    <mergeCell ref="BG78:BG79"/>
    <mergeCell ref="A80:A81"/>
    <mergeCell ref="B80:B81"/>
    <mergeCell ref="C80:C81"/>
    <mergeCell ref="D80:D81"/>
    <mergeCell ref="E80:E81"/>
    <mergeCell ref="F80:F81"/>
    <mergeCell ref="G80:G81"/>
    <mergeCell ref="H80:H81"/>
    <mergeCell ref="I80:I81"/>
    <mergeCell ref="J80:J81"/>
    <mergeCell ref="N80:N81"/>
    <mergeCell ref="Q80:Q81"/>
    <mergeCell ref="R80:R81"/>
    <mergeCell ref="S80:S81"/>
    <mergeCell ref="T80:T81"/>
    <mergeCell ref="U80:U81"/>
    <mergeCell ref="V80:V81"/>
    <mergeCell ref="W80:W81"/>
    <mergeCell ref="X80:X81"/>
    <mergeCell ref="AD78:AD79"/>
    <mergeCell ref="AE78:AE79"/>
    <mergeCell ref="AF78:AF79"/>
    <mergeCell ref="AG78:AG79"/>
    <mergeCell ref="AH78:AH79"/>
    <mergeCell ref="AI78:AI79"/>
    <mergeCell ref="AJ78:AJ79"/>
    <mergeCell ref="AK78:AK79"/>
    <mergeCell ref="AL78:AL79"/>
    <mergeCell ref="AM78:AM79"/>
    <mergeCell ref="AN78:AN79"/>
    <mergeCell ref="AO78:AO79"/>
    <mergeCell ref="AP78:AP79"/>
    <mergeCell ref="AQ78:AQ79"/>
    <mergeCell ref="AR78:AR79"/>
    <mergeCell ref="AS78:AS79"/>
    <mergeCell ref="AT78:AT79"/>
    <mergeCell ref="AZ76:AZ77"/>
    <mergeCell ref="BA76:BA77"/>
    <mergeCell ref="BB76:BB77"/>
    <mergeCell ref="BC76:BC77"/>
    <mergeCell ref="BD76:BD77"/>
    <mergeCell ref="BE76:BE77"/>
    <mergeCell ref="BF76:BF77"/>
    <mergeCell ref="BG76:BG77"/>
    <mergeCell ref="A78:A79"/>
    <mergeCell ref="B78:B79"/>
    <mergeCell ref="C78:C79"/>
    <mergeCell ref="D78:D79"/>
    <mergeCell ref="E78:E79"/>
    <mergeCell ref="F78:F79"/>
    <mergeCell ref="G78:G79"/>
    <mergeCell ref="H78:H79"/>
    <mergeCell ref="I78:I79"/>
    <mergeCell ref="J78:J79"/>
    <mergeCell ref="N78:N79"/>
    <mergeCell ref="Q78:Q79"/>
    <mergeCell ref="R78:R79"/>
    <mergeCell ref="S78:S79"/>
    <mergeCell ref="T78:T79"/>
    <mergeCell ref="U78:U79"/>
    <mergeCell ref="V78:V79"/>
    <mergeCell ref="W78:W79"/>
    <mergeCell ref="X78:X79"/>
    <mergeCell ref="Y78:Y79"/>
    <mergeCell ref="Z78:Z79"/>
    <mergeCell ref="AA78:AA79"/>
    <mergeCell ref="AB78:AB79"/>
    <mergeCell ref="AC78:AC79"/>
    <mergeCell ref="AI76:AI77"/>
    <mergeCell ref="AJ76:AJ77"/>
    <mergeCell ref="AK76:AK77"/>
    <mergeCell ref="AL76:AL77"/>
    <mergeCell ref="AM76:AM77"/>
    <mergeCell ref="AN76:AN77"/>
    <mergeCell ref="AO76:AO77"/>
    <mergeCell ref="AP76:AP77"/>
    <mergeCell ref="AQ76:AQ77"/>
    <mergeCell ref="AR76:AR77"/>
    <mergeCell ref="AS76:AS77"/>
    <mergeCell ref="AT76:AT77"/>
    <mergeCell ref="AU76:AU77"/>
    <mergeCell ref="AV76:AV77"/>
    <mergeCell ref="AW76:AW77"/>
    <mergeCell ref="AX76:AX77"/>
    <mergeCell ref="AY76:AY77"/>
    <mergeCell ref="BE74:BE75"/>
    <mergeCell ref="BF74:BF75"/>
    <mergeCell ref="BG74:BG75"/>
    <mergeCell ref="A76:A77"/>
    <mergeCell ref="B76:B77"/>
    <mergeCell ref="C76:C77"/>
    <mergeCell ref="D76:D77"/>
    <mergeCell ref="E76:E77"/>
    <mergeCell ref="F76:F77"/>
    <mergeCell ref="G76:G77"/>
    <mergeCell ref="H76:H77"/>
    <mergeCell ref="I76:I77"/>
    <mergeCell ref="J76:J77"/>
    <mergeCell ref="N76:N77"/>
    <mergeCell ref="Q76:Q77"/>
    <mergeCell ref="R76:R77"/>
    <mergeCell ref="S76:S77"/>
    <mergeCell ref="T76:T77"/>
    <mergeCell ref="U76:U77"/>
    <mergeCell ref="V76:V77"/>
    <mergeCell ref="W76:W77"/>
    <mergeCell ref="X76:X77"/>
    <mergeCell ref="Y76:Y77"/>
    <mergeCell ref="Z76:Z77"/>
    <mergeCell ref="AA76:AA77"/>
    <mergeCell ref="AB76:AB77"/>
    <mergeCell ref="AC76:AC77"/>
    <mergeCell ref="AD76:AD77"/>
    <mergeCell ref="AE76:AE77"/>
    <mergeCell ref="AF76:AF77"/>
    <mergeCell ref="AG76:AG77"/>
    <mergeCell ref="AH76:AH77"/>
    <mergeCell ref="AN74:AN75"/>
    <mergeCell ref="AO74:AO75"/>
    <mergeCell ref="AP74:AP75"/>
    <mergeCell ref="AQ74:AQ75"/>
    <mergeCell ref="AR74:AR75"/>
    <mergeCell ref="AS74:AS75"/>
    <mergeCell ref="AT74:AT75"/>
    <mergeCell ref="AU74:AU75"/>
    <mergeCell ref="AV74:AV75"/>
    <mergeCell ref="AW74:AW75"/>
    <mergeCell ref="AX74:AX75"/>
    <mergeCell ref="AY74:AY75"/>
    <mergeCell ref="AZ74:AZ75"/>
    <mergeCell ref="BA74:BA75"/>
    <mergeCell ref="BB74:BB75"/>
    <mergeCell ref="BC74:BC75"/>
    <mergeCell ref="BD74:BD75"/>
    <mergeCell ref="W74:W75"/>
    <mergeCell ref="X74:X75"/>
    <mergeCell ref="Y74:Y75"/>
    <mergeCell ref="Z74:Z75"/>
    <mergeCell ref="AA74:AA75"/>
    <mergeCell ref="AB74:AB75"/>
    <mergeCell ref="AC74:AC75"/>
    <mergeCell ref="AD74:AD75"/>
    <mergeCell ref="AE74:AE75"/>
    <mergeCell ref="AF74:AF75"/>
    <mergeCell ref="AG74:AG75"/>
    <mergeCell ref="AH74:AH75"/>
    <mergeCell ref="AI74:AI75"/>
    <mergeCell ref="AJ74:AJ75"/>
    <mergeCell ref="AK74:AK75"/>
    <mergeCell ref="AL74:AL75"/>
    <mergeCell ref="AM74:AM75"/>
    <mergeCell ref="AT71:AT72"/>
    <mergeCell ref="AU71:AU72"/>
    <mergeCell ref="AV71:AV72"/>
    <mergeCell ref="AW71:AW72"/>
    <mergeCell ref="AX71:AX72"/>
    <mergeCell ref="AY71:AY72"/>
    <mergeCell ref="AZ71:AZ72"/>
    <mergeCell ref="BA71:BA72"/>
    <mergeCell ref="BB71:BB72"/>
    <mergeCell ref="BC71:BC72"/>
    <mergeCell ref="BD71:BD72"/>
    <mergeCell ref="BE71:BE72"/>
    <mergeCell ref="BF71:BF72"/>
    <mergeCell ref="BG71:BG72"/>
    <mergeCell ref="A73:I73"/>
    <mergeCell ref="A74:A75"/>
    <mergeCell ref="B74:B75"/>
    <mergeCell ref="C74:C75"/>
    <mergeCell ref="D74:D75"/>
    <mergeCell ref="E74:E75"/>
    <mergeCell ref="F74:F75"/>
    <mergeCell ref="G74:G75"/>
    <mergeCell ref="H74:H75"/>
    <mergeCell ref="I74:I75"/>
    <mergeCell ref="J74:J75"/>
    <mergeCell ref="N74:N75"/>
    <mergeCell ref="Q74:Q75"/>
    <mergeCell ref="R74:R75"/>
    <mergeCell ref="S74:S75"/>
    <mergeCell ref="T74:T75"/>
    <mergeCell ref="U74:U75"/>
    <mergeCell ref="V74:V75"/>
    <mergeCell ref="AC71:AC72"/>
    <mergeCell ref="AD71:AD72"/>
    <mergeCell ref="AE71:AE72"/>
    <mergeCell ref="AF71:AF72"/>
    <mergeCell ref="AG71:AG72"/>
    <mergeCell ref="AH71:AH72"/>
    <mergeCell ref="AI71:AI72"/>
    <mergeCell ref="AJ71:AJ72"/>
    <mergeCell ref="AK71:AK72"/>
    <mergeCell ref="AL71:AL72"/>
    <mergeCell ref="AM71:AM72"/>
    <mergeCell ref="AN71:AN72"/>
    <mergeCell ref="AO71:AO72"/>
    <mergeCell ref="AP71:AP72"/>
    <mergeCell ref="AQ71:AQ72"/>
    <mergeCell ref="AR71:AR72"/>
    <mergeCell ref="AS71:AS72"/>
    <mergeCell ref="AY69:AY70"/>
    <mergeCell ref="AZ69:AZ70"/>
    <mergeCell ref="BA69:BA70"/>
    <mergeCell ref="BB69:BB70"/>
    <mergeCell ref="BC69:BC70"/>
    <mergeCell ref="BD69:BD70"/>
    <mergeCell ref="BE69:BE70"/>
    <mergeCell ref="BF69:BF70"/>
    <mergeCell ref="BG69:BG70"/>
    <mergeCell ref="A71:A72"/>
    <mergeCell ref="B71:B72"/>
    <mergeCell ref="C71:C72"/>
    <mergeCell ref="D71:D72"/>
    <mergeCell ref="E71:E72"/>
    <mergeCell ref="F71:F72"/>
    <mergeCell ref="G71:G72"/>
    <mergeCell ref="H71:H72"/>
    <mergeCell ref="I71:I72"/>
    <mergeCell ref="J71:J72"/>
    <mergeCell ref="N71:N72"/>
    <mergeCell ref="Q71:Q72"/>
    <mergeCell ref="R71:R72"/>
    <mergeCell ref="S71:S72"/>
    <mergeCell ref="T71:T72"/>
    <mergeCell ref="U71:U72"/>
    <mergeCell ref="V71:V72"/>
    <mergeCell ref="W71:W72"/>
    <mergeCell ref="X71:X72"/>
    <mergeCell ref="Y71:Y72"/>
    <mergeCell ref="Z71:Z72"/>
    <mergeCell ref="AA71:AA72"/>
    <mergeCell ref="AB71:AB72"/>
    <mergeCell ref="AH69:AH70"/>
    <mergeCell ref="AI69:AI70"/>
    <mergeCell ref="AJ69:AJ70"/>
    <mergeCell ref="AK69:AK70"/>
    <mergeCell ref="AL69:AL70"/>
    <mergeCell ref="AM69:AM70"/>
    <mergeCell ref="AN69:AN70"/>
    <mergeCell ref="AO69:AO70"/>
    <mergeCell ref="AP69:AP70"/>
    <mergeCell ref="AQ69:AQ70"/>
    <mergeCell ref="AR69:AR70"/>
    <mergeCell ref="AS69:AS70"/>
    <mergeCell ref="AT69:AT70"/>
    <mergeCell ref="AU69:AU70"/>
    <mergeCell ref="AV69:AV70"/>
    <mergeCell ref="AW69:AW70"/>
    <mergeCell ref="AX69:AX70"/>
    <mergeCell ref="BD67:BD68"/>
    <mergeCell ref="BE67:BE68"/>
    <mergeCell ref="BF67:BF68"/>
    <mergeCell ref="BG67:BG68"/>
    <mergeCell ref="A69:A70"/>
    <mergeCell ref="B69:B70"/>
    <mergeCell ref="C69:C70"/>
    <mergeCell ref="D69:D70"/>
    <mergeCell ref="E69:E70"/>
    <mergeCell ref="F69:F70"/>
    <mergeCell ref="G69:G70"/>
    <mergeCell ref="H69:H70"/>
    <mergeCell ref="I69:I70"/>
    <mergeCell ref="J69:J70"/>
    <mergeCell ref="N69:N70"/>
    <mergeCell ref="Q69:Q70"/>
    <mergeCell ref="R69:R70"/>
    <mergeCell ref="S69:S70"/>
    <mergeCell ref="T69:T70"/>
    <mergeCell ref="U69:U70"/>
    <mergeCell ref="V69:V70"/>
    <mergeCell ref="W69:W70"/>
    <mergeCell ref="X69:X70"/>
    <mergeCell ref="Y69:Y70"/>
    <mergeCell ref="Z69:Z70"/>
    <mergeCell ref="AA69:AA70"/>
    <mergeCell ref="AB69:AB70"/>
    <mergeCell ref="AC69:AC70"/>
    <mergeCell ref="AD69:AD70"/>
    <mergeCell ref="AE69:AE70"/>
    <mergeCell ref="AF69:AF70"/>
    <mergeCell ref="AG69:AG70"/>
    <mergeCell ref="AM67:AM68"/>
    <mergeCell ref="AN67:AN68"/>
    <mergeCell ref="AO67:AO68"/>
    <mergeCell ref="AP67:AP68"/>
    <mergeCell ref="AQ67:AQ68"/>
    <mergeCell ref="AR67:AR68"/>
    <mergeCell ref="AS67:AS68"/>
    <mergeCell ref="AT67:AT68"/>
    <mergeCell ref="AU67:AU68"/>
    <mergeCell ref="AV67:AV68"/>
    <mergeCell ref="AW67:AW68"/>
    <mergeCell ref="AX67:AX68"/>
    <mergeCell ref="AY67:AY68"/>
    <mergeCell ref="AZ67:AZ68"/>
    <mergeCell ref="BA67:BA68"/>
    <mergeCell ref="BB67:BB68"/>
    <mergeCell ref="BC67:BC68"/>
    <mergeCell ref="V67:V68"/>
    <mergeCell ref="W67:W68"/>
    <mergeCell ref="X67:X68"/>
    <mergeCell ref="Y67:Y68"/>
    <mergeCell ref="Z67:Z68"/>
    <mergeCell ref="AA67:AA68"/>
    <mergeCell ref="AB67:AB68"/>
    <mergeCell ref="AC67:AC68"/>
    <mergeCell ref="AD67:AD68"/>
    <mergeCell ref="AE67:AE68"/>
    <mergeCell ref="AF67:AF68"/>
    <mergeCell ref="AG67:AG68"/>
    <mergeCell ref="AH67:AH68"/>
    <mergeCell ref="AI67:AI68"/>
    <mergeCell ref="AJ67:AJ68"/>
    <mergeCell ref="AK67:AK68"/>
    <mergeCell ref="AL67:AL68"/>
    <mergeCell ref="AR65:AR66"/>
    <mergeCell ref="AS65:AS66"/>
    <mergeCell ref="AT65:AT66"/>
    <mergeCell ref="AU65:AU66"/>
    <mergeCell ref="AV65:AV66"/>
    <mergeCell ref="AW65:AW66"/>
    <mergeCell ref="AX65:AX66"/>
    <mergeCell ref="AY65:AY66"/>
    <mergeCell ref="AZ65:AZ66"/>
    <mergeCell ref="BA65:BA66"/>
    <mergeCell ref="BB65:BB66"/>
    <mergeCell ref="BC65:BC66"/>
    <mergeCell ref="BD65:BD66"/>
    <mergeCell ref="BE65:BE66"/>
    <mergeCell ref="BF65:BF66"/>
    <mergeCell ref="BG65:BG66"/>
    <mergeCell ref="A67:A68"/>
    <mergeCell ref="B67:B68"/>
    <mergeCell ref="C67:C68"/>
    <mergeCell ref="D67:D68"/>
    <mergeCell ref="E67:E68"/>
    <mergeCell ref="F67:F68"/>
    <mergeCell ref="G67:G68"/>
    <mergeCell ref="H67:H68"/>
    <mergeCell ref="I67:I68"/>
    <mergeCell ref="J67:J68"/>
    <mergeCell ref="N67:N68"/>
    <mergeCell ref="Q67:Q68"/>
    <mergeCell ref="R67:R68"/>
    <mergeCell ref="S67:S68"/>
    <mergeCell ref="T67:T68"/>
    <mergeCell ref="U67:U68"/>
    <mergeCell ref="AA65:AA66"/>
    <mergeCell ref="AB65:AB66"/>
    <mergeCell ref="AC65:AC66"/>
    <mergeCell ref="AD65:AD66"/>
    <mergeCell ref="AE65:AE66"/>
    <mergeCell ref="AF65:AF66"/>
    <mergeCell ref="AG65:AG66"/>
    <mergeCell ref="AH65:AH66"/>
    <mergeCell ref="AI65:AI66"/>
    <mergeCell ref="AJ65:AJ66"/>
    <mergeCell ref="AK65:AK66"/>
    <mergeCell ref="AL65:AL66"/>
    <mergeCell ref="AM65:AM66"/>
    <mergeCell ref="AN65:AN66"/>
    <mergeCell ref="AO65:AO66"/>
    <mergeCell ref="AP65:AP66"/>
    <mergeCell ref="AQ65:AQ66"/>
    <mergeCell ref="AW63:AW64"/>
    <mergeCell ref="AX63:AX64"/>
    <mergeCell ref="AY63:AY64"/>
    <mergeCell ref="AZ63:AZ64"/>
    <mergeCell ref="BA63:BA64"/>
    <mergeCell ref="BB63:BB64"/>
    <mergeCell ref="BC63:BC64"/>
    <mergeCell ref="BD63:BD64"/>
    <mergeCell ref="BE63:BE64"/>
    <mergeCell ref="BF63:BF64"/>
    <mergeCell ref="BG63:BG64"/>
    <mergeCell ref="A65:A66"/>
    <mergeCell ref="B65:B66"/>
    <mergeCell ref="C65:C66"/>
    <mergeCell ref="D65:D66"/>
    <mergeCell ref="E65:E66"/>
    <mergeCell ref="F65:F66"/>
    <mergeCell ref="G65:G66"/>
    <mergeCell ref="H65:H66"/>
    <mergeCell ref="I65:I66"/>
    <mergeCell ref="J65:J66"/>
    <mergeCell ref="N65:N66"/>
    <mergeCell ref="Q65:Q66"/>
    <mergeCell ref="R65:R66"/>
    <mergeCell ref="S65:S66"/>
    <mergeCell ref="T65:T66"/>
    <mergeCell ref="U65:U66"/>
    <mergeCell ref="V65:V66"/>
    <mergeCell ref="W65:W66"/>
    <mergeCell ref="X65:X66"/>
    <mergeCell ref="Y65:Y66"/>
    <mergeCell ref="Z65:Z66"/>
    <mergeCell ref="AU57:AU58"/>
    <mergeCell ref="AV57:AV58"/>
    <mergeCell ref="S63:S64"/>
    <mergeCell ref="T63:T64"/>
    <mergeCell ref="U63:U64"/>
    <mergeCell ref="V63:V64"/>
    <mergeCell ref="W63:W64"/>
    <mergeCell ref="X63:X64"/>
    <mergeCell ref="Y63:Y64"/>
    <mergeCell ref="Z63:Z64"/>
    <mergeCell ref="AA63:AA64"/>
    <mergeCell ref="AB63:AB64"/>
    <mergeCell ref="AC63:AC64"/>
    <mergeCell ref="AD63:AD64"/>
    <mergeCell ref="AE63:AE64"/>
    <mergeCell ref="AF63:AF64"/>
    <mergeCell ref="AG63:AG64"/>
    <mergeCell ref="AH63:AH64"/>
    <mergeCell ref="AI63:AI64"/>
    <mergeCell ref="AJ63:AJ64"/>
    <mergeCell ref="AK63:AK64"/>
    <mergeCell ref="AL63:AL64"/>
    <mergeCell ref="AM63:AM64"/>
    <mergeCell ref="AN63:AN64"/>
    <mergeCell ref="AO63:AO64"/>
    <mergeCell ref="AP63:AP64"/>
    <mergeCell ref="AQ63:AQ64"/>
    <mergeCell ref="AR63:AR64"/>
    <mergeCell ref="AS63:AS64"/>
    <mergeCell ref="AT63:AT64"/>
    <mergeCell ref="AU63:AU64"/>
    <mergeCell ref="AV63:AV64"/>
    <mergeCell ref="BF57:BF58"/>
    <mergeCell ref="AC57:AC58"/>
    <mergeCell ref="AY57:AY58"/>
    <mergeCell ref="AZ57:AZ58"/>
    <mergeCell ref="BG57:BG58"/>
    <mergeCell ref="A59:I59"/>
    <mergeCell ref="A60:I60"/>
    <mergeCell ref="A61:O61"/>
    <mergeCell ref="U61:U62"/>
    <mergeCell ref="A62:O62"/>
    <mergeCell ref="BA57:BA58"/>
    <mergeCell ref="BB57:BB58"/>
    <mergeCell ref="BC57:BC58"/>
    <mergeCell ref="BD57:BD58"/>
    <mergeCell ref="AE57:AE58"/>
    <mergeCell ref="AF57:AF58"/>
    <mergeCell ref="AG57:AG58"/>
    <mergeCell ref="AH57:AH58"/>
    <mergeCell ref="AI57:AI58"/>
    <mergeCell ref="AJ57:AJ58"/>
    <mergeCell ref="AK57:AK58"/>
    <mergeCell ref="AL57:AL58"/>
    <mergeCell ref="AM57:AM58"/>
    <mergeCell ref="AN57:AN58"/>
    <mergeCell ref="AO57:AO58"/>
    <mergeCell ref="AP57:AP58"/>
    <mergeCell ref="AQ57:AQ58"/>
    <mergeCell ref="AR57:AR58"/>
    <mergeCell ref="AS57:AS58"/>
    <mergeCell ref="BE57:BE58"/>
    <mergeCell ref="AD57:AD58"/>
    <mergeCell ref="AT57:AT58"/>
    <mergeCell ref="AH55:AH56"/>
    <mergeCell ref="AI55:AI56"/>
    <mergeCell ref="BA55:BA56"/>
    <mergeCell ref="BB55:BB56"/>
    <mergeCell ref="BC55:BC56"/>
    <mergeCell ref="BD55:BD56"/>
    <mergeCell ref="BE55:BE56"/>
    <mergeCell ref="BF55:BF56"/>
    <mergeCell ref="BG55:BG56"/>
    <mergeCell ref="A57:A58"/>
    <mergeCell ref="B57:B58"/>
    <mergeCell ref="C57:C58"/>
    <mergeCell ref="D57:D58"/>
    <mergeCell ref="E57:E58"/>
    <mergeCell ref="F57:F58"/>
    <mergeCell ref="G57:G58"/>
    <mergeCell ref="H57:H58"/>
    <mergeCell ref="I57:I58"/>
    <mergeCell ref="J57:J58"/>
    <mergeCell ref="N57:N58"/>
    <mergeCell ref="Q57:Q58"/>
    <mergeCell ref="R57:R58"/>
    <mergeCell ref="S57:S58"/>
    <mergeCell ref="T57:T58"/>
    <mergeCell ref="U57:U58"/>
    <mergeCell ref="V57:V58"/>
    <mergeCell ref="W57:W58"/>
    <mergeCell ref="X57:X58"/>
    <mergeCell ref="Y57:Y58"/>
    <mergeCell ref="Z57:Z58"/>
    <mergeCell ref="AA57:AA58"/>
    <mergeCell ref="AB57:AB58"/>
    <mergeCell ref="AW57:AW58"/>
    <mergeCell ref="AX57:AX58"/>
    <mergeCell ref="AY55:AY56"/>
    <mergeCell ref="AZ55:AZ56"/>
    <mergeCell ref="BF53:BF54"/>
    <mergeCell ref="BG53:BG54"/>
    <mergeCell ref="A55:A56"/>
    <mergeCell ref="B55:B56"/>
    <mergeCell ref="C55:C56"/>
    <mergeCell ref="D55:D56"/>
    <mergeCell ref="E55:E56"/>
    <mergeCell ref="F55:F56"/>
    <mergeCell ref="G55:G56"/>
    <mergeCell ref="H55:H56"/>
    <mergeCell ref="I55:I56"/>
    <mergeCell ref="J55:J56"/>
    <mergeCell ref="N55:N56"/>
    <mergeCell ref="Q55:Q56"/>
    <mergeCell ref="R55:R56"/>
    <mergeCell ref="S55:S56"/>
    <mergeCell ref="T55:T56"/>
    <mergeCell ref="U55:U56"/>
    <mergeCell ref="V55:V56"/>
    <mergeCell ref="W55:W56"/>
    <mergeCell ref="X55:X56"/>
    <mergeCell ref="Y55:Y56"/>
    <mergeCell ref="Z55:Z56"/>
    <mergeCell ref="AA55:AA56"/>
    <mergeCell ref="AB55:AB56"/>
    <mergeCell ref="AC55:AC56"/>
    <mergeCell ref="AD55:AD56"/>
    <mergeCell ref="AE55:AE56"/>
    <mergeCell ref="AF55:AF56"/>
    <mergeCell ref="AG55:AG56"/>
    <mergeCell ref="AO53:AO54"/>
    <mergeCell ref="AP53:AP54"/>
    <mergeCell ref="AQ53:AQ54"/>
    <mergeCell ref="AR53:AR54"/>
    <mergeCell ref="AS53:AS54"/>
    <mergeCell ref="AT53:AT54"/>
    <mergeCell ref="AU53:AU54"/>
    <mergeCell ref="AV53:AV54"/>
    <mergeCell ref="AW53:AW54"/>
    <mergeCell ref="AX53:AX54"/>
    <mergeCell ref="AY53:AY54"/>
    <mergeCell ref="AZ53:AZ54"/>
    <mergeCell ref="BA53:BA54"/>
    <mergeCell ref="BB53:BB54"/>
    <mergeCell ref="BC53:BC54"/>
    <mergeCell ref="AJ55:AJ56"/>
    <mergeCell ref="AK55:AK56"/>
    <mergeCell ref="AL55:AL56"/>
    <mergeCell ref="AM55:AM56"/>
    <mergeCell ref="AN55:AN56"/>
    <mergeCell ref="AO55:AO56"/>
    <mergeCell ref="AP55:AP56"/>
    <mergeCell ref="AQ55:AQ56"/>
    <mergeCell ref="AR55:AR56"/>
    <mergeCell ref="AS55:AS56"/>
    <mergeCell ref="AT55:AT56"/>
    <mergeCell ref="AU55:AU56"/>
    <mergeCell ref="AV55:AV56"/>
    <mergeCell ref="AW55:AW56"/>
    <mergeCell ref="AX55:AX56"/>
    <mergeCell ref="BD53:BD54"/>
    <mergeCell ref="BE53:BE54"/>
    <mergeCell ref="X53:X54"/>
    <mergeCell ref="Y53:Y54"/>
    <mergeCell ref="Z53:Z54"/>
    <mergeCell ref="AA53:AA54"/>
    <mergeCell ref="AB53:AB54"/>
    <mergeCell ref="AC53:AC54"/>
    <mergeCell ref="AD53:AD54"/>
    <mergeCell ref="AE53:AE54"/>
    <mergeCell ref="AF53:AF54"/>
    <mergeCell ref="AG53:AG54"/>
    <mergeCell ref="AH53:AH54"/>
    <mergeCell ref="AI53:AI54"/>
    <mergeCell ref="AJ53:AJ54"/>
    <mergeCell ref="AK53:AK54"/>
    <mergeCell ref="AL53:AL54"/>
    <mergeCell ref="AM53:AM54"/>
    <mergeCell ref="AN53:AN54"/>
    <mergeCell ref="AT51:AT52"/>
    <mergeCell ref="AU51:AU52"/>
    <mergeCell ref="AV51:AV52"/>
    <mergeCell ref="AW51:AW52"/>
    <mergeCell ref="AX51:AX52"/>
    <mergeCell ref="AY51:AY52"/>
    <mergeCell ref="AZ51:AZ52"/>
    <mergeCell ref="BA51:BA52"/>
    <mergeCell ref="BB51:BB52"/>
    <mergeCell ref="BC51:BC52"/>
    <mergeCell ref="BD51:BD52"/>
    <mergeCell ref="BE51:BE52"/>
    <mergeCell ref="BF51:BF52"/>
    <mergeCell ref="BG51:BG52"/>
    <mergeCell ref="A53:A54"/>
    <mergeCell ref="B53:B54"/>
    <mergeCell ref="C53:C54"/>
    <mergeCell ref="D53:D54"/>
    <mergeCell ref="E53:E54"/>
    <mergeCell ref="F53:F54"/>
    <mergeCell ref="G53:G54"/>
    <mergeCell ref="H53:H54"/>
    <mergeCell ref="I53:I54"/>
    <mergeCell ref="J53:J54"/>
    <mergeCell ref="N53:N54"/>
    <mergeCell ref="Q53:Q54"/>
    <mergeCell ref="R53:R54"/>
    <mergeCell ref="S53:S54"/>
    <mergeCell ref="T53:T54"/>
    <mergeCell ref="U53:U54"/>
    <mergeCell ref="V53:V54"/>
    <mergeCell ref="W53:W54"/>
    <mergeCell ref="AC51:AC52"/>
    <mergeCell ref="AD51:AD52"/>
    <mergeCell ref="AE51:AE52"/>
    <mergeCell ref="AF51:AF52"/>
    <mergeCell ref="AG51:AG52"/>
    <mergeCell ref="AH51:AH52"/>
    <mergeCell ref="AI51:AI52"/>
    <mergeCell ref="AJ51:AJ52"/>
    <mergeCell ref="AK51:AK52"/>
    <mergeCell ref="AL51:AL52"/>
    <mergeCell ref="AM51:AM52"/>
    <mergeCell ref="AN51:AN52"/>
    <mergeCell ref="AO51:AO52"/>
    <mergeCell ref="AP51:AP52"/>
    <mergeCell ref="AQ51:AQ52"/>
    <mergeCell ref="AR51:AR52"/>
    <mergeCell ref="AS51:AS52"/>
    <mergeCell ref="AY49:AY50"/>
    <mergeCell ref="AZ49:AZ50"/>
    <mergeCell ref="BA49:BA50"/>
    <mergeCell ref="BB49:BB50"/>
    <mergeCell ref="BC49:BC50"/>
    <mergeCell ref="BD49:BD50"/>
    <mergeCell ref="BE49:BE50"/>
    <mergeCell ref="BF49:BF50"/>
    <mergeCell ref="BG49:BG50"/>
    <mergeCell ref="A51:A52"/>
    <mergeCell ref="B51:B52"/>
    <mergeCell ref="C51:C52"/>
    <mergeCell ref="D51:D52"/>
    <mergeCell ref="E51:E52"/>
    <mergeCell ref="F51:F52"/>
    <mergeCell ref="G51:G52"/>
    <mergeCell ref="H51:H52"/>
    <mergeCell ref="I51:I52"/>
    <mergeCell ref="J51:J52"/>
    <mergeCell ref="N51:N52"/>
    <mergeCell ref="Q51:Q52"/>
    <mergeCell ref="R51:R52"/>
    <mergeCell ref="S51:S52"/>
    <mergeCell ref="T51:T52"/>
    <mergeCell ref="U51:U52"/>
    <mergeCell ref="V51:V52"/>
    <mergeCell ref="W51:W52"/>
    <mergeCell ref="X51:X52"/>
    <mergeCell ref="Y51:Y52"/>
    <mergeCell ref="Z51:Z52"/>
    <mergeCell ref="AA51:AA52"/>
    <mergeCell ref="AB51:AB52"/>
    <mergeCell ref="AH49:AH50"/>
    <mergeCell ref="AI49:AI50"/>
    <mergeCell ref="AJ49:AJ50"/>
    <mergeCell ref="AK49:AK50"/>
    <mergeCell ref="AL49:AL50"/>
    <mergeCell ref="AM49:AM50"/>
    <mergeCell ref="AN49:AN50"/>
    <mergeCell ref="AO49:AO50"/>
    <mergeCell ref="AP49:AP50"/>
    <mergeCell ref="AQ49:AQ50"/>
    <mergeCell ref="AR49:AR50"/>
    <mergeCell ref="AS49:AS50"/>
    <mergeCell ref="AT49:AT50"/>
    <mergeCell ref="AU49:AU50"/>
    <mergeCell ref="AV49:AV50"/>
    <mergeCell ref="AW49:AW50"/>
    <mergeCell ref="AX49:AX50"/>
    <mergeCell ref="BD47:BD48"/>
    <mergeCell ref="BE47:BE48"/>
    <mergeCell ref="BF47:BF48"/>
    <mergeCell ref="BG47:BG48"/>
    <mergeCell ref="A49:A50"/>
    <mergeCell ref="B49:B50"/>
    <mergeCell ref="C49:C50"/>
    <mergeCell ref="D49:D50"/>
    <mergeCell ref="E49:E50"/>
    <mergeCell ref="F49:F50"/>
    <mergeCell ref="G49:G50"/>
    <mergeCell ref="H49:H50"/>
    <mergeCell ref="I49:I50"/>
    <mergeCell ref="J49:J50"/>
    <mergeCell ref="N49:N50"/>
    <mergeCell ref="Q49:Q50"/>
    <mergeCell ref="R49:R50"/>
    <mergeCell ref="S49:S50"/>
    <mergeCell ref="T49:T50"/>
    <mergeCell ref="U49:U50"/>
    <mergeCell ref="V49:V50"/>
    <mergeCell ref="W49:W50"/>
    <mergeCell ref="X49:X50"/>
    <mergeCell ref="Y49:Y50"/>
    <mergeCell ref="Z49:Z50"/>
    <mergeCell ref="AA49:AA50"/>
    <mergeCell ref="AB49:AB50"/>
    <mergeCell ref="AC49:AC50"/>
    <mergeCell ref="AD49:AD50"/>
    <mergeCell ref="AE49:AE50"/>
    <mergeCell ref="AF49:AF50"/>
    <mergeCell ref="AG49:AG50"/>
    <mergeCell ref="AM47:AM48"/>
    <mergeCell ref="AN47:AN48"/>
    <mergeCell ref="AO47:AO48"/>
    <mergeCell ref="AP47:AP48"/>
    <mergeCell ref="AQ47:AQ48"/>
    <mergeCell ref="AR47:AR48"/>
    <mergeCell ref="AS47:AS48"/>
    <mergeCell ref="AT47:AT48"/>
    <mergeCell ref="AU47:AU48"/>
    <mergeCell ref="AV47:AV48"/>
    <mergeCell ref="AW47:AW48"/>
    <mergeCell ref="AX47:AX48"/>
    <mergeCell ref="AY47:AY48"/>
    <mergeCell ref="AZ47:AZ48"/>
    <mergeCell ref="BA47:BA48"/>
    <mergeCell ref="BB47:BB48"/>
    <mergeCell ref="BC47:BC48"/>
    <mergeCell ref="V47:V48"/>
    <mergeCell ref="W47:W48"/>
    <mergeCell ref="X47:X48"/>
    <mergeCell ref="Y47:Y48"/>
    <mergeCell ref="Z47:Z48"/>
    <mergeCell ref="AA47:AA48"/>
    <mergeCell ref="AB47:AB48"/>
    <mergeCell ref="AC47:AC48"/>
    <mergeCell ref="AD47:AD48"/>
    <mergeCell ref="AE47:AE48"/>
    <mergeCell ref="AF47:AF48"/>
    <mergeCell ref="AG47:AG48"/>
    <mergeCell ref="AH47:AH48"/>
    <mergeCell ref="AI47:AI48"/>
    <mergeCell ref="AJ47:AJ48"/>
    <mergeCell ref="AK47:AK48"/>
    <mergeCell ref="AL47:AL48"/>
    <mergeCell ref="A46:I46"/>
    <mergeCell ref="A47:A48"/>
    <mergeCell ref="B47:B48"/>
    <mergeCell ref="C47:C48"/>
    <mergeCell ref="D47:D48"/>
    <mergeCell ref="E47:E48"/>
    <mergeCell ref="F47:F48"/>
    <mergeCell ref="G47:G48"/>
    <mergeCell ref="H47:H48"/>
    <mergeCell ref="I47:I48"/>
    <mergeCell ref="J47:J48"/>
    <mergeCell ref="N47:N48"/>
    <mergeCell ref="Q47:Q48"/>
    <mergeCell ref="R47:R48"/>
    <mergeCell ref="S47:S48"/>
    <mergeCell ref="T47:T48"/>
    <mergeCell ref="U47:U48"/>
    <mergeCell ref="AW44:AW45"/>
    <mergeCell ref="AX44:AX45"/>
    <mergeCell ref="AY44:AY45"/>
    <mergeCell ref="AZ44:AZ45"/>
    <mergeCell ref="BA44:BA45"/>
    <mergeCell ref="X44:X45"/>
    <mergeCell ref="Y44:Y45"/>
    <mergeCell ref="Z44:Z45"/>
    <mergeCell ref="BC44:BC45"/>
    <mergeCell ref="BD44:BD45"/>
    <mergeCell ref="BE44:BE45"/>
    <mergeCell ref="AP44:AP45"/>
    <mergeCell ref="AQ44:AQ45"/>
    <mergeCell ref="AR44:AR45"/>
    <mergeCell ref="AS44:AS45"/>
    <mergeCell ref="AD44:AD45"/>
    <mergeCell ref="AE44:AE45"/>
    <mergeCell ref="AF44:AF45"/>
    <mergeCell ref="AG44:AG45"/>
    <mergeCell ref="AH44:AH45"/>
    <mergeCell ref="AI44:AI45"/>
    <mergeCell ref="BB44:BB45"/>
    <mergeCell ref="AJ44:AJ45"/>
    <mergeCell ref="AK44:AK45"/>
    <mergeCell ref="AL44:AL45"/>
    <mergeCell ref="AM44:AM45"/>
    <mergeCell ref="AN44:AN45"/>
    <mergeCell ref="AO44:AO45"/>
    <mergeCell ref="AT44:AT45"/>
    <mergeCell ref="AU44:AU45"/>
    <mergeCell ref="AZ42:AZ43"/>
    <mergeCell ref="BA42:BA43"/>
    <mergeCell ref="BB42:BB43"/>
    <mergeCell ref="BC42:BC43"/>
    <mergeCell ref="BD42:BD43"/>
    <mergeCell ref="BE42:BE43"/>
    <mergeCell ref="BF42:BF43"/>
    <mergeCell ref="BG42:BG43"/>
    <mergeCell ref="A44:A45"/>
    <mergeCell ref="B44:B45"/>
    <mergeCell ref="C44:C45"/>
    <mergeCell ref="D44:D45"/>
    <mergeCell ref="E44:E45"/>
    <mergeCell ref="F44:F45"/>
    <mergeCell ref="G44:G45"/>
    <mergeCell ref="H44:H45"/>
    <mergeCell ref="I44:I45"/>
    <mergeCell ref="J44:J45"/>
    <mergeCell ref="N44:N45"/>
    <mergeCell ref="Q44:Q45"/>
    <mergeCell ref="AA44:AA45"/>
    <mergeCell ref="AB44:AB45"/>
    <mergeCell ref="AC44:AC45"/>
    <mergeCell ref="R44:R45"/>
    <mergeCell ref="S44:S45"/>
    <mergeCell ref="T44:T45"/>
    <mergeCell ref="U44:U45"/>
    <mergeCell ref="V44:V45"/>
    <mergeCell ref="W44:W45"/>
    <mergeCell ref="BF44:BF45"/>
    <mergeCell ref="BG44:BG45"/>
    <mergeCell ref="AV44:AV45"/>
    <mergeCell ref="AI42:AI43"/>
    <mergeCell ref="AJ42:AJ43"/>
    <mergeCell ref="AK42:AK43"/>
    <mergeCell ref="AL42:AL43"/>
    <mergeCell ref="AM42:AM43"/>
    <mergeCell ref="AN42:AN43"/>
    <mergeCell ref="AO42:AO43"/>
    <mergeCell ref="AP42:AP43"/>
    <mergeCell ref="AQ42:AQ43"/>
    <mergeCell ref="AR42:AR43"/>
    <mergeCell ref="AS42:AS43"/>
    <mergeCell ref="AT42:AT43"/>
    <mergeCell ref="AU42:AU43"/>
    <mergeCell ref="AV42:AV43"/>
    <mergeCell ref="AW42:AW43"/>
    <mergeCell ref="AX42:AX43"/>
    <mergeCell ref="AY42:AY43"/>
    <mergeCell ref="BE40:BE41"/>
    <mergeCell ref="BF40:BF41"/>
    <mergeCell ref="BG40:BG41"/>
    <mergeCell ref="A42:A43"/>
    <mergeCell ref="B42:B43"/>
    <mergeCell ref="C42:C43"/>
    <mergeCell ref="D42:D43"/>
    <mergeCell ref="E42:E43"/>
    <mergeCell ref="F42:F43"/>
    <mergeCell ref="G42:G43"/>
    <mergeCell ref="H42:H43"/>
    <mergeCell ref="I42:I43"/>
    <mergeCell ref="J42:J43"/>
    <mergeCell ref="N42:N43"/>
    <mergeCell ref="Q42:Q43"/>
    <mergeCell ref="R42:R43"/>
    <mergeCell ref="S42:S43"/>
    <mergeCell ref="T42:T43"/>
    <mergeCell ref="U42:U43"/>
    <mergeCell ref="V42:V43"/>
    <mergeCell ref="W42:W43"/>
    <mergeCell ref="X42:X43"/>
    <mergeCell ref="Y42:Y43"/>
    <mergeCell ref="Z42:Z43"/>
    <mergeCell ref="AA42:AA43"/>
    <mergeCell ref="AB42:AB43"/>
    <mergeCell ref="AC42:AC43"/>
    <mergeCell ref="AD42:AD43"/>
    <mergeCell ref="AE42:AE43"/>
    <mergeCell ref="AF42:AF43"/>
    <mergeCell ref="AG42:AG43"/>
    <mergeCell ref="AH42:AH43"/>
    <mergeCell ref="AN40:AN41"/>
    <mergeCell ref="AO40:AO41"/>
    <mergeCell ref="AP40:AP41"/>
    <mergeCell ref="AQ40:AQ41"/>
    <mergeCell ref="AR40:AR41"/>
    <mergeCell ref="AS40:AS41"/>
    <mergeCell ref="AT40:AT41"/>
    <mergeCell ref="AU40:AU41"/>
    <mergeCell ref="AV40:AV41"/>
    <mergeCell ref="AW40:AW41"/>
    <mergeCell ref="AX40:AX41"/>
    <mergeCell ref="AY40:AY41"/>
    <mergeCell ref="AZ40:AZ41"/>
    <mergeCell ref="BA40:BA41"/>
    <mergeCell ref="BB40:BB41"/>
    <mergeCell ref="BC40:BC41"/>
    <mergeCell ref="BD40:BD41"/>
    <mergeCell ref="W40:W41"/>
    <mergeCell ref="X40:X41"/>
    <mergeCell ref="Y40:Y41"/>
    <mergeCell ref="Z40:Z41"/>
    <mergeCell ref="AA40:AA41"/>
    <mergeCell ref="AB40:AB41"/>
    <mergeCell ref="AC40:AC41"/>
    <mergeCell ref="AD40:AD41"/>
    <mergeCell ref="AE40:AE41"/>
    <mergeCell ref="AF40:AF41"/>
    <mergeCell ref="AG40:AG41"/>
    <mergeCell ref="AH40:AH41"/>
    <mergeCell ref="AI40:AI41"/>
    <mergeCell ref="AJ40:AJ41"/>
    <mergeCell ref="AK40:AK41"/>
    <mergeCell ref="AL40:AL41"/>
    <mergeCell ref="AM40:AM41"/>
    <mergeCell ref="A40:A41"/>
    <mergeCell ref="B40:B41"/>
    <mergeCell ref="C40:C41"/>
    <mergeCell ref="D40:D41"/>
    <mergeCell ref="E40:E41"/>
    <mergeCell ref="F40:F41"/>
    <mergeCell ref="G40:G41"/>
    <mergeCell ref="H40:H41"/>
    <mergeCell ref="I40:I41"/>
    <mergeCell ref="J40:J41"/>
    <mergeCell ref="N40:N41"/>
    <mergeCell ref="Q40:Q41"/>
    <mergeCell ref="R40:R41"/>
    <mergeCell ref="S40:S41"/>
    <mergeCell ref="T40:T41"/>
    <mergeCell ref="U40:U41"/>
    <mergeCell ref="V40:V41"/>
    <mergeCell ref="AN37:AN38"/>
    <mergeCell ref="AO37:AO38"/>
    <mergeCell ref="AP37:AP38"/>
    <mergeCell ref="BA37:BA38"/>
    <mergeCell ref="BB37:BB38"/>
    <mergeCell ref="AQ37:AQ38"/>
    <mergeCell ref="AR37:AR38"/>
    <mergeCell ref="AS37:AS38"/>
    <mergeCell ref="AT37:AT38"/>
    <mergeCell ref="AU37:AU38"/>
    <mergeCell ref="AV37:AV38"/>
    <mergeCell ref="BC37:BC38"/>
    <mergeCell ref="BD37:BD38"/>
    <mergeCell ref="BE37:BE38"/>
    <mergeCell ref="BF37:BF38"/>
    <mergeCell ref="BG37:BG38"/>
    <mergeCell ref="A39:I39"/>
    <mergeCell ref="AW37:AW38"/>
    <mergeCell ref="AX37:AX38"/>
    <mergeCell ref="AY37:AY38"/>
    <mergeCell ref="AZ37:AZ38"/>
    <mergeCell ref="AD35:AD36"/>
    <mergeCell ref="AE35:AE36"/>
    <mergeCell ref="AF35:AF36"/>
    <mergeCell ref="BD35:BD36"/>
    <mergeCell ref="AW35:AW36"/>
    <mergeCell ref="H37:H38"/>
    <mergeCell ref="I37:I38"/>
    <mergeCell ref="J37:J38"/>
    <mergeCell ref="N37:N38"/>
    <mergeCell ref="Q37:Q38"/>
    <mergeCell ref="R37:R38"/>
    <mergeCell ref="S37:S38"/>
    <mergeCell ref="T37:T38"/>
    <mergeCell ref="U37:U38"/>
    <mergeCell ref="V37:V38"/>
    <mergeCell ref="W37:W38"/>
    <mergeCell ref="X37:X38"/>
    <mergeCell ref="Y37:Y38"/>
    <mergeCell ref="Z37:Z38"/>
    <mergeCell ref="AA37:AA38"/>
    <mergeCell ref="AB37:AB38"/>
    <mergeCell ref="AC37:AC38"/>
    <mergeCell ref="AD37:AD38"/>
    <mergeCell ref="AE37:AE38"/>
    <mergeCell ref="AF37:AF38"/>
    <mergeCell ref="AG37:AG38"/>
    <mergeCell ref="AH37:AH38"/>
    <mergeCell ref="AI37:AI38"/>
    <mergeCell ref="AJ37:AJ38"/>
    <mergeCell ref="AK37:AK38"/>
    <mergeCell ref="AL37:AL38"/>
    <mergeCell ref="AM37:AM38"/>
    <mergeCell ref="AR35:AR36"/>
    <mergeCell ref="G37:G38"/>
    <mergeCell ref="AY35:AY36"/>
    <mergeCell ref="AZ35:AZ36"/>
    <mergeCell ref="BA35:BA36"/>
    <mergeCell ref="BB35:BB36"/>
    <mergeCell ref="BC35:BC36"/>
    <mergeCell ref="AS35:AS36"/>
    <mergeCell ref="AT35:AT36"/>
    <mergeCell ref="AU35:AU36"/>
    <mergeCell ref="AV35:AV36"/>
    <mergeCell ref="J35:J36"/>
    <mergeCell ref="N35:N36"/>
    <mergeCell ref="BF35:BF36"/>
    <mergeCell ref="BG35:BG36"/>
    <mergeCell ref="A37:A38"/>
    <mergeCell ref="B37:B38"/>
    <mergeCell ref="C37:C38"/>
    <mergeCell ref="D37:D38"/>
    <mergeCell ref="E37:E38"/>
    <mergeCell ref="F37:F38"/>
    <mergeCell ref="U35:U36"/>
    <mergeCell ref="V35:V36"/>
    <mergeCell ref="W35:W36"/>
    <mergeCell ref="X35:X36"/>
    <mergeCell ref="Y35:Y36"/>
    <mergeCell ref="Z35:Z36"/>
    <mergeCell ref="BE35:BE36"/>
    <mergeCell ref="AL35:AL36"/>
    <mergeCell ref="AA35:AA36"/>
    <mergeCell ref="AB35:AB36"/>
    <mergeCell ref="AC35:AC36"/>
    <mergeCell ref="AZ33:AZ34"/>
    <mergeCell ref="BA33:BA34"/>
    <mergeCell ref="BB33:BB34"/>
    <mergeCell ref="BC33:BC34"/>
    <mergeCell ref="BD33:BD34"/>
    <mergeCell ref="BE33:BE34"/>
    <mergeCell ref="BF33:BF34"/>
    <mergeCell ref="BG33:BG34"/>
    <mergeCell ref="A35:A36"/>
    <mergeCell ref="B35:B36"/>
    <mergeCell ref="C35:C36"/>
    <mergeCell ref="D35:D36"/>
    <mergeCell ref="E35:E36"/>
    <mergeCell ref="F35:F36"/>
    <mergeCell ref="G35:G36"/>
    <mergeCell ref="H35:H36"/>
    <mergeCell ref="I35:I36"/>
    <mergeCell ref="AG35:AG36"/>
    <mergeCell ref="AH35:AH36"/>
    <mergeCell ref="AI35:AI36"/>
    <mergeCell ref="AJ35:AJ36"/>
    <mergeCell ref="AK35:AK36"/>
    <mergeCell ref="Q35:Q36"/>
    <mergeCell ref="R35:R36"/>
    <mergeCell ref="S35:S36"/>
    <mergeCell ref="T35:T36"/>
    <mergeCell ref="AX35:AX36"/>
    <mergeCell ref="AM35:AM36"/>
    <mergeCell ref="AN35:AN36"/>
    <mergeCell ref="AO35:AO36"/>
    <mergeCell ref="AP35:AP36"/>
    <mergeCell ref="AQ35:AQ36"/>
    <mergeCell ref="AI33:AI34"/>
    <mergeCell ref="AJ33:AJ34"/>
    <mergeCell ref="AK33:AK34"/>
    <mergeCell ref="AL33:AL34"/>
    <mergeCell ref="AM33:AM34"/>
    <mergeCell ref="AN33:AN34"/>
    <mergeCell ref="AO33:AO34"/>
    <mergeCell ref="AP33:AP34"/>
    <mergeCell ref="AQ33:AQ34"/>
    <mergeCell ref="AR33:AR34"/>
    <mergeCell ref="AS33:AS34"/>
    <mergeCell ref="AT33:AT34"/>
    <mergeCell ref="AU33:AU34"/>
    <mergeCell ref="AV33:AV34"/>
    <mergeCell ref="AW33:AW34"/>
    <mergeCell ref="AX33:AX34"/>
    <mergeCell ref="AY33:AY34"/>
    <mergeCell ref="R33:R34"/>
    <mergeCell ref="S33:S34"/>
    <mergeCell ref="T33:T34"/>
    <mergeCell ref="U33:U34"/>
    <mergeCell ref="V33:V34"/>
    <mergeCell ref="W33:W34"/>
    <mergeCell ref="X33:X34"/>
    <mergeCell ref="Y33:Y34"/>
    <mergeCell ref="Z33:Z34"/>
    <mergeCell ref="AA33:AA34"/>
    <mergeCell ref="AB33:AB34"/>
    <mergeCell ref="AC33:AC34"/>
    <mergeCell ref="AD33:AD34"/>
    <mergeCell ref="AE33:AE34"/>
    <mergeCell ref="AF33:AF34"/>
    <mergeCell ref="AG33:AG34"/>
    <mergeCell ref="AH33:AH34"/>
    <mergeCell ref="A33:A34"/>
    <mergeCell ref="B33:B34"/>
    <mergeCell ref="C33:C34"/>
    <mergeCell ref="D33:D34"/>
    <mergeCell ref="E33:E34"/>
    <mergeCell ref="AW31:AW32"/>
    <mergeCell ref="AK31:AK32"/>
    <mergeCell ref="AL31:AL32"/>
    <mergeCell ref="AM31:AM32"/>
    <mergeCell ref="AN31:AN32"/>
    <mergeCell ref="H31:H32"/>
    <mergeCell ref="I31:I32"/>
    <mergeCell ref="J31:J32"/>
    <mergeCell ref="N31:N32"/>
    <mergeCell ref="Q31:Q32"/>
    <mergeCell ref="R31:R32"/>
    <mergeCell ref="S31:S32"/>
    <mergeCell ref="T31:T32"/>
    <mergeCell ref="U31:U32"/>
    <mergeCell ref="V31:V32"/>
    <mergeCell ref="W31:W32"/>
    <mergeCell ref="X31:X32"/>
    <mergeCell ref="AB31:AB32"/>
    <mergeCell ref="AC31:AC32"/>
    <mergeCell ref="AD31:AD32"/>
    <mergeCell ref="F33:F34"/>
    <mergeCell ref="G33:G34"/>
    <mergeCell ref="H33:H34"/>
    <mergeCell ref="I33:I34"/>
    <mergeCell ref="J33:J34"/>
    <mergeCell ref="N33:N34"/>
    <mergeCell ref="Q33:Q34"/>
    <mergeCell ref="BG29:BG30"/>
    <mergeCell ref="BD29:BD30"/>
    <mergeCell ref="AW29:AW30"/>
    <mergeCell ref="AX29:AX30"/>
    <mergeCell ref="AM29:AM30"/>
    <mergeCell ref="AO31:AO32"/>
    <mergeCell ref="AP31:AP32"/>
    <mergeCell ref="AE31:AE32"/>
    <mergeCell ref="AF31:AF32"/>
    <mergeCell ref="AG31:AG32"/>
    <mergeCell ref="AH31:AH32"/>
    <mergeCell ref="AI31:AI32"/>
    <mergeCell ref="AJ31:AJ32"/>
    <mergeCell ref="AZ31:AZ32"/>
    <mergeCell ref="BA31:BA32"/>
    <mergeCell ref="BB31:BB32"/>
    <mergeCell ref="AQ31:AQ32"/>
    <mergeCell ref="AR31:AR32"/>
    <mergeCell ref="AS31:AS32"/>
    <mergeCell ref="AT31:AT32"/>
    <mergeCell ref="AU31:AU32"/>
    <mergeCell ref="AV31:AV32"/>
    <mergeCell ref="BC31:BC32"/>
    <mergeCell ref="BD31:BD32"/>
    <mergeCell ref="BE31:BE32"/>
    <mergeCell ref="BF31:BF32"/>
    <mergeCell ref="BG31:BG32"/>
    <mergeCell ref="AX31:AX32"/>
    <mergeCell ref="AY31:AY32"/>
    <mergeCell ref="AR29:AR30"/>
    <mergeCell ref="AG29:AG30"/>
    <mergeCell ref="AH29:AH30"/>
    <mergeCell ref="G31:G32"/>
    <mergeCell ref="AY29:AY30"/>
    <mergeCell ref="AZ29:AZ30"/>
    <mergeCell ref="BA29:BA30"/>
    <mergeCell ref="BB29:BB30"/>
    <mergeCell ref="BC29:BC30"/>
    <mergeCell ref="AS29:AS30"/>
    <mergeCell ref="AT29:AT30"/>
    <mergeCell ref="AU29:AU30"/>
    <mergeCell ref="AV29:AV30"/>
    <mergeCell ref="A31:A32"/>
    <mergeCell ref="B31:B32"/>
    <mergeCell ref="C31:C32"/>
    <mergeCell ref="D31:D32"/>
    <mergeCell ref="E31:E32"/>
    <mergeCell ref="F31:F32"/>
    <mergeCell ref="Y31:Y32"/>
    <mergeCell ref="Z31:Z32"/>
    <mergeCell ref="AA31:AA32"/>
    <mergeCell ref="Y29:Y30"/>
    <mergeCell ref="Z29:Z30"/>
    <mergeCell ref="AL29:AL30"/>
    <mergeCell ref="AA29:AA30"/>
    <mergeCell ref="AB29:AB30"/>
    <mergeCell ref="AC29:AC30"/>
    <mergeCell ref="AD29:AD30"/>
    <mergeCell ref="AE29:AE30"/>
    <mergeCell ref="AF29:AF30"/>
    <mergeCell ref="AN29:AN30"/>
    <mergeCell ref="AO29:AO30"/>
    <mergeCell ref="AP29:AP30"/>
    <mergeCell ref="AQ29:AQ30"/>
    <mergeCell ref="AI29:AI30"/>
    <mergeCell ref="AJ29:AJ30"/>
    <mergeCell ref="AK29:AK30"/>
    <mergeCell ref="AU27:AU28"/>
    <mergeCell ref="AV27:AV28"/>
    <mergeCell ref="AW27:AW28"/>
    <mergeCell ref="AX27:AX28"/>
    <mergeCell ref="AY27:AY28"/>
    <mergeCell ref="AZ27:AZ28"/>
    <mergeCell ref="BA27:BA28"/>
    <mergeCell ref="BB27:BB28"/>
    <mergeCell ref="BC27:BC28"/>
    <mergeCell ref="BD27:BD28"/>
    <mergeCell ref="BE27:BE28"/>
    <mergeCell ref="BF27:BF28"/>
    <mergeCell ref="AP27:AP28"/>
    <mergeCell ref="AQ27:AQ28"/>
    <mergeCell ref="AR27:AR28"/>
    <mergeCell ref="AS27:AS28"/>
    <mergeCell ref="AT27:AT28"/>
    <mergeCell ref="BE29:BE30"/>
    <mergeCell ref="BF29:BF30"/>
    <mergeCell ref="BG27:BG28"/>
    <mergeCell ref="A29:A30"/>
    <mergeCell ref="B29:B30"/>
    <mergeCell ref="C29:C30"/>
    <mergeCell ref="D29:D30"/>
    <mergeCell ref="E29:E30"/>
    <mergeCell ref="F29:F30"/>
    <mergeCell ref="G29:G30"/>
    <mergeCell ref="H29:H30"/>
    <mergeCell ref="I29:I30"/>
    <mergeCell ref="J29:J30"/>
    <mergeCell ref="N29:N30"/>
    <mergeCell ref="Q29:Q30"/>
    <mergeCell ref="R29:R30"/>
    <mergeCell ref="S29:S30"/>
    <mergeCell ref="T29:T30"/>
    <mergeCell ref="U29:U30"/>
    <mergeCell ref="V29:V30"/>
    <mergeCell ref="W29:W30"/>
    <mergeCell ref="X29:X30"/>
    <mergeCell ref="AD27:AD28"/>
    <mergeCell ref="AE27:AE28"/>
    <mergeCell ref="AF27:AF28"/>
    <mergeCell ref="AG27:AG28"/>
    <mergeCell ref="AH27:AH28"/>
    <mergeCell ref="AI27:AI28"/>
    <mergeCell ref="AJ27:AJ28"/>
    <mergeCell ref="AK27:AK28"/>
    <mergeCell ref="AL27:AL28"/>
    <mergeCell ref="AM27:AM28"/>
    <mergeCell ref="AN27:AN28"/>
    <mergeCell ref="AO27:AO28"/>
    <mergeCell ref="AZ25:AZ26"/>
    <mergeCell ref="BA25:BA26"/>
    <mergeCell ref="BB25:BB26"/>
    <mergeCell ref="BC25:BC26"/>
    <mergeCell ref="BD25:BD26"/>
    <mergeCell ref="BE25:BE26"/>
    <mergeCell ref="BF25:BF26"/>
    <mergeCell ref="BG25:BG26"/>
    <mergeCell ref="A27:A28"/>
    <mergeCell ref="B27:B28"/>
    <mergeCell ref="C27:C28"/>
    <mergeCell ref="D27:D28"/>
    <mergeCell ref="E27:E28"/>
    <mergeCell ref="F27:F28"/>
    <mergeCell ref="G27:G28"/>
    <mergeCell ref="H27:H28"/>
    <mergeCell ref="I27:I28"/>
    <mergeCell ref="J27:J28"/>
    <mergeCell ref="N27:N28"/>
    <mergeCell ref="Q27:Q28"/>
    <mergeCell ref="R27:R28"/>
    <mergeCell ref="S27:S28"/>
    <mergeCell ref="T27:T28"/>
    <mergeCell ref="U27:U28"/>
    <mergeCell ref="V27:V28"/>
    <mergeCell ref="W27:W28"/>
    <mergeCell ref="X27:X28"/>
    <mergeCell ref="Y27:Y28"/>
    <mergeCell ref="Z27:Z28"/>
    <mergeCell ref="AA27:AA28"/>
    <mergeCell ref="AB27:AB28"/>
    <mergeCell ref="AC27:AC28"/>
    <mergeCell ref="AI25:AI26"/>
    <mergeCell ref="AJ25:AJ26"/>
    <mergeCell ref="AK25:AK26"/>
    <mergeCell ref="AL25:AL26"/>
    <mergeCell ref="AM25:AM26"/>
    <mergeCell ref="AN25:AN26"/>
    <mergeCell ref="AO25:AO26"/>
    <mergeCell ref="AP25:AP26"/>
    <mergeCell ref="AQ25:AQ26"/>
    <mergeCell ref="AR25:AR26"/>
    <mergeCell ref="AS25:AS26"/>
    <mergeCell ref="AT25:AT26"/>
    <mergeCell ref="AU25:AU26"/>
    <mergeCell ref="AV25:AV26"/>
    <mergeCell ref="AW25:AW26"/>
    <mergeCell ref="AX25:AX26"/>
    <mergeCell ref="AY25:AY26"/>
    <mergeCell ref="BE23:BE24"/>
    <mergeCell ref="BF23:BF24"/>
    <mergeCell ref="BG23:BG24"/>
    <mergeCell ref="A25:A26"/>
    <mergeCell ref="B25:B26"/>
    <mergeCell ref="C25:C26"/>
    <mergeCell ref="D25:D26"/>
    <mergeCell ref="E25:E26"/>
    <mergeCell ref="F25:F26"/>
    <mergeCell ref="G25:G26"/>
    <mergeCell ref="H25:H26"/>
    <mergeCell ref="I25:I26"/>
    <mergeCell ref="J25:J26"/>
    <mergeCell ref="N25:N26"/>
    <mergeCell ref="Q25:Q26"/>
    <mergeCell ref="R25:R26"/>
    <mergeCell ref="S25:S26"/>
    <mergeCell ref="T25:T26"/>
    <mergeCell ref="U25:U26"/>
    <mergeCell ref="V25:V26"/>
    <mergeCell ref="W25:W26"/>
    <mergeCell ref="X25:X26"/>
    <mergeCell ref="Y25:Y26"/>
    <mergeCell ref="Z25:Z26"/>
    <mergeCell ref="AA25:AA26"/>
    <mergeCell ref="AB25:AB26"/>
    <mergeCell ref="AC25:AC26"/>
    <mergeCell ref="AD25:AD26"/>
    <mergeCell ref="AE25:AE26"/>
    <mergeCell ref="AF25:AF26"/>
    <mergeCell ref="AG25:AG26"/>
    <mergeCell ref="AH25:AH26"/>
    <mergeCell ref="AN23:AN24"/>
    <mergeCell ref="AO23:AO24"/>
    <mergeCell ref="AP23:AP24"/>
    <mergeCell ref="AQ23:AQ24"/>
    <mergeCell ref="AR23:AR24"/>
    <mergeCell ref="AS23:AS24"/>
    <mergeCell ref="AT23:AT24"/>
    <mergeCell ref="AU23:AU24"/>
    <mergeCell ref="AV23:AV24"/>
    <mergeCell ref="AW23:AW24"/>
    <mergeCell ref="AX23:AX24"/>
    <mergeCell ref="AY23:AY24"/>
    <mergeCell ref="AZ23:AZ24"/>
    <mergeCell ref="BA23:BA24"/>
    <mergeCell ref="BB23:BB24"/>
    <mergeCell ref="BC23:BC24"/>
    <mergeCell ref="BD23:BD24"/>
    <mergeCell ref="W23:W24"/>
    <mergeCell ref="X23:X24"/>
    <mergeCell ref="Y23:Y24"/>
    <mergeCell ref="Z23:Z24"/>
    <mergeCell ref="AA23:AA24"/>
    <mergeCell ref="AB23:AB24"/>
    <mergeCell ref="AC23:AC24"/>
    <mergeCell ref="AD23:AD24"/>
    <mergeCell ref="AE23:AE24"/>
    <mergeCell ref="AF23:AF24"/>
    <mergeCell ref="AG23:AG24"/>
    <mergeCell ref="AH23:AH24"/>
    <mergeCell ref="AI23:AI24"/>
    <mergeCell ref="AJ23:AJ24"/>
    <mergeCell ref="AK23:AK24"/>
    <mergeCell ref="AL23:AL24"/>
    <mergeCell ref="AM23:AM24"/>
    <mergeCell ref="A23:A24"/>
    <mergeCell ref="B23:B24"/>
    <mergeCell ref="C23:C24"/>
    <mergeCell ref="D23:D24"/>
    <mergeCell ref="E23:E24"/>
    <mergeCell ref="F23:F24"/>
    <mergeCell ref="G23:G24"/>
    <mergeCell ref="H23:H24"/>
    <mergeCell ref="I23:I24"/>
    <mergeCell ref="J23:J24"/>
    <mergeCell ref="N23:N24"/>
    <mergeCell ref="Q23:Q24"/>
    <mergeCell ref="R23:R24"/>
    <mergeCell ref="S23:S24"/>
    <mergeCell ref="T23:T24"/>
    <mergeCell ref="U23:U24"/>
    <mergeCell ref="V23:V24"/>
    <mergeCell ref="AQ21:AQ22"/>
    <mergeCell ref="AR21:AR22"/>
    <mergeCell ref="AS21:AS22"/>
    <mergeCell ref="AT21:AT22"/>
    <mergeCell ref="AU21:AU22"/>
    <mergeCell ref="AV21:AV22"/>
    <mergeCell ref="AW21:AW22"/>
    <mergeCell ref="AX21:AX22"/>
    <mergeCell ref="AY21:AY22"/>
    <mergeCell ref="AZ21:AZ22"/>
    <mergeCell ref="BA21:BA22"/>
    <mergeCell ref="BB21:BB22"/>
    <mergeCell ref="BC21:BC22"/>
    <mergeCell ref="BD21:BD22"/>
    <mergeCell ref="BE21:BE22"/>
    <mergeCell ref="BF21:BF22"/>
    <mergeCell ref="BG21:BG22"/>
    <mergeCell ref="BC19:BC20"/>
    <mergeCell ref="BD19:BD20"/>
    <mergeCell ref="BE19:BE20"/>
    <mergeCell ref="BF19:BF20"/>
    <mergeCell ref="BG19:BG20"/>
    <mergeCell ref="AB19:AB20"/>
    <mergeCell ref="AC19:AC20"/>
    <mergeCell ref="AD19:AD20"/>
    <mergeCell ref="AX19:AX20"/>
    <mergeCell ref="AY19:AY20"/>
    <mergeCell ref="F21:F22"/>
    <mergeCell ref="G21:G22"/>
    <mergeCell ref="H21:H22"/>
    <mergeCell ref="I21:I22"/>
    <mergeCell ref="J21:J22"/>
    <mergeCell ref="N21:N22"/>
    <mergeCell ref="Q21:Q22"/>
    <mergeCell ref="R21:R22"/>
    <mergeCell ref="S21:S22"/>
    <mergeCell ref="T21:T22"/>
    <mergeCell ref="U21:U22"/>
    <mergeCell ref="V21:V22"/>
    <mergeCell ref="W21:W22"/>
    <mergeCell ref="X21:X22"/>
    <mergeCell ref="Y21:Y22"/>
    <mergeCell ref="Z21:Z22"/>
    <mergeCell ref="AA21:AA22"/>
    <mergeCell ref="AB21:AB22"/>
    <mergeCell ref="AC21:AC22"/>
    <mergeCell ref="AD21:AD22"/>
    <mergeCell ref="AE21:AE22"/>
    <mergeCell ref="AF21:AF22"/>
    <mergeCell ref="A21:A22"/>
    <mergeCell ref="B21:B22"/>
    <mergeCell ref="C21:C22"/>
    <mergeCell ref="D21:D22"/>
    <mergeCell ref="E21:E22"/>
    <mergeCell ref="AW19:AW20"/>
    <mergeCell ref="AK19:AK20"/>
    <mergeCell ref="AL19:AL20"/>
    <mergeCell ref="AM19:AM20"/>
    <mergeCell ref="AN19:AN20"/>
    <mergeCell ref="H19:H20"/>
    <mergeCell ref="I19:I20"/>
    <mergeCell ref="J19:J20"/>
    <mergeCell ref="N19:N20"/>
    <mergeCell ref="Q19:Q20"/>
    <mergeCell ref="R19:R20"/>
    <mergeCell ref="S19:S20"/>
    <mergeCell ref="T19:T20"/>
    <mergeCell ref="U19:U20"/>
    <mergeCell ref="V19:V20"/>
    <mergeCell ref="W19:W20"/>
    <mergeCell ref="X19:X20"/>
    <mergeCell ref="AG21:AG22"/>
    <mergeCell ref="AH21:AH22"/>
    <mergeCell ref="AI21:AI22"/>
    <mergeCell ref="AJ21:AJ22"/>
    <mergeCell ref="AK21:AK22"/>
    <mergeCell ref="AL21:AL22"/>
    <mergeCell ref="AM21:AM22"/>
    <mergeCell ref="AN21:AN22"/>
    <mergeCell ref="AO21:AO22"/>
    <mergeCell ref="AP21:AP22"/>
    <mergeCell ref="BC17:BC18"/>
    <mergeCell ref="AS17:AS18"/>
    <mergeCell ref="AT17:AT18"/>
    <mergeCell ref="AU17:AU18"/>
    <mergeCell ref="AV17:AV18"/>
    <mergeCell ref="A19:A20"/>
    <mergeCell ref="B19:B20"/>
    <mergeCell ref="C19:C20"/>
    <mergeCell ref="D19:D20"/>
    <mergeCell ref="E19:E20"/>
    <mergeCell ref="F19:F20"/>
    <mergeCell ref="Y19:Y20"/>
    <mergeCell ref="Z19:Z20"/>
    <mergeCell ref="AA19:AA20"/>
    <mergeCell ref="BE17:BE18"/>
    <mergeCell ref="BF17:BF18"/>
    <mergeCell ref="BG17:BG18"/>
    <mergeCell ref="BD17:BD18"/>
    <mergeCell ref="AW17:AW18"/>
    <mergeCell ref="AX17:AX18"/>
    <mergeCell ref="AM17:AM18"/>
    <mergeCell ref="AO19:AO20"/>
    <mergeCell ref="AP19:AP20"/>
    <mergeCell ref="AE19:AE20"/>
    <mergeCell ref="AF19:AF20"/>
    <mergeCell ref="AG19:AG20"/>
    <mergeCell ref="AH19:AH20"/>
    <mergeCell ref="AI19:AI20"/>
    <mergeCell ref="AJ19:AJ20"/>
    <mergeCell ref="AZ19:AZ20"/>
    <mergeCell ref="BA19:BA20"/>
    <mergeCell ref="BB19:BB20"/>
    <mergeCell ref="AE17:AE18"/>
    <mergeCell ref="AF17:AF18"/>
    <mergeCell ref="AN17:AN18"/>
    <mergeCell ref="AO17:AO18"/>
    <mergeCell ref="AP17:AP18"/>
    <mergeCell ref="AQ17:AQ18"/>
    <mergeCell ref="AR17:AR18"/>
    <mergeCell ref="AG17:AG18"/>
    <mergeCell ref="AH17:AH18"/>
    <mergeCell ref="AI17:AI18"/>
    <mergeCell ref="AJ17:AJ18"/>
    <mergeCell ref="AK17:AK18"/>
    <mergeCell ref="G19:G20"/>
    <mergeCell ref="AY17:AY18"/>
    <mergeCell ref="AZ17:AZ18"/>
    <mergeCell ref="BA17:BA18"/>
    <mergeCell ref="BB17:BB18"/>
    <mergeCell ref="AQ19:AQ20"/>
    <mergeCell ref="AR19:AR20"/>
    <mergeCell ref="AS19:AS20"/>
    <mergeCell ref="AT19:AT20"/>
    <mergeCell ref="AU19:AU20"/>
    <mergeCell ref="AV19:AV20"/>
    <mergeCell ref="BB15:BB16"/>
    <mergeCell ref="BC15:BC16"/>
    <mergeCell ref="BD15:BD16"/>
    <mergeCell ref="BE15:BE16"/>
    <mergeCell ref="BF15:BF16"/>
    <mergeCell ref="BG15:BG16"/>
    <mergeCell ref="A17:A18"/>
    <mergeCell ref="B17:B18"/>
    <mergeCell ref="C17:C18"/>
    <mergeCell ref="D17:D18"/>
    <mergeCell ref="E17:E18"/>
    <mergeCell ref="F17:F18"/>
    <mergeCell ref="G17:G18"/>
    <mergeCell ref="H17:H18"/>
    <mergeCell ref="I17:I18"/>
    <mergeCell ref="J17:J18"/>
    <mergeCell ref="N17:N18"/>
    <mergeCell ref="Q17:Q18"/>
    <mergeCell ref="R17:R18"/>
    <mergeCell ref="S17:S18"/>
    <mergeCell ref="T17:T18"/>
    <mergeCell ref="U17:U18"/>
    <mergeCell ref="V17:V18"/>
    <mergeCell ref="W17:W18"/>
    <mergeCell ref="X17:X18"/>
    <mergeCell ref="Y17:Y18"/>
    <mergeCell ref="Z17:Z18"/>
    <mergeCell ref="AL17:AL18"/>
    <mergeCell ref="AA17:AA18"/>
    <mergeCell ref="AB17:AB18"/>
    <mergeCell ref="AC17:AC18"/>
    <mergeCell ref="AD17:AD18"/>
    <mergeCell ref="AK15:AK16"/>
    <mergeCell ref="AL15:AL16"/>
    <mergeCell ref="AM15:AM16"/>
    <mergeCell ref="AN15:AN16"/>
    <mergeCell ref="AO15:AO16"/>
    <mergeCell ref="AP15:AP16"/>
    <mergeCell ref="AQ15:AQ16"/>
    <mergeCell ref="AR15:AR16"/>
    <mergeCell ref="AS15:AS16"/>
    <mergeCell ref="AT15:AT16"/>
    <mergeCell ref="AU15:AU16"/>
    <mergeCell ref="AV15:AV16"/>
    <mergeCell ref="AW15:AW16"/>
    <mergeCell ref="AX15:AX16"/>
    <mergeCell ref="AY15:AY16"/>
    <mergeCell ref="AZ15:AZ16"/>
    <mergeCell ref="BA15:BA16"/>
    <mergeCell ref="BG13:BG14"/>
    <mergeCell ref="A15:A16"/>
    <mergeCell ref="B15:B16"/>
    <mergeCell ref="C15:C16"/>
    <mergeCell ref="D15:D16"/>
    <mergeCell ref="E15:E16"/>
    <mergeCell ref="F15:F16"/>
    <mergeCell ref="G15:G16"/>
    <mergeCell ref="H15:H16"/>
    <mergeCell ref="I15:I16"/>
    <mergeCell ref="J15:J16"/>
    <mergeCell ref="N15:N16"/>
    <mergeCell ref="Q15:Q16"/>
    <mergeCell ref="R15:R16"/>
    <mergeCell ref="S15:S16"/>
    <mergeCell ref="T15:T16"/>
    <mergeCell ref="U15:U16"/>
    <mergeCell ref="V15:V16"/>
    <mergeCell ref="W15:W16"/>
    <mergeCell ref="X15:X16"/>
    <mergeCell ref="Y15:Y16"/>
    <mergeCell ref="Z15:Z16"/>
    <mergeCell ref="AA15:AA16"/>
    <mergeCell ref="AB15:AB16"/>
    <mergeCell ref="AC15:AC16"/>
    <mergeCell ref="AD15:AD16"/>
    <mergeCell ref="AE15:AE16"/>
    <mergeCell ref="AF15:AF16"/>
    <mergeCell ref="AG15:AG16"/>
    <mergeCell ref="AH15:AH16"/>
    <mergeCell ref="AI15:AI16"/>
    <mergeCell ref="AJ15:AJ16"/>
    <mergeCell ref="AP13:AP14"/>
    <mergeCell ref="AQ13:AQ14"/>
    <mergeCell ref="AR13:AR14"/>
    <mergeCell ref="AS13:AS14"/>
    <mergeCell ref="AT13:AT14"/>
    <mergeCell ref="AU13:AU14"/>
    <mergeCell ref="AV13:AV14"/>
    <mergeCell ref="AW13:AW14"/>
    <mergeCell ref="AX13:AX14"/>
    <mergeCell ref="AY13:AY14"/>
    <mergeCell ref="AZ13:AZ14"/>
    <mergeCell ref="BA13:BA14"/>
    <mergeCell ref="BB13:BB14"/>
    <mergeCell ref="BC13:BC14"/>
    <mergeCell ref="BD13:BD14"/>
    <mergeCell ref="BE13:BE14"/>
    <mergeCell ref="BF13:BF14"/>
    <mergeCell ref="Y13:Y14"/>
    <mergeCell ref="Z13:Z14"/>
    <mergeCell ref="AA13:AA14"/>
    <mergeCell ref="AB13:AB14"/>
    <mergeCell ref="AC13:AC14"/>
    <mergeCell ref="AD13:AD14"/>
    <mergeCell ref="AE13:AE14"/>
    <mergeCell ref="AF13:AF14"/>
    <mergeCell ref="AG13:AG14"/>
    <mergeCell ref="AH13:AH14"/>
    <mergeCell ref="AI13:AI14"/>
    <mergeCell ref="AJ13:AJ14"/>
    <mergeCell ref="AK13:AK14"/>
    <mergeCell ref="AL13:AL14"/>
    <mergeCell ref="AM13:AM14"/>
    <mergeCell ref="AN13:AN14"/>
    <mergeCell ref="AO13:AO14"/>
    <mergeCell ref="AU11:AU12"/>
    <mergeCell ref="AV11:AV12"/>
    <mergeCell ref="AW11:AW12"/>
    <mergeCell ref="AX11:AX12"/>
    <mergeCell ref="AY11:AY12"/>
    <mergeCell ref="AZ11:AZ12"/>
    <mergeCell ref="BA11:BA12"/>
    <mergeCell ref="BB11:BB12"/>
    <mergeCell ref="BC11:BC12"/>
    <mergeCell ref="BD11:BD12"/>
    <mergeCell ref="BE11:BE12"/>
    <mergeCell ref="BF11:BF12"/>
    <mergeCell ref="BG11:BG12"/>
    <mergeCell ref="A13:A14"/>
    <mergeCell ref="B13:B14"/>
    <mergeCell ref="C13:C14"/>
    <mergeCell ref="D13:D14"/>
    <mergeCell ref="E13:E14"/>
    <mergeCell ref="F13:F14"/>
    <mergeCell ref="G13:G14"/>
    <mergeCell ref="H13:H14"/>
    <mergeCell ref="I13:I14"/>
    <mergeCell ref="J13:J14"/>
    <mergeCell ref="N13:N14"/>
    <mergeCell ref="Q13:Q14"/>
    <mergeCell ref="R13:R14"/>
    <mergeCell ref="S13:S14"/>
    <mergeCell ref="T13:T14"/>
    <mergeCell ref="U13:U14"/>
    <mergeCell ref="V13:V14"/>
    <mergeCell ref="W13:W14"/>
    <mergeCell ref="X13:X14"/>
    <mergeCell ref="AD11:AD12"/>
    <mergeCell ref="AE11:AE12"/>
    <mergeCell ref="AF11:AF12"/>
    <mergeCell ref="AG11:AG12"/>
    <mergeCell ref="AH11:AH12"/>
    <mergeCell ref="AI11:AI12"/>
    <mergeCell ref="AJ11:AJ12"/>
    <mergeCell ref="AK11:AK12"/>
    <mergeCell ref="AL11:AL12"/>
    <mergeCell ref="AM11:AM12"/>
    <mergeCell ref="AN11:AN12"/>
    <mergeCell ref="AO11:AO12"/>
    <mergeCell ref="AP11:AP12"/>
    <mergeCell ref="AQ11:AQ12"/>
    <mergeCell ref="AR11:AR12"/>
    <mergeCell ref="AS11:AS12"/>
    <mergeCell ref="AT11:AT12"/>
    <mergeCell ref="AZ9:AZ10"/>
    <mergeCell ref="BA9:BA10"/>
    <mergeCell ref="BB9:BB10"/>
    <mergeCell ref="BC9:BC10"/>
    <mergeCell ref="BD9:BD10"/>
    <mergeCell ref="BE9:BE10"/>
    <mergeCell ref="BF9:BF10"/>
    <mergeCell ref="BG9:BG10"/>
    <mergeCell ref="A11:A12"/>
    <mergeCell ref="B11:B12"/>
    <mergeCell ref="C11:C12"/>
    <mergeCell ref="D11:D12"/>
    <mergeCell ref="E11:E12"/>
    <mergeCell ref="F11:F12"/>
    <mergeCell ref="G11:G12"/>
    <mergeCell ref="H11:H12"/>
    <mergeCell ref="I11:I12"/>
    <mergeCell ref="J11:J12"/>
    <mergeCell ref="N11:N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I9:AI10"/>
    <mergeCell ref="AJ9:AJ10"/>
    <mergeCell ref="AK9:AK10"/>
    <mergeCell ref="AL9:AL10"/>
    <mergeCell ref="AM9:AM10"/>
    <mergeCell ref="AN9:AN10"/>
    <mergeCell ref="AO9:AO10"/>
    <mergeCell ref="AP9:AP10"/>
    <mergeCell ref="AQ9:AQ10"/>
    <mergeCell ref="AR9:AR10"/>
    <mergeCell ref="AS9:AS10"/>
    <mergeCell ref="AT9:AT10"/>
    <mergeCell ref="AU9:AU10"/>
    <mergeCell ref="AV9:AV10"/>
    <mergeCell ref="AW9:AW10"/>
    <mergeCell ref="AX9:AX10"/>
    <mergeCell ref="AY9:AY10"/>
    <mergeCell ref="R9:R10"/>
    <mergeCell ref="S9:S10"/>
    <mergeCell ref="T9:T10"/>
    <mergeCell ref="U9:U10"/>
    <mergeCell ref="V9:V10"/>
    <mergeCell ref="W9:W10"/>
    <mergeCell ref="X9:X10"/>
    <mergeCell ref="Y9:Y10"/>
    <mergeCell ref="Z9:Z10"/>
    <mergeCell ref="AA9:AA10"/>
    <mergeCell ref="AB9:AB10"/>
    <mergeCell ref="AC9:AC10"/>
    <mergeCell ref="AD9:AD10"/>
    <mergeCell ref="AE9:AE10"/>
    <mergeCell ref="AF9:AF10"/>
    <mergeCell ref="AG9:AG10"/>
    <mergeCell ref="AH9:AH10"/>
    <mergeCell ref="A9:A10"/>
    <mergeCell ref="B9:B10"/>
    <mergeCell ref="C9:C10"/>
    <mergeCell ref="D9:D10"/>
    <mergeCell ref="E9:E10"/>
    <mergeCell ref="AW7:AW8"/>
    <mergeCell ref="AK7:AK8"/>
    <mergeCell ref="AL7:AL8"/>
    <mergeCell ref="AM7:AM8"/>
    <mergeCell ref="AN7:AN8"/>
    <mergeCell ref="H7:H8"/>
    <mergeCell ref="I7:I8"/>
    <mergeCell ref="J7:J8"/>
    <mergeCell ref="N7:N8"/>
    <mergeCell ref="Q7:Q8"/>
    <mergeCell ref="R7:R8"/>
    <mergeCell ref="S7:S8"/>
    <mergeCell ref="T7:T8"/>
    <mergeCell ref="U7:U8"/>
    <mergeCell ref="V7:V8"/>
    <mergeCell ref="W7:W8"/>
    <mergeCell ref="X7:X8"/>
    <mergeCell ref="AB7:AB8"/>
    <mergeCell ref="AC7:AC8"/>
    <mergeCell ref="AD7:AD8"/>
    <mergeCell ref="F9:F10"/>
    <mergeCell ref="G9:G10"/>
    <mergeCell ref="H9:H10"/>
    <mergeCell ref="I9:I10"/>
    <mergeCell ref="J9:J10"/>
    <mergeCell ref="N9:N10"/>
    <mergeCell ref="Q9:Q10"/>
    <mergeCell ref="BE5:BE6"/>
    <mergeCell ref="BF5:BF6"/>
    <mergeCell ref="BG5:BG6"/>
    <mergeCell ref="BD5:BD6"/>
    <mergeCell ref="AW5:AW6"/>
    <mergeCell ref="AX5:AX6"/>
    <mergeCell ref="AM5:AM6"/>
    <mergeCell ref="AO7:AO8"/>
    <mergeCell ref="AP7:AP8"/>
    <mergeCell ref="AE7:AE8"/>
    <mergeCell ref="AF7:AF8"/>
    <mergeCell ref="AG7:AG8"/>
    <mergeCell ref="AH7:AH8"/>
    <mergeCell ref="AI7:AI8"/>
    <mergeCell ref="AJ7:AJ8"/>
    <mergeCell ref="AZ7:AZ8"/>
    <mergeCell ref="BA7:BA8"/>
    <mergeCell ref="BB7:BB8"/>
    <mergeCell ref="AQ7:AQ8"/>
    <mergeCell ref="AR7:AR8"/>
    <mergeCell ref="AS7:AS8"/>
    <mergeCell ref="AT7:AT8"/>
    <mergeCell ref="AU7:AU8"/>
    <mergeCell ref="AV7:AV8"/>
    <mergeCell ref="BC7:BC8"/>
    <mergeCell ref="BD7:BD8"/>
    <mergeCell ref="BE7:BE8"/>
    <mergeCell ref="BF7:BF8"/>
    <mergeCell ref="BG7:BG8"/>
    <mergeCell ref="AX7:AX8"/>
    <mergeCell ref="AY7:AY8"/>
    <mergeCell ref="AZ5:AZ6"/>
    <mergeCell ref="BA5:BA6"/>
    <mergeCell ref="BB5:BB6"/>
    <mergeCell ref="BC5:BC6"/>
    <mergeCell ref="AS5:AS6"/>
    <mergeCell ref="AT5:AT6"/>
    <mergeCell ref="AU5:AU6"/>
    <mergeCell ref="AV5:AV6"/>
    <mergeCell ref="A7:A8"/>
    <mergeCell ref="B7:B8"/>
    <mergeCell ref="C7:C8"/>
    <mergeCell ref="D7:D8"/>
    <mergeCell ref="E7:E8"/>
    <mergeCell ref="F7:F8"/>
    <mergeCell ref="Y7:Y8"/>
    <mergeCell ref="Z7:Z8"/>
    <mergeCell ref="AA7:AA8"/>
    <mergeCell ref="AB5:AB6"/>
    <mergeCell ref="AC5:AC6"/>
    <mergeCell ref="AD5:AD6"/>
    <mergeCell ref="AE5:AE6"/>
    <mergeCell ref="AF5:AF6"/>
    <mergeCell ref="AN5:AN6"/>
    <mergeCell ref="AO5:AO6"/>
    <mergeCell ref="AP5:AP6"/>
    <mergeCell ref="AQ5:AQ6"/>
    <mergeCell ref="AR5:AR6"/>
    <mergeCell ref="AG5:AG6"/>
    <mergeCell ref="AH5:AH6"/>
    <mergeCell ref="AI5:AI6"/>
    <mergeCell ref="AJ5:AJ6"/>
    <mergeCell ref="AK5:AK6"/>
    <mergeCell ref="G7:G8"/>
    <mergeCell ref="AY5:AY6"/>
    <mergeCell ref="AY3:AY4"/>
    <mergeCell ref="AZ3:AZ4"/>
    <mergeCell ref="BA3:BA4"/>
    <mergeCell ref="BB3:BB4"/>
    <mergeCell ref="BC3:BC4"/>
    <mergeCell ref="BD3:BD4"/>
    <mergeCell ref="BE3:BE4"/>
    <mergeCell ref="BF3:BF4"/>
    <mergeCell ref="BG3:BG4"/>
    <mergeCell ref="A5:A6"/>
    <mergeCell ref="B5:B6"/>
    <mergeCell ref="C5:C6"/>
    <mergeCell ref="D5:D6"/>
    <mergeCell ref="E5:E6"/>
    <mergeCell ref="F5:F6"/>
    <mergeCell ref="G5:G6"/>
    <mergeCell ref="H5:H6"/>
    <mergeCell ref="I5:I6"/>
    <mergeCell ref="J5:J6"/>
    <mergeCell ref="N5:N6"/>
    <mergeCell ref="Q5:Q6"/>
    <mergeCell ref="R5:R6"/>
    <mergeCell ref="S5:S6"/>
    <mergeCell ref="T5:T6"/>
    <mergeCell ref="U5:U6"/>
    <mergeCell ref="V5:V6"/>
    <mergeCell ref="W5:W6"/>
    <mergeCell ref="X5:X6"/>
    <mergeCell ref="Y5:Y6"/>
    <mergeCell ref="Z5:Z6"/>
    <mergeCell ref="AL5:AL6"/>
    <mergeCell ref="AA5:AA6"/>
    <mergeCell ref="AH3:AH4"/>
    <mergeCell ref="AI3:AI4"/>
    <mergeCell ref="AJ3:AJ4"/>
    <mergeCell ref="AK3:AK4"/>
    <mergeCell ref="AL3:AL4"/>
    <mergeCell ref="AM3:AM4"/>
    <mergeCell ref="AN3:AN4"/>
    <mergeCell ref="AO3:AO4"/>
    <mergeCell ref="AP3:AP4"/>
    <mergeCell ref="AQ3:AQ4"/>
    <mergeCell ref="AR3:AR4"/>
    <mergeCell ref="AS3:AS4"/>
    <mergeCell ref="AT3:AT4"/>
    <mergeCell ref="AU3:AU4"/>
    <mergeCell ref="AV3:AV4"/>
    <mergeCell ref="AW3:AW4"/>
    <mergeCell ref="AX3:AX4"/>
    <mergeCell ref="A1:O1"/>
    <mergeCell ref="A2:O2"/>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s>
  <phoneticPr fontId="61" type="noConversion"/>
  <pageMargins left="0" right="0" top="0" bottom="0" header="0" footer="0"/>
  <pageSetup paperSize="9" scale="65"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07"/>
  <sheetViews>
    <sheetView zoomScale="70" zoomScaleNormal="70" workbookViewId="0">
      <pane xSplit="10" ySplit="4" topLeftCell="K5" activePane="bottomRight" state="frozen"/>
      <selection activeCell="R1" sqref="R1"/>
      <selection pane="topRight" activeCell="R1" sqref="R1"/>
      <selection pane="bottomLeft" activeCell="R1" sqref="R1"/>
      <selection pane="bottomRight" activeCell="R13" sqref="R13:R14"/>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7" width="14.375"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30</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45287</v>
      </c>
      <c r="B5" s="87" t="s">
        <v>37</v>
      </c>
      <c r="C5" s="89">
        <v>1</v>
      </c>
      <c r="D5" s="91" t="s">
        <v>38</v>
      </c>
      <c r="E5" s="89">
        <v>84217</v>
      </c>
      <c r="F5" s="89" t="s">
        <v>49</v>
      </c>
      <c r="G5" s="93" t="s">
        <v>55</v>
      </c>
      <c r="H5" s="90" t="s">
        <v>39</v>
      </c>
      <c r="I5" s="90">
        <v>4918</v>
      </c>
      <c r="J5" s="90">
        <v>2258</v>
      </c>
      <c r="K5" s="20">
        <v>0</v>
      </c>
      <c r="L5" s="20">
        <v>0</v>
      </c>
      <c r="M5" s="20">
        <v>0</v>
      </c>
      <c r="N5" s="97">
        <f>O6/L6</f>
        <v>0.65560538116591927</v>
      </c>
      <c r="O5" s="21">
        <f t="shared" ref="O5:O38" si="0">L5-M5</f>
        <v>0</v>
      </c>
      <c r="P5" s="27">
        <v>0</v>
      </c>
      <c r="Q5" s="99">
        <f>+L6-P6</f>
        <v>1</v>
      </c>
      <c r="R5" s="85" t="s">
        <v>87</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si="0"/>
        <v>1462</v>
      </c>
      <c r="P6" s="22">
        <f>2194+35</f>
        <v>2229</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6.5" customHeight="1">
      <c r="A7" s="108">
        <v>45287</v>
      </c>
      <c r="B7" s="87" t="s">
        <v>37</v>
      </c>
      <c r="C7" s="89">
        <v>1</v>
      </c>
      <c r="D7" s="91" t="s">
        <v>38</v>
      </c>
      <c r="E7" s="89">
        <v>84217</v>
      </c>
      <c r="F7" s="89" t="s">
        <v>76</v>
      </c>
      <c r="G7" s="93" t="s">
        <v>71</v>
      </c>
      <c r="H7" s="90" t="s">
        <v>80</v>
      </c>
      <c r="I7" s="90">
        <v>1452</v>
      </c>
      <c r="J7" s="90">
        <v>1452</v>
      </c>
      <c r="K7" s="20">
        <v>52</v>
      </c>
      <c r="L7" s="20">
        <v>42</v>
      </c>
      <c r="M7" s="20">
        <v>20</v>
      </c>
      <c r="N7" s="97">
        <f>O8/L8</f>
        <v>0.69409937888198758</v>
      </c>
      <c r="O7" s="21">
        <f t="shared" si="0"/>
        <v>22</v>
      </c>
      <c r="P7" s="27">
        <v>20</v>
      </c>
      <c r="Q7" s="99">
        <f t="shared" ref="Q7" si="1">+L8-P8</f>
        <v>66</v>
      </c>
      <c r="R7" s="85"/>
      <c r="S7" s="96"/>
      <c r="T7" s="96">
        <v>7</v>
      </c>
      <c r="U7" s="96"/>
      <c r="V7" s="96"/>
      <c r="W7" s="96"/>
      <c r="X7" s="96"/>
      <c r="Y7" s="96"/>
      <c r="Z7" s="96"/>
      <c r="AA7" s="96"/>
      <c r="AB7" s="96"/>
      <c r="AC7" s="96"/>
      <c r="AD7" s="96"/>
      <c r="AE7" s="96"/>
      <c r="AF7" s="96">
        <v>8</v>
      </c>
      <c r="AG7" s="96"/>
      <c r="AH7" s="96">
        <v>5</v>
      </c>
      <c r="AI7" s="96"/>
      <c r="AJ7" s="96"/>
      <c r="AK7" s="96"/>
      <c r="AL7" s="96">
        <v>2</v>
      </c>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53+88+29+47+80+98+101+49+27+50+52</f>
        <v>674</v>
      </c>
      <c r="L8" s="18">
        <f>10+44+80+80+83+80+94+74+27+30+42</f>
        <v>644</v>
      </c>
      <c r="M8" s="18">
        <f>10+30+20+23+20+20+24+10+20+20</f>
        <v>197</v>
      </c>
      <c r="N8" s="98"/>
      <c r="O8" s="19">
        <f t="shared" si="0"/>
        <v>447</v>
      </c>
      <c r="P8" s="22">
        <f>10+74+20+37+30+186+43+137+21+20</f>
        <v>578</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45287</v>
      </c>
      <c r="B9" s="87" t="s">
        <v>37</v>
      </c>
      <c r="C9" s="89">
        <v>1</v>
      </c>
      <c r="D9" s="91" t="s">
        <v>38</v>
      </c>
      <c r="E9" s="89">
        <v>84217</v>
      </c>
      <c r="F9" s="89" t="s">
        <v>76</v>
      </c>
      <c r="G9" s="93" t="s">
        <v>71</v>
      </c>
      <c r="H9" s="90" t="s">
        <v>75</v>
      </c>
      <c r="I9" s="90">
        <v>2615</v>
      </c>
      <c r="J9" s="90">
        <v>2615</v>
      </c>
      <c r="K9" s="20">
        <f>235+85</f>
        <v>320</v>
      </c>
      <c r="L9" s="20">
        <f>360+85</f>
        <v>445</v>
      </c>
      <c r="M9" s="20">
        <f>179+32</f>
        <v>211</v>
      </c>
      <c r="N9" s="97">
        <f>O10/L10</f>
        <v>0.57509157509157505</v>
      </c>
      <c r="O9" s="21">
        <f t="shared" si="0"/>
        <v>234</v>
      </c>
      <c r="P9" s="27">
        <f>255+35</f>
        <v>290</v>
      </c>
      <c r="Q9" s="99">
        <f t="shared" ref="Q9" si="2">+L10-P10</f>
        <v>385</v>
      </c>
      <c r="R9" s="85"/>
      <c r="S9" s="96">
        <v>8</v>
      </c>
      <c r="T9" s="96">
        <v>104</v>
      </c>
      <c r="U9" s="96">
        <v>8</v>
      </c>
      <c r="V9" s="96"/>
      <c r="W9" s="96"/>
      <c r="X9" s="96">
        <v>3</v>
      </c>
      <c r="Y9" s="96"/>
      <c r="Z9" s="96"/>
      <c r="AA9" s="96"/>
      <c r="AB9" s="96"/>
      <c r="AC9" s="96">
        <f>20+17</f>
        <v>37</v>
      </c>
      <c r="AD9" s="96"/>
      <c r="AE9" s="96">
        <v>6</v>
      </c>
      <c r="AF9" s="96">
        <f>22+5</f>
        <v>27</v>
      </c>
      <c r="AG9" s="96">
        <v>15</v>
      </c>
      <c r="AH9" s="96">
        <v>21</v>
      </c>
      <c r="AI9" s="96"/>
      <c r="AJ9" s="96"/>
      <c r="AK9" s="96"/>
      <c r="AL9" s="96">
        <v>5</v>
      </c>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111+127+62+63+122+58+130+215+63+407+320</f>
        <v>1678</v>
      </c>
      <c r="L10" s="18">
        <f>10+198+92+63+122+58+90+255+63+242+445</f>
        <v>1638</v>
      </c>
      <c r="M10" s="18">
        <f>70+33+11+39+20+51+131+15+115+211</f>
        <v>696</v>
      </c>
      <c r="N10" s="98"/>
      <c r="O10" s="19">
        <f t="shared" si="0"/>
        <v>942</v>
      </c>
      <c r="P10" s="22">
        <f>80+47+182+62+68+51+131+117+225+290</f>
        <v>1253</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5.75" customHeight="1">
      <c r="A11" s="108">
        <v>45287</v>
      </c>
      <c r="B11" s="87" t="s">
        <v>37</v>
      </c>
      <c r="C11" s="89">
        <v>1</v>
      </c>
      <c r="D11" s="91" t="s">
        <v>38</v>
      </c>
      <c r="E11" s="89">
        <v>84212</v>
      </c>
      <c r="F11" s="89" t="s">
        <v>49</v>
      </c>
      <c r="G11" s="93" t="s">
        <v>55</v>
      </c>
      <c r="H11" s="90" t="s">
        <v>67</v>
      </c>
      <c r="I11" s="90">
        <v>1813</v>
      </c>
      <c r="J11" s="90">
        <v>1813</v>
      </c>
      <c r="K11" s="20">
        <v>0</v>
      </c>
      <c r="L11" s="20">
        <v>0</v>
      </c>
      <c r="M11" s="20">
        <v>0</v>
      </c>
      <c r="N11" s="97">
        <f>O12/L12</f>
        <v>0.75717439293598232</v>
      </c>
      <c r="O11" s="21">
        <f t="shared" si="0"/>
        <v>0</v>
      </c>
      <c r="P11" s="27">
        <v>0</v>
      </c>
      <c r="Q11" s="99">
        <f t="shared" ref="Q11" si="3">+L12-P12</f>
        <v>0</v>
      </c>
      <c r="R11" s="85"/>
      <c r="S11" s="96"/>
      <c r="T11" s="96"/>
      <c r="U11" s="96"/>
      <c r="V11" s="96"/>
      <c r="W11" s="96"/>
      <c r="X11" s="96"/>
      <c r="Y11" s="96"/>
      <c r="Z11" s="96"/>
      <c r="AA11" s="96"/>
      <c r="AB11" s="96"/>
      <c r="AC11" s="96"/>
      <c r="AD11" s="96"/>
      <c r="AE11" s="96"/>
      <c r="AF11" s="96"/>
      <c r="AG11" s="96"/>
      <c r="AH11" s="96"/>
      <c r="AI11" s="96"/>
      <c r="AJ11" s="96"/>
      <c r="AK11" s="96"/>
      <c r="AL11" s="96"/>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272+145+148+175+345+259+198+95+65+82+13+11+4</f>
        <v>1812</v>
      </c>
      <c r="L12" s="18">
        <f>30+110+235+150+484+100+160+348+142+38+11+4</f>
        <v>1812</v>
      </c>
      <c r="M12" s="18">
        <f>5+10+50+40+110+10+55+118+27+11+4</f>
        <v>440</v>
      </c>
      <c r="N12" s="98"/>
      <c r="O12" s="19">
        <f t="shared" si="0"/>
        <v>1372</v>
      </c>
      <c r="P12" s="22">
        <f>5+10+65+80+262+130+217+170+330+32+171+120+146+59+11+4</f>
        <v>1812</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5.75" customHeight="1">
      <c r="A13" s="108">
        <v>45287</v>
      </c>
      <c r="B13" s="87" t="s">
        <v>37</v>
      </c>
      <c r="C13" s="89">
        <v>1</v>
      </c>
      <c r="D13" s="91" t="s">
        <v>38</v>
      </c>
      <c r="E13" s="89">
        <v>84212</v>
      </c>
      <c r="F13" s="89" t="s">
        <v>49</v>
      </c>
      <c r="G13" s="93" t="s">
        <v>61</v>
      </c>
      <c r="H13" s="89" t="s">
        <v>50</v>
      </c>
      <c r="I13" s="89">
        <v>925</v>
      </c>
      <c r="J13" s="89">
        <v>925</v>
      </c>
      <c r="K13" s="20">
        <v>105</v>
      </c>
      <c r="L13" s="20">
        <v>105</v>
      </c>
      <c r="M13" s="20">
        <v>29</v>
      </c>
      <c r="N13" s="146">
        <f>O14/L14</f>
        <v>0.69739952718676124</v>
      </c>
      <c r="O13" s="21">
        <f t="shared" si="0"/>
        <v>76</v>
      </c>
      <c r="P13" s="27">
        <v>85</v>
      </c>
      <c r="Q13" s="99">
        <f t="shared" ref="Q13" si="4">+L14-P14</f>
        <v>102</v>
      </c>
      <c r="R13" s="108"/>
      <c r="S13" s="149"/>
      <c r="T13" s="149">
        <v>14</v>
      </c>
      <c r="U13" s="149">
        <v>5</v>
      </c>
      <c r="V13" s="149"/>
      <c r="W13" s="149"/>
      <c r="X13" s="149">
        <v>1</v>
      </c>
      <c r="Y13" s="149">
        <v>1</v>
      </c>
      <c r="Z13" s="149"/>
      <c r="AA13" s="149"/>
      <c r="AB13" s="149"/>
      <c r="AC13" s="149">
        <v>8</v>
      </c>
      <c r="AD13" s="149"/>
      <c r="AE13" s="149">
        <v>5</v>
      </c>
      <c r="AF13" s="149">
        <v>5</v>
      </c>
      <c r="AG13" s="149">
        <v>11</v>
      </c>
      <c r="AH13" s="149">
        <v>9</v>
      </c>
      <c r="AI13" s="149"/>
      <c r="AJ13" s="149"/>
      <c r="AK13" s="149"/>
      <c r="AL13" s="149">
        <v>17</v>
      </c>
      <c r="AM13" s="163"/>
      <c r="AN13" s="163"/>
      <c r="AO13" s="163"/>
      <c r="AP13" s="163"/>
      <c r="AQ13" s="163"/>
      <c r="AR13" s="163"/>
      <c r="AS13" s="163"/>
      <c r="AT13" s="163"/>
      <c r="AU13" s="163"/>
      <c r="AV13" s="163"/>
      <c r="AW13" s="163"/>
      <c r="AX13" s="163"/>
      <c r="AY13" s="167"/>
      <c r="AZ13" s="167"/>
      <c r="BA13" s="167"/>
      <c r="BB13" s="167"/>
      <c r="BC13" s="167"/>
      <c r="BD13" s="167"/>
      <c r="BE13" s="163"/>
      <c r="BF13" s="165"/>
      <c r="BG13" s="165"/>
    </row>
    <row r="14" spans="1:59" s="17" customFormat="1" ht="15.75" customHeight="1">
      <c r="A14" s="85"/>
      <c r="B14" s="88"/>
      <c r="C14" s="90"/>
      <c r="D14" s="92"/>
      <c r="E14" s="90"/>
      <c r="F14" s="90"/>
      <c r="G14" s="94"/>
      <c r="H14" s="90"/>
      <c r="I14" s="90"/>
      <c r="J14" s="90"/>
      <c r="K14" s="22">
        <f>53+10+70+60+125+105</f>
        <v>423</v>
      </c>
      <c r="L14" s="18">
        <f>63+70+60+125+105</f>
        <v>423</v>
      </c>
      <c r="M14" s="18">
        <f>24+18+15+42+29</f>
        <v>128</v>
      </c>
      <c r="N14" s="147"/>
      <c r="O14" s="19">
        <f t="shared" si="0"/>
        <v>295</v>
      </c>
      <c r="P14" s="22">
        <f>24+38+38+136+85</f>
        <v>321</v>
      </c>
      <c r="Q14" s="100"/>
      <c r="R14" s="85"/>
      <c r="S14" s="150"/>
      <c r="T14" s="150"/>
      <c r="U14" s="150"/>
      <c r="V14" s="150"/>
      <c r="W14" s="150"/>
      <c r="X14" s="150"/>
      <c r="Y14" s="150"/>
      <c r="Z14" s="150"/>
      <c r="AA14" s="150"/>
      <c r="AB14" s="150"/>
      <c r="AC14" s="150"/>
      <c r="AD14" s="150"/>
      <c r="AE14" s="150"/>
      <c r="AF14" s="150"/>
      <c r="AG14" s="150"/>
      <c r="AH14" s="150"/>
      <c r="AI14" s="150"/>
      <c r="AJ14" s="150"/>
      <c r="AK14" s="150"/>
      <c r="AL14" s="150"/>
      <c r="AM14" s="164"/>
      <c r="AN14" s="164"/>
      <c r="AO14" s="164"/>
      <c r="AP14" s="164"/>
      <c r="AQ14" s="164"/>
      <c r="AR14" s="164"/>
      <c r="AS14" s="164"/>
      <c r="AT14" s="164"/>
      <c r="AU14" s="164"/>
      <c r="AV14" s="164"/>
      <c r="AW14" s="164"/>
      <c r="AX14" s="164"/>
      <c r="AY14" s="168"/>
      <c r="AZ14" s="168"/>
      <c r="BA14" s="168"/>
      <c r="BB14" s="168"/>
      <c r="BC14" s="168"/>
      <c r="BD14" s="168"/>
      <c r="BE14" s="164"/>
      <c r="BF14" s="166"/>
      <c r="BG14" s="166"/>
    </row>
    <row r="15" spans="1:59" s="17" customFormat="1" ht="15.75" customHeight="1">
      <c r="A15" s="108">
        <v>45287</v>
      </c>
      <c r="B15" s="87" t="s">
        <v>37</v>
      </c>
      <c r="C15" s="89">
        <v>1</v>
      </c>
      <c r="D15" s="91" t="s">
        <v>38</v>
      </c>
      <c r="E15" s="89">
        <v>84212</v>
      </c>
      <c r="F15" s="89" t="s">
        <v>49</v>
      </c>
      <c r="G15" s="93" t="s">
        <v>61</v>
      </c>
      <c r="H15" s="89" t="s">
        <v>62</v>
      </c>
      <c r="I15" s="89">
        <v>1327</v>
      </c>
      <c r="J15" s="89">
        <v>1327</v>
      </c>
      <c r="K15" s="20">
        <v>56</v>
      </c>
      <c r="L15" s="20">
        <v>56</v>
      </c>
      <c r="M15" s="20">
        <v>11</v>
      </c>
      <c r="N15" s="146">
        <f>O16/L16</f>
        <v>0.87598944591029027</v>
      </c>
      <c r="O15" s="21">
        <f t="shared" si="0"/>
        <v>45</v>
      </c>
      <c r="P15" s="27">
        <v>76</v>
      </c>
      <c r="Q15" s="99">
        <f t="shared" ref="Q15" si="5">+L16-P16</f>
        <v>130</v>
      </c>
      <c r="R15" s="108"/>
      <c r="S15" s="149"/>
      <c r="T15" s="149">
        <v>8</v>
      </c>
      <c r="U15" s="149"/>
      <c r="V15" s="149"/>
      <c r="W15" s="149"/>
      <c r="X15" s="149"/>
      <c r="Y15" s="149"/>
      <c r="Z15" s="149">
        <v>6</v>
      </c>
      <c r="AA15" s="149"/>
      <c r="AB15" s="149"/>
      <c r="AC15" s="149">
        <v>5</v>
      </c>
      <c r="AD15" s="149"/>
      <c r="AE15" s="149"/>
      <c r="AF15" s="149">
        <v>3</v>
      </c>
      <c r="AG15" s="149"/>
      <c r="AH15" s="149">
        <v>13</v>
      </c>
      <c r="AI15" s="149"/>
      <c r="AJ15" s="149"/>
      <c r="AK15" s="149"/>
      <c r="AL15" s="149">
        <v>10</v>
      </c>
      <c r="AM15" s="163"/>
      <c r="AN15" s="163"/>
      <c r="AO15" s="163"/>
      <c r="AP15" s="163"/>
      <c r="AQ15" s="163"/>
      <c r="AR15" s="163"/>
      <c r="AS15" s="163"/>
      <c r="AT15" s="163"/>
      <c r="AU15" s="163"/>
      <c r="AV15" s="163"/>
      <c r="AW15" s="163"/>
      <c r="AX15" s="163"/>
      <c r="AY15" s="167"/>
      <c r="AZ15" s="167"/>
      <c r="BA15" s="167"/>
      <c r="BB15" s="167"/>
      <c r="BC15" s="167"/>
      <c r="BD15" s="167"/>
      <c r="BE15" s="163"/>
      <c r="BF15" s="165"/>
      <c r="BG15" s="165"/>
    </row>
    <row r="16" spans="1:59" s="17" customFormat="1" ht="15.75" customHeight="1">
      <c r="A16" s="85"/>
      <c r="B16" s="88"/>
      <c r="C16" s="90"/>
      <c r="D16" s="92"/>
      <c r="E16" s="90"/>
      <c r="F16" s="90"/>
      <c r="G16" s="94"/>
      <c r="H16" s="90"/>
      <c r="I16" s="90"/>
      <c r="J16" s="90"/>
      <c r="K16" s="22">
        <f>49+35+106+30+103+56</f>
        <v>379</v>
      </c>
      <c r="L16" s="18">
        <f>49+35+106+30+103+56</f>
        <v>379</v>
      </c>
      <c r="M16" s="18">
        <f>5+5+26+11</f>
        <v>47</v>
      </c>
      <c r="N16" s="147"/>
      <c r="O16" s="19">
        <f t="shared" si="0"/>
        <v>332</v>
      </c>
      <c r="P16" s="22">
        <f>5+25+30+60+53+76</f>
        <v>249</v>
      </c>
      <c r="Q16" s="100"/>
      <c r="R16" s="85"/>
      <c r="S16" s="150"/>
      <c r="T16" s="150"/>
      <c r="U16" s="150"/>
      <c r="V16" s="150"/>
      <c r="W16" s="150"/>
      <c r="X16" s="150"/>
      <c r="Y16" s="150"/>
      <c r="Z16" s="150"/>
      <c r="AA16" s="150"/>
      <c r="AB16" s="150"/>
      <c r="AC16" s="150"/>
      <c r="AD16" s="150"/>
      <c r="AE16" s="150"/>
      <c r="AF16" s="150"/>
      <c r="AG16" s="150"/>
      <c r="AH16" s="150"/>
      <c r="AI16" s="150"/>
      <c r="AJ16" s="150"/>
      <c r="AK16" s="150"/>
      <c r="AL16" s="150"/>
      <c r="AM16" s="164"/>
      <c r="AN16" s="164"/>
      <c r="AO16" s="164"/>
      <c r="AP16" s="164"/>
      <c r="AQ16" s="164"/>
      <c r="AR16" s="164"/>
      <c r="AS16" s="164"/>
      <c r="AT16" s="164"/>
      <c r="AU16" s="164"/>
      <c r="AV16" s="164"/>
      <c r="AW16" s="164"/>
      <c r="AX16" s="164"/>
      <c r="AY16" s="168"/>
      <c r="AZ16" s="168"/>
      <c r="BA16" s="168"/>
      <c r="BB16" s="168"/>
      <c r="BC16" s="168"/>
      <c r="BD16" s="168"/>
      <c r="BE16" s="164"/>
      <c r="BF16" s="166"/>
      <c r="BG16" s="166"/>
    </row>
    <row r="17" spans="1:59" s="17" customFormat="1" ht="15.75" customHeight="1">
      <c r="A17" s="108">
        <v>45287</v>
      </c>
      <c r="B17" s="87" t="s">
        <v>37</v>
      </c>
      <c r="C17" s="89">
        <v>1</v>
      </c>
      <c r="D17" s="91" t="s">
        <v>38</v>
      </c>
      <c r="E17" s="89">
        <v>84212</v>
      </c>
      <c r="F17" s="89" t="s">
        <v>49</v>
      </c>
      <c r="G17" s="93" t="s">
        <v>63</v>
      </c>
      <c r="H17" s="89" t="s">
        <v>62</v>
      </c>
      <c r="I17" s="89">
        <v>2344</v>
      </c>
      <c r="J17" s="89">
        <v>2344</v>
      </c>
      <c r="K17" s="20">
        <v>80</v>
      </c>
      <c r="L17" s="20">
        <v>80</v>
      </c>
      <c r="M17" s="20">
        <v>20</v>
      </c>
      <c r="N17" s="146">
        <f>O18/L18</f>
        <v>0.82016348773841963</v>
      </c>
      <c r="O17" s="21">
        <f t="shared" si="0"/>
        <v>60</v>
      </c>
      <c r="P17" s="27">
        <v>63</v>
      </c>
      <c r="Q17" s="99">
        <f t="shared" ref="Q17" si="6">+L18-P18</f>
        <v>112</v>
      </c>
      <c r="R17" s="108"/>
      <c r="S17" s="149"/>
      <c r="T17" s="149">
        <v>15</v>
      </c>
      <c r="U17" s="149"/>
      <c r="V17" s="149"/>
      <c r="W17" s="149"/>
      <c r="X17" s="149"/>
      <c r="Y17" s="149"/>
      <c r="Z17" s="149"/>
      <c r="AA17" s="149"/>
      <c r="AB17" s="149"/>
      <c r="AC17" s="149">
        <v>7</v>
      </c>
      <c r="AD17" s="149"/>
      <c r="AE17" s="149">
        <v>5</v>
      </c>
      <c r="AF17" s="149">
        <v>18</v>
      </c>
      <c r="AG17" s="149"/>
      <c r="AH17" s="149">
        <v>15</v>
      </c>
      <c r="AI17" s="149"/>
      <c r="AJ17" s="149"/>
      <c r="AK17" s="149"/>
      <c r="AL17" s="149"/>
      <c r="AM17" s="163"/>
      <c r="AN17" s="163"/>
      <c r="AO17" s="163"/>
      <c r="AP17" s="163"/>
      <c r="AQ17" s="163"/>
      <c r="AR17" s="163"/>
      <c r="AS17" s="163"/>
      <c r="AT17" s="163"/>
      <c r="AU17" s="163"/>
      <c r="AV17" s="163"/>
      <c r="AW17" s="163"/>
      <c r="AX17" s="163"/>
      <c r="AY17" s="167"/>
      <c r="AZ17" s="167"/>
      <c r="BA17" s="167"/>
      <c r="BB17" s="167"/>
      <c r="BC17" s="167"/>
      <c r="BD17" s="167"/>
      <c r="BE17" s="163"/>
      <c r="BF17" s="165"/>
      <c r="BG17" s="165"/>
    </row>
    <row r="18" spans="1:59" s="17" customFormat="1" ht="15.75" customHeight="1">
      <c r="A18" s="85"/>
      <c r="B18" s="88"/>
      <c r="C18" s="90"/>
      <c r="D18" s="92"/>
      <c r="E18" s="90"/>
      <c r="F18" s="90"/>
      <c r="G18" s="94"/>
      <c r="H18" s="90"/>
      <c r="I18" s="90"/>
      <c r="J18" s="90"/>
      <c r="K18" s="22">
        <f>102+90+70+80+97+60+84+71+80</f>
        <v>734</v>
      </c>
      <c r="L18" s="18">
        <f>32+110+120+80+97+60+84+71+80</f>
        <v>734</v>
      </c>
      <c r="M18" s="18">
        <f>20+20+10+17+24+21+20</f>
        <v>132</v>
      </c>
      <c r="N18" s="147"/>
      <c r="O18" s="19">
        <f t="shared" si="0"/>
        <v>602</v>
      </c>
      <c r="P18" s="22">
        <f>20+80+126+76+73+105+79+63</f>
        <v>622</v>
      </c>
      <c r="Q18" s="100"/>
      <c r="R18" s="85"/>
      <c r="S18" s="150"/>
      <c r="T18" s="150"/>
      <c r="U18" s="150"/>
      <c r="V18" s="150"/>
      <c r="W18" s="150"/>
      <c r="X18" s="150"/>
      <c r="Y18" s="150"/>
      <c r="Z18" s="150"/>
      <c r="AA18" s="150"/>
      <c r="AB18" s="150"/>
      <c r="AC18" s="150"/>
      <c r="AD18" s="150"/>
      <c r="AE18" s="150"/>
      <c r="AF18" s="150"/>
      <c r="AG18" s="150"/>
      <c r="AH18" s="150"/>
      <c r="AI18" s="150"/>
      <c r="AJ18" s="150"/>
      <c r="AK18" s="150"/>
      <c r="AL18" s="150"/>
      <c r="AM18" s="164"/>
      <c r="AN18" s="164"/>
      <c r="AO18" s="164"/>
      <c r="AP18" s="164"/>
      <c r="AQ18" s="164"/>
      <c r="AR18" s="164"/>
      <c r="AS18" s="164"/>
      <c r="AT18" s="164"/>
      <c r="AU18" s="164"/>
      <c r="AV18" s="164"/>
      <c r="AW18" s="164"/>
      <c r="AX18" s="164"/>
      <c r="AY18" s="168"/>
      <c r="AZ18" s="168"/>
      <c r="BA18" s="168"/>
      <c r="BB18" s="168"/>
      <c r="BC18" s="168"/>
      <c r="BD18" s="168"/>
      <c r="BE18" s="164"/>
      <c r="BF18" s="166"/>
      <c r="BG18" s="166"/>
    </row>
    <row r="19" spans="1:59" s="17" customFormat="1" ht="15.75" customHeight="1">
      <c r="A19" s="108">
        <v>45287</v>
      </c>
      <c r="B19" s="87" t="s">
        <v>37</v>
      </c>
      <c r="C19" s="89">
        <v>1</v>
      </c>
      <c r="D19" s="91" t="s">
        <v>38</v>
      </c>
      <c r="E19" s="89">
        <v>84212</v>
      </c>
      <c r="F19" s="89" t="s">
        <v>49</v>
      </c>
      <c r="G19" s="93" t="s">
        <v>63</v>
      </c>
      <c r="H19" s="89" t="s">
        <v>41</v>
      </c>
      <c r="I19" s="89">
        <v>1732</v>
      </c>
      <c r="J19" s="89">
        <v>1732</v>
      </c>
      <c r="K19" s="20">
        <v>230</v>
      </c>
      <c r="L19" s="20">
        <v>130</v>
      </c>
      <c r="M19" s="20">
        <v>60</v>
      </c>
      <c r="N19" s="146">
        <f>O20/L20</f>
        <v>0.546875</v>
      </c>
      <c r="O19" s="21">
        <f t="shared" si="0"/>
        <v>70</v>
      </c>
      <c r="P19" s="27">
        <v>156</v>
      </c>
      <c r="Q19" s="99">
        <f t="shared" ref="Q19" si="7">+L20-P20</f>
        <v>210</v>
      </c>
      <c r="R19" s="108"/>
      <c r="S19" s="149"/>
      <c r="T19" s="149">
        <v>16</v>
      </c>
      <c r="U19" s="149"/>
      <c r="V19" s="149"/>
      <c r="W19" s="149"/>
      <c r="X19" s="149">
        <v>5</v>
      </c>
      <c r="Y19" s="149"/>
      <c r="Z19" s="149"/>
      <c r="AA19" s="149"/>
      <c r="AB19" s="149"/>
      <c r="AC19" s="149">
        <v>11</v>
      </c>
      <c r="AD19" s="149"/>
      <c r="AE19" s="149"/>
      <c r="AF19" s="149">
        <v>3</v>
      </c>
      <c r="AG19" s="149">
        <v>17</v>
      </c>
      <c r="AH19" s="149">
        <v>13</v>
      </c>
      <c r="AI19" s="149"/>
      <c r="AJ19" s="149"/>
      <c r="AK19" s="149"/>
      <c r="AL19" s="149">
        <v>5</v>
      </c>
      <c r="AM19" s="163"/>
      <c r="AN19" s="163"/>
      <c r="AO19" s="163"/>
      <c r="AP19" s="163"/>
      <c r="AQ19" s="163"/>
      <c r="AR19" s="163"/>
      <c r="AS19" s="163"/>
      <c r="AT19" s="163"/>
      <c r="AU19" s="163"/>
      <c r="AV19" s="163"/>
      <c r="AW19" s="163"/>
      <c r="AX19" s="163"/>
      <c r="AY19" s="167"/>
      <c r="AZ19" s="167"/>
      <c r="BA19" s="167"/>
      <c r="BB19" s="167"/>
      <c r="BC19" s="167"/>
      <c r="BD19" s="167"/>
      <c r="BE19" s="163"/>
      <c r="BF19" s="165"/>
      <c r="BG19" s="165"/>
    </row>
    <row r="20" spans="1:59" s="17" customFormat="1" ht="15.75" customHeight="1">
      <c r="A20" s="85"/>
      <c r="B20" s="88"/>
      <c r="C20" s="90"/>
      <c r="D20" s="92"/>
      <c r="E20" s="90"/>
      <c r="F20" s="90"/>
      <c r="G20" s="94"/>
      <c r="H20" s="90"/>
      <c r="I20" s="90"/>
      <c r="J20" s="90"/>
      <c r="K20" s="22">
        <f>120+210+73+220+230</f>
        <v>853</v>
      </c>
      <c r="L20" s="18">
        <f>40+160+140+170+130</f>
        <v>640</v>
      </c>
      <c r="M20" s="18">
        <f>10+70+70+80+60</f>
        <v>290</v>
      </c>
      <c r="N20" s="147"/>
      <c r="O20" s="19">
        <f t="shared" si="0"/>
        <v>350</v>
      </c>
      <c r="P20" s="22">
        <f>10+70+70+124+156</f>
        <v>430</v>
      </c>
      <c r="Q20" s="100"/>
      <c r="R20" s="85"/>
      <c r="S20" s="150"/>
      <c r="T20" s="150"/>
      <c r="U20" s="150"/>
      <c r="V20" s="150"/>
      <c r="W20" s="150"/>
      <c r="X20" s="150"/>
      <c r="Y20" s="150"/>
      <c r="Z20" s="150"/>
      <c r="AA20" s="150"/>
      <c r="AB20" s="150"/>
      <c r="AC20" s="150"/>
      <c r="AD20" s="150"/>
      <c r="AE20" s="150"/>
      <c r="AF20" s="150"/>
      <c r="AG20" s="150"/>
      <c r="AH20" s="150"/>
      <c r="AI20" s="150"/>
      <c r="AJ20" s="150"/>
      <c r="AK20" s="150"/>
      <c r="AL20" s="150"/>
      <c r="AM20" s="164"/>
      <c r="AN20" s="164"/>
      <c r="AO20" s="164"/>
      <c r="AP20" s="164"/>
      <c r="AQ20" s="164"/>
      <c r="AR20" s="164"/>
      <c r="AS20" s="164"/>
      <c r="AT20" s="164"/>
      <c r="AU20" s="164"/>
      <c r="AV20" s="164"/>
      <c r="AW20" s="164"/>
      <c r="AX20" s="164"/>
      <c r="AY20" s="168"/>
      <c r="AZ20" s="168"/>
      <c r="BA20" s="168"/>
      <c r="BB20" s="168"/>
      <c r="BC20" s="168"/>
      <c r="BD20" s="168"/>
      <c r="BE20" s="164"/>
      <c r="BF20" s="166"/>
      <c r="BG20" s="166"/>
    </row>
    <row r="21" spans="1:59" s="17" customFormat="1" ht="15.75" customHeight="1">
      <c r="A21" s="108">
        <v>45287</v>
      </c>
      <c r="B21" s="87" t="s">
        <v>37</v>
      </c>
      <c r="C21" s="89">
        <v>1</v>
      </c>
      <c r="D21" s="91" t="s">
        <v>38</v>
      </c>
      <c r="E21" s="89">
        <v>84212</v>
      </c>
      <c r="F21" s="89" t="s">
        <v>49</v>
      </c>
      <c r="G21" s="93" t="s">
        <v>63</v>
      </c>
      <c r="H21" s="89" t="s">
        <v>65</v>
      </c>
      <c r="I21" s="89">
        <v>532</v>
      </c>
      <c r="J21" s="89">
        <v>532</v>
      </c>
      <c r="K21" s="20">
        <v>68</v>
      </c>
      <c r="L21" s="20">
        <v>55</v>
      </c>
      <c r="M21" s="20">
        <v>25</v>
      </c>
      <c r="N21" s="146">
        <f>O22/L22</f>
        <v>0.47058823529411764</v>
      </c>
      <c r="O21" s="21">
        <f t="shared" si="0"/>
        <v>30</v>
      </c>
      <c r="P21" s="27">
        <v>45</v>
      </c>
      <c r="Q21" s="99">
        <f t="shared" ref="Q21" si="8">+L22-P22</f>
        <v>60</v>
      </c>
      <c r="R21" s="108"/>
      <c r="S21" s="149"/>
      <c r="T21" s="149">
        <v>11</v>
      </c>
      <c r="U21" s="149">
        <v>3</v>
      </c>
      <c r="V21" s="149"/>
      <c r="W21" s="149"/>
      <c r="X21" s="149"/>
      <c r="Y21" s="149"/>
      <c r="Z21" s="149"/>
      <c r="AA21" s="149"/>
      <c r="AB21" s="149"/>
      <c r="AC21" s="149">
        <v>3</v>
      </c>
      <c r="AD21" s="149"/>
      <c r="AE21" s="149"/>
      <c r="AF21" s="149"/>
      <c r="AG21" s="149">
        <v>3</v>
      </c>
      <c r="AH21" s="149">
        <v>10</v>
      </c>
      <c r="AI21" s="149"/>
      <c r="AJ21" s="149"/>
      <c r="AK21" s="149"/>
      <c r="AL21" s="149"/>
      <c r="AM21" s="163"/>
      <c r="AN21" s="163"/>
      <c r="AO21" s="163"/>
      <c r="AP21" s="163"/>
      <c r="AQ21" s="163"/>
      <c r="AR21" s="163"/>
      <c r="AS21" s="163"/>
      <c r="AT21" s="163"/>
      <c r="AU21" s="163"/>
      <c r="AV21" s="163"/>
      <c r="AW21" s="163"/>
      <c r="AX21" s="163"/>
      <c r="AY21" s="167"/>
      <c r="AZ21" s="167"/>
      <c r="BA21" s="167"/>
      <c r="BB21" s="167"/>
      <c r="BC21" s="167"/>
      <c r="BD21" s="167"/>
      <c r="BE21" s="163"/>
      <c r="BF21" s="165"/>
      <c r="BG21" s="165"/>
    </row>
    <row r="22" spans="1:59" s="17" customFormat="1" ht="15.75" customHeight="1">
      <c r="A22" s="85"/>
      <c r="B22" s="88"/>
      <c r="C22" s="90"/>
      <c r="D22" s="92"/>
      <c r="E22" s="90"/>
      <c r="F22" s="90"/>
      <c r="G22" s="94"/>
      <c r="H22" s="90"/>
      <c r="I22" s="90"/>
      <c r="J22" s="90"/>
      <c r="K22" s="22">
        <f>60+92+68</f>
        <v>220</v>
      </c>
      <c r="L22" s="18">
        <f>40+75+55</f>
        <v>170</v>
      </c>
      <c r="M22" s="18">
        <f>30+35+25</f>
        <v>90</v>
      </c>
      <c r="N22" s="147"/>
      <c r="O22" s="19">
        <f t="shared" si="0"/>
        <v>80</v>
      </c>
      <c r="P22" s="22">
        <f>30+35+45</f>
        <v>110</v>
      </c>
      <c r="Q22" s="100"/>
      <c r="R22" s="85"/>
      <c r="S22" s="150"/>
      <c r="T22" s="150"/>
      <c r="U22" s="150"/>
      <c r="V22" s="150"/>
      <c r="W22" s="150"/>
      <c r="X22" s="150"/>
      <c r="Y22" s="150"/>
      <c r="Z22" s="150"/>
      <c r="AA22" s="150"/>
      <c r="AB22" s="150"/>
      <c r="AC22" s="150"/>
      <c r="AD22" s="150"/>
      <c r="AE22" s="150"/>
      <c r="AF22" s="150"/>
      <c r="AG22" s="150"/>
      <c r="AH22" s="150"/>
      <c r="AI22" s="150"/>
      <c r="AJ22" s="150"/>
      <c r="AK22" s="150"/>
      <c r="AL22" s="150"/>
      <c r="AM22" s="164"/>
      <c r="AN22" s="164"/>
      <c r="AO22" s="164"/>
      <c r="AP22" s="164"/>
      <c r="AQ22" s="164"/>
      <c r="AR22" s="164"/>
      <c r="AS22" s="164"/>
      <c r="AT22" s="164"/>
      <c r="AU22" s="164"/>
      <c r="AV22" s="164"/>
      <c r="AW22" s="164"/>
      <c r="AX22" s="164"/>
      <c r="AY22" s="168"/>
      <c r="AZ22" s="168"/>
      <c r="BA22" s="168"/>
      <c r="BB22" s="168"/>
      <c r="BC22" s="168"/>
      <c r="BD22" s="168"/>
      <c r="BE22" s="164"/>
      <c r="BF22" s="166"/>
      <c r="BG22" s="166"/>
    </row>
    <row r="23" spans="1:59" s="17" customFormat="1" ht="15.75" customHeight="1">
      <c r="A23" s="108">
        <v>45287</v>
      </c>
      <c r="B23" s="87" t="s">
        <v>37</v>
      </c>
      <c r="C23" s="89">
        <v>1</v>
      </c>
      <c r="D23" s="91" t="s">
        <v>38</v>
      </c>
      <c r="E23" s="89">
        <v>84426</v>
      </c>
      <c r="F23" s="89" t="s">
        <v>49</v>
      </c>
      <c r="G23" s="93" t="s">
        <v>55</v>
      </c>
      <c r="H23" s="90" t="s">
        <v>58</v>
      </c>
      <c r="I23" s="90">
        <v>549</v>
      </c>
      <c r="J23" s="90">
        <v>549</v>
      </c>
      <c r="K23" s="20">
        <v>0</v>
      </c>
      <c r="L23" s="20">
        <v>0</v>
      </c>
      <c r="M23" s="20">
        <v>0</v>
      </c>
      <c r="N23" s="97">
        <f>O24/L24</f>
        <v>0.81238615664845171</v>
      </c>
      <c r="O23" s="21">
        <f t="shared" si="0"/>
        <v>0</v>
      </c>
      <c r="P23" s="27">
        <v>0</v>
      </c>
      <c r="Q23" s="99">
        <f t="shared" ref="Q23" si="9">+L24-P24</f>
        <v>3</v>
      </c>
      <c r="R23" s="108"/>
      <c r="S23" s="96"/>
      <c r="T23" s="96"/>
      <c r="U23" s="96"/>
      <c r="V23" s="96"/>
      <c r="W23" s="96"/>
      <c r="X23" s="96"/>
      <c r="Y23" s="96"/>
      <c r="Z23" s="96"/>
      <c r="AA23" s="96"/>
      <c r="AB23" s="96"/>
      <c r="AC23" s="96"/>
      <c r="AD23" s="96"/>
      <c r="AE23" s="96"/>
      <c r="AF23" s="96"/>
      <c r="AG23" s="96"/>
      <c r="AH23" s="96"/>
      <c r="AI23" s="96"/>
      <c r="AJ23" s="96"/>
      <c r="AK23" s="96"/>
      <c r="AL23" s="96"/>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49">
        <f>483+66</f>
        <v>549</v>
      </c>
      <c r="L24" s="18">
        <f>483+66</f>
        <v>549</v>
      </c>
      <c r="M24" s="18">
        <f>86+17</f>
        <v>103</v>
      </c>
      <c r="N24" s="98"/>
      <c r="O24" s="19">
        <f t="shared" si="0"/>
        <v>446</v>
      </c>
      <c r="P24" s="22">
        <f>453+80+11+2</f>
        <v>546</v>
      </c>
      <c r="Q24" s="100"/>
      <c r="R24" s="85"/>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45287</v>
      </c>
      <c r="B25" s="87" t="s">
        <v>37</v>
      </c>
      <c r="C25" s="89">
        <v>1</v>
      </c>
      <c r="D25" s="91" t="s">
        <v>38</v>
      </c>
      <c r="E25" s="89">
        <v>84352</v>
      </c>
      <c r="F25" s="89" t="s">
        <v>49</v>
      </c>
      <c r="G25" s="93" t="s">
        <v>55</v>
      </c>
      <c r="H25" s="109" t="s">
        <v>39</v>
      </c>
      <c r="I25" s="90">
        <v>1050</v>
      </c>
      <c r="J25" s="170">
        <v>1053</v>
      </c>
      <c r="K25" s="43">
        <v>0</v>
      </c>
      <c r="L25" s="48">
        <v>0</v>
      </c>
      <c r="M25" s="20">
        <v>0</v>
      </c>
      <c r="N25" s="97">
        <f>O26/L26</f>
        <v>0.64230769230769236</v>
      </c>
      <c r="O25" s="21">
        <f t="shared" si="0"/>
        <v>0</v>
      </c>
      <c r="P25" s="27">
        <v>0</v>
      </c>
      <c r="Q25" s="99">
        <f t="shared" ref="Q25" si="10">+L26-P26</f>
        <v>0</v>
      </c>
      <c r="R25" s="85"/>
      <c r="S25" s="96"/>
      <c r="T25" s="96"/>
      <c r="U25" s="96"/>
      <c r="V25" s="96"/>
      <c r="W25" s="96"/>
      <c r="X25" s="96"/>
      <c r="Y25" s="96"/>
      <c r="Z25" s="96"/>
      <c r="AA25" s="96"/>
      <c r="AB25" s="96"/>
      <c r="AC25" s="96"/>
      <c r="AD25" s="96"/>
      <c r="AE25" s="96"/>
      <c r="AF25" s="96"/>
      <c r="AG25" s="96"/>
      <c r="AH25" s="96"/>
      <c r="AI25" s="96"/>
      <c r="AJ25" s="96"/>
      <c r="AK25" s="96"/>
      <c r="AL25" s="96"/>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5"/>
      <c r="B26" s="88"/>
      <c r="C26" s="90"/>
      <c r="D26" s="92"/>
      <c r="E26" s="90"/>
      <c r="F26" s="90"/>
      <c r="G26" s="94"/>
      <c r="H26" s="95"/>
      <c r="I26" s="95"/>
      <c r="J26" s="171"/>
      <c r="K26" s="47">
        <f>320+108+237+109+43+100+35+68+20</f>
        <v>1040</v>
      </c>
      <c r="L26" s="46">
        <f>10+10+10+235+60+10+150+85+185+102+40+95+28+20</f>
        <v>1040</v>
      </c>
      <c r="M26" s="18">
        <f>75+30+45+42+80+30+8+40+13+9</f>
        <v>372</v>
      </c>
      <c r="N26" s="98"/>
      <c r="O26" s="19">
        <f t="shared" si="0"/>
        <v>668</v>
      </c>
      <c r="P26" s="22">
        <f>105+70+80+92+96+70+74+165+91+21+40+50+46+20+9+11</f>
        <v>1040</v>
      </c>
      <c r="Q26" s="100"/>
      <c r="R26" s="86"/>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108">
        <v>45287</v>
      </c>
      <c r="B27" s="87" t="s">
        <v>37</v>
      </c>
      <c r="C27" s="89">
        <v>1</v>
      </c>
      <c r="D27" s="91" t="s">
        <v>38</v>
      </c>
      <c r="E27" s="89">
        <v>84031</v>
      </c>
      <c r="F27" s="89" t="s">
        <v>49</v>
      </c>
      <c r="G27" s="93" t="s">
        <v>53</v>
      </c>
      <c r="H27" s="90" t="s">
        <v>57</v>
      </c>
      <c r="I27" s="90">
        <v>563</v>
      </c>
      <c r="J27" s="90">
        <v>563</v>
      </c>
      <c r="K27" s="43">
        <v>0</v>
      </c>
      <c r="L27" s="20">
        <v>0</v>
      </c>
      <c r="M27" s="20">
        <v>0</v>
      </c>
      <c r="N27" s="97">
        <f>O28/L28</f>
        <v>0.85343228200371057</v>
      </c>
      <c r="O27" s="21">
        <f t="shared" si="0"/>
        <v>0</v>
      </c>
      <c r="P27" s="27">
        <v>0</v>
      </c>
      <c r="Q27" s="99">
        <f t="shared" ref="Q27" si="11">+L28-P28</f>
        <v>0</v>
      </c>
      <c r="R27" s="85"/>
      <c r="S27" s="96"/>
      <c r="T27" s="96"/>
      <c r="U27" s="96"/>
      <c r="V27" s="96"/>
      <c r="W27" s="96"/>
      <c r="X27" s="96"/>
      <c r="Y27" s="96"/>
      <c r="Z27" s="96"/>
      <c r="AA27" s="96"/>
      <c r="AB27" s="96"/>
      <c r="AC27" s="96"/>
      <c r="AD27" s="96"/>
      <c r="AE27" s="96"/>
      <c r="AF27" s="96"/>
      <c r="AG27" s="96"/>
      <c r="AH27" s="96"/>
      <c r="AI27" s="96"/>
      <c r="AJ27" s="96"/>
      <c r="AK27" s="96"/>
      <c r="AL27" s="96"/>
      <c r="AM27" s="103"/>
      <c r="AN27" s="103"/>
      <c r="AO27" s="103"/>
      <c r="AP27" s="103"/>
      <c r="AQ27" s="103"/>
      <c r="AR27" s="103"/>
      <c r="AS27" s="103"/>
      <c r="AT27" s="103"/>
      <c r="AU27" s="103"/>
      <c r="AV27" s="103"/>
      <c r="AW27" s="103"/>
      <c r="AX27" s="103"/>
      <c r="AY27" s="106"/>
      <c r="AZ27" s="106"/>
      <c r="BA27" s="106"/>
      <c r="BB27" s="106"/>
      <c r="BC27" s="106"/>
      <c r="BD27" s="106"/>
      <c r="BE27" s="103"/>
      <c r="BF27" s="104"/>
      <c r="BG27" s="104"/>
    </row>
    <row r="28" spans="1:59" s="17" customFormat="1" ht="15.75" customHeight="1">
      <c r="A28" s="85"/>
      <c r="B28" s="88"/>
      <c r="C28" s="90"/>
      <c r="D28" s="92"/>
      <c r="E28" s="90"/>
      <c r="F28" s="90"/>
      <c r="G28" s="94"/>
      <c r="H28" s="95"/>
      <c r="I28" s="95"/>
      <c r="J28" s="95"/>
      <c r="K28" s="22">
        <f>516+20+3</f>
        <v>539</v>
      </c>
      <c r="L28" s="18">
        <f>516+20+3</f>
        <v>539</v>
      </c>
      <c r="M28" s="18">
        <f>74+2+3</f>
        <v>79</v>
      </c>
      <c r="N28" s="98"/>
      <c r="O28" s="19">
        <f t="shared" si="0"/>
        <v>460</v>
      </c>
      <c r="P28" s="22">
        <f>516+20+3</f>
        <v>539</v>
      </c>
      <c r="Q28" s="100"/>
      <c r="R28" s="86"/>
      <c r="S28" s="96"/>
      <c r="T28" s="96"/>
      <c r="U28" s="96"/>
      <c r="V28" s="96"/>
      <c r="W28" s="96"/>
      <c r="X28" s="96"/>
      <c r="Y28" s="96"/>
      <c r="Z28" s="96"/>
      <c r="AA28" s="96"/>
      <c r="AB28" s="96"/>
      <c r="AC28" s="96"/>
      <c r="AD28" s="96"/>
      <c r="AE28" s="96"/>
      <c r="AF28" s="96"/>
      <c r="AG28" s="96"/>
      <c r="AH28" s="96"/>
      <c r="AI28" s="96"/>
      <c r="AJ28" s="96"/>
      <c r="AK28" s="96"/>
      <c r="AL28" s="96"/>
      <c r="AM28" s="103"/>
      <c r="AN28" s="103"/>
      <c r="AO28" s="103"/>
      <c r="AP28" s="103"/>
      <c r="AQ28" s="103"/>
      <c r="AR28" s="103"/>
      <c r="AS28" s="103"/>
      <c r="AT28" s="103"/>
      <c r="AU28" s="103"/>
      <c r="AV28" s="103"/>
      <c r="AW28" s="103"/>
      <c r="AX28" s="103"/>
      <c r="AY28" s="107"/>
      <c r="AZ28" s="107"/>
      <c r="BA28" s="107"/>
      <c r="BB28" s="107"/>
      <c r="BC28" s="107"/>
      <c r="BD28" s="107"/>
      <c r="BE28" s="103"/>
      <c r="BF28" s="105"/>
      <c r="BG28" s="105"/>
    </row>
    <row r="29" spans="1:59" s="17" customFormat="1" ht="15.75" customHeight="1">
      <c r="A29" s="108">
        <v>45287</v>
      </c>
      <c r="B29" s="87" t="s">
        <v>37</v>
      </c>
      <c r="C29" s="89">
        <v>1</v>
      </c>
      <c r="D29" s="91" t="s">
        <v>38</v>
      </c>
      <c r="E29" s="89">
        <v>84031</v>
      </c>
      <c r="F29" s="89" t="s">
        <v>49</v>
      </c>
      <c r="G29" s="93" t="s">
        <v>53</v>
      </c>
      <c r="H29" s="90" t="s">
        <v>39</v>
      </c>
      <c r="I29" s="90">
        <v>623</v>
      </c>
      <c r="J29" s="90">
        <v>623</v>
      </c>
      <c r="K29" s="20">
        <v>0</v>
      </c>
      <c r="L29" s="20">
        <v>0</v>
      </c>
      <c r="M29" s="20">
        <v>0</v>
      </c>
      <c r="N29" s="97">
        <f>O30/L30</f>
        <v>0.79710144927536231</v>
      </c>
      <c r="O29" s="21">
        <f t="shared" si="0"/>
        <v>0</v>
      </c>
      <c r="P29" s="27">
        <v>0</v>
      </c>
      <c r="Q29" s="99">
        <f t="shared" ref="Q29" si="12">+L30-P30</f>
        <v>0</v>
      </c>
      <c r="R29" s="85"/>
      <c r="S29" s="96"/>
      <c r="T29" s="96"/>
      <c r="U29" s="96"/>
      <c r="V29" s="96"/>
      <c r="W29" s="96"/>
      <c r="X29" s="96"/>
      <c r="Y29" s="96"/>
      <c r="Z29" s="96"/>
      <c r="AA29" s="96"/>
      <c r="AB29" s="96"/>
      <c r="AC29" s="96"/>
      <c r="AD29" s="96"/>
      <c r="AE29" s="96"/>
      <c r="AF29" s="96"/>
      <c r="AG29" s="96"/>
      <c r="AH29" s="96"/>
      <c r="AI29" s="96"/>
      <c r="AJ29" s="96"/>
      <c r="AK29" s="96"/>
      <c r="AL29" s="96"/>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5"/>
      <c r="B30" s="88"/>
      <c r="C30" s="90"/>
      <c r="D30" s="92"/>
      <c r="E30" s="90"/>
      <c r="F30" s="90"/>
      <c r="G30" s="94"/>
      <c r="H30" s="95"/>
      <c r="I30" s="95"/>
      <c r="J30" s="95"/>
      <c r="K30" s="22">
        <f>574+9+30+5+3</f>
        <v>621</v>
      </c>
      <c r="L30" s="18">
        <f>574+9+30+5+3</f>
        <v>621</v>
      </c>
      <c r="M30" s="18">
        <f>109+9+5+3</f>
        <v>126</v>
      </c>
      <c r="N30" s="98"/>
      <c r="O30" s="19">
        <f t="shared" si="0"/>
        <v>495</v>
      </c>
      <c r="P30" s="22">
        <f>574+9+30+5+3</f>
        <v>621</v>
      </c>
      <c r="Q30" s="100"/>
      <c r="R30" s="86"/>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108">
        <v>45287</v>
      </c>
      <c r="B31" s="87" t="s">
        <v>37</v>
      </c>
      <c r="C31" s="89">
        <v>1</v>
      </c>
      <c r="D31" s="91" t="s">
        <v>77</v>
      </c>
      <c r="E31" s="89">
        <v>20785</v>
      </c>
      <c r="F31" s="89" t="s">
        <v>76</v>
      </c>
      <c r="G31" s="93" t="s">
        <v>71</v>
      </c>
      <c r="H31" s="90" t="s">
        <v>70</v>
      </c>
      <c r="I31" s="90">
        <v>1475</v>
      </c>
      <c r="J31" s="90">
        <v>1475</v>
      </c>
      <c r="K31" s="20">
        <v>66</v>
      </c>
      <c r="L31" s="20">
        <v>66</v>
      </c>
      <c r="M31" s="20">
        <v>16</v>
      </c>
      <c r="N31" s="97">
        <f>O32/L32</f>
        <v>0.82650602409638552</v>
      </c>
      <c r="O31" s="21">
        <f t="shared" si="0"/>
        <v>50</v>
      </c>
      <c r="P31" s="27">
        <v>38</v>
      </c>
      <c r="Q31" s="99">
        <f t="shared" ref="Q31" si="13">+L32-P32</f>
        <v>78</v>
      </c>
      <c r="R31" s="85"/>
      <c r="S31" s="96">
        <v>6</v>
      </c>
      <c r="T31" s="96"/>
      <c r="U31" s="96">
        <v>3</v>
      </c>
      <c r="V31" s="96"/>
      <c r="W31" s="96"/>
      <c r="X31" s="96"/>
      <c r="Y31" s="96"/>
      <c r="Z31" s="96"/>
      <c r="AA31" s="96"/>
      <c r="AB31" s="96"/>
      <c r="AC31" s="96">
        <v>5</v>
      </c>
      <c r="AD31" s="96"/>
      <c r="AE31" s="96">
        <v>7</v>
      </c>
      <c r="AF31" s="96"/>
      <c r="AG31" s="96">
        <v>10</v>
      </c>
      <c r="AH31" s="96">
        <v>17</v>
      </c>
      <c r="AI31" s="96"/>
      <c r="AJ31" s="96"/>
      <c r="AK31" s="96"/>
      <c r="AL31" s="96">
        <v>2</v>
      </c>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22">
        <f>26+20+20+15+15+29+64+22+41+75+22+66</f>
        <v>415</v>
      </c>
      <c r="L32" s="18">
        <f>26+10+30+15+15+29+64+22+41+75+22+66</f>
        <v>415</v>
      </c>
      <c r="M32" s="18">
        <f>9+14+6+4+23+16</f>
        <v>72</v>
      </c>
      <c r="N32" s="98"/>
      <c r="O32" s="19">
        <f t="shared" si="0"/>
        <v>343</v>
      </c>
      <c r="P32" s="22">
        <f>10+10+6+5+20+15+14+16+9+44+20+23+83+24+38</f>
        <v>337</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45287</v>
      </c>
      <c r="B33" s="87" t="s">
        <v>37</v>
      </c>
      <c r="C33" s="89">
        <v>1</v>
      </c>
      <c r="D33" s="91" t="s">
        <v>77</v>
      </c>
      <c r="E33" s="89">
        <v>20785</v>
      </c>
      <c r="F33" s="89" t="s">
        <v>76</v>
      </c>
      <c r="G33" s="93" t="s">
        <v>71</v>
      </c>
      <c r="H33" s="90" t="s">
        <v>75</v>
      </c>
      <c r="I33" s="90">
        <v>501</v>
      </c>
      <c r="J33" s="90">
        <v>501</v>
      </c>
      <c r="K33" s="20">
        <v>0</v>
      </c>
      <c r="L33" s="20">
        <v>0</v>
      </c>
      <c r="M33" s="20">
        <v>0</v>
      </c>
      <c r="N33" s="97">
        <f>O34/L34</f>
        <v>0.9358974358974359</v>
      </c>
      <c r="O33" s="21">
        <f t="shared" si="0"/>
        <v>0</v>
      </c>
      <c r="P33" s="27">
        <v>0</v>
      </c>
      <c r="Q33" s="99">
        <f t="shared" ref="Q33" si="14">+L34-P34</f>
        <v>0</v>
      </c>
      <c r="R33" s="85"/>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22">
        <f>24+31+23</f>
        <v>78</v>
      </c>
      <c r="L34" s="18">
        <f>10+45+5+18</f>
        <v>78</v>
      </c>
      <c r="M34" s="18">
        <f>5</f>
        <v>5</v>
      </c>
      <c r="N34" s="98"/>
      <c r="O34" s="19">
        <f t="shared" si="0"/>
        <v>73</v>
      </c>
      <c r="P34" s="22">
        <f>5+15+58</f>
        <v>78</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45287</v>
      </c>
      <c r="B35" s="87" t="s">
        <v>37</v>
      </c>
      <c r="C35" s="89">
        <v>1</v>
      </c>
      <c r="D35" s="91" t="s">
        <v>77</v>
      </c>
      <c r="E35" s="89">
        <v>20785</v>
      </c>
      <c r="F35" s="89" t="s">
        <v>76</v>
      </c>
      <c r="G35" s="93" t="s">
        <v>71</v>
      </c>
      <c r="H35" s="90" t="s">
        <v>79</v>
      </c>
      <c r="I35" s="90">
        <v>826</v>
      </c>
      <c r="J35" s="90">
        <v>826</v>
      </c>
      <c r="K35" s="20">
        <v>65</v>
      </c>
      <c r="L35" s="20">
        <v>65</v>
      </c>
      <c r="M35" s="20">
        <v>5</v>
      </c>
      <c r="N35" s="97">
        <f>O36/L36</f>
        <v>0.87400530503978779</v>
      </c>
      <c r="O35" s="21">
        <f t="shared" si="0"/>
        <v>60</v>
      </c>
      <c r="P35" s="27">
        <v>89</v>
      </c>
      <c r="Q35" s="99">
        <f t="shared" ref="Q35" si="15">+L36-P36</f>
        <v>146</v>
      </c>
      <c r="R35" s="85"/>
      <c r="S35" s="96"/>
      <c r="T35" s="96">
        <v>7</v>
      </c>
      <c r="U35" s="96"/>
      <c r="V35" s="96"/>
      <c r="W35" s="96"/>
      <c r="X35" s="96"/>
      <c r="Y35" s="96"/>
      <c r="Z35" s="96"/>
      <c r="AA35" s="96"/>
      <c r="AB35" s="96"/>
      <c r="AC35" s="96">
        <v>3</v>
      </c>
      <c r="AD35" s="96"/>
      <c r="AE35" s="96">
        <v>6</v>
      </c>
      <c r="AF35" s="96">
        <v>12</v>
      </c>
      <c r="AG35" s="96"/>
      <c r="AH35" s="96">
        <v>21</v>
      </c>
      <c r="AI35" s="96"/>
      <c r="AJ35" s="96">
        <v>5</v>
      </c>
      <c r="AK35" s="96"/>
      <c r="AL35" s="96">
        <v>6</v>
      </c>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8+32+48+44+34+38+20+74+44+77+59+87+67+57+65</f>
        <v>754</v>
      </c>
      <c r="L36" s="18">
        <f>7+30+45+50+45+47+50+44+70+90+87+67+57+65</f>
        <v>754</v>
      </c>
      <c r="M36" s="18">
        <f>3+10+5+10+8+5+10+20+7+7+5+5</f>
        <v>95</v>
      </c>
      <c r="N36" s="98"/>
      <c r="O36" s="19">
        <f t="shared" si="0"/>
        <v>659</v>
      </c>
      <c r="P36" s="22">
        <f>3+10+12+30+25+114+20+37+30+84+25+32+97+89</f>
        <v>608</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45287</v>
      </c>
      <c r="B37" s="87" t="s">
        <v>37</v>
      </c>
      <c r="C37" s="89">
        <v>1</v>
      </c>
      <c r="D37" s="91" t="s">
        <v>77</v>
      </c>
      <c r="E37" s="89">
        <v>20785</v>
      </c>
      <c r="F37" s="89" t="s">
        <v>76</v>
      </c>
      <c r="G37" s="93" t="s">
        <v>71</v>
      </c>
      <c r="H37" s="90" t="s">
        <v>88</v>
      </c>
      <c r="I37" s="90">
        <v>500</v>
      </c>
      <c r="J37" s="90">
        <v>500</v>
      </c>
      <c r="K37" s="20">
        <v>42</v>
      </c>
      <c r="L37" s="20">
        <v>0</v>
      </c>
      <c r="M37" s="20">
        <v>0</v>
      </c>
      <c r="N37" s="97" t="e">
        <f>O38/L38</f>
        <v>#DIV/0!</v>
      </c>
      <c r="O37" s="21">
        <f t="shared" si="0"/>
        <v>0</v>
      </c>
      <c r="P37" s="27">
        <v>0</v>
      </c>
      <c r="Q37" s="99">
        <f t="shared" ref="Q37" si="16">+L38-P38</f>
        <v>0</v>
      </c>
      <c r="R37" s="85"/>
      <c r="S37" s="96"/>
      <c r="T37" s="96"/>
      <c r="U37" s="96"/>
      <c r="V37" s="96"/>
      <c r="W37" s="96"/>
      <c r="X37" s="96"/>
      <c r="Y37" s="96"/>
      <c r="Z37" s="96"/>
      <c r="AA37" s="96"/>
      <c r="AB37" s="96"/>
      <c r="AC37" s="96"/>
      <c r="AD37" s="96"/>
      <c r="AE37" s="96"/>
      <c r="AF37" s="96"/>
      <c r="AG37" s="96"/>
      <c r="AH37" s="96"/>
      <c r="AI37" s="96"/>
      <c r="AJ37" s="96"/>
      <c r="AK37" s="96"/>
      <c r="AL37" s="96"/>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42</f>
        <v>42</v>
      </c>
      <c r="L38" s="18">
        <v>0</v>
      </c>
      <c r="M38" s="18">
        <v>0</v>
      </c>
      <c r="N38" s="98"/>
      <c r="O38" s="19">
        <f t="shared" si="0"/>
        <v>0</v>
      </c>
      <c r="P38" s="22">
        <v>0</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ht="24.75" customHeight="1">
      <c r="A39" s="111" t="s">
        <v>15</v>
      </c>
      <c r="B39" s="112"/>
      <c r="C39" s="112"/>
      <c r="D39" s="112"/>
      <c r="E39" s="112"/>
      <c r="F39" s="112"/>
      <c r="G39" s="112"/>
      <c r="H39" s="112"/>
      <c r="I39" s="113"/>
      <c r="J39" s="5">
        <f>SUM(J5:J38)</f>
        <v>21088</v>
      </c>
      <c r="K39" s="5">
        <f>+SUMPRODUCT(((MOD(ROW(K5:K38),2)=1)*(K5:K38)))</f>
        <v>1084</v>
      </c>
      <c r="L39" s="5">
        <f>+SUMPRODUCT(((MOD(ROW(L5:L38),2)=1)*(L5:L38)))</f>
        <v>1044</v>
      </c>
      <c r="M39" s="5">
        <f>+SUMPRODUCT(((MOD(ROW(M5:M38),2)=1)*(M5:M38)))</f>
        <v>397</v>
      </c>
      <c r="N39" s="23">
        <f>O39/L39</f>
        <v>0.61973180076628354</v>
      </c>
      <c r="O39" s="5">
        <f>+SUMPRODUCT(((MOD(ROW(O5:O38),2)=1)*(O5:O38)))</f>
        <v>647</v>
      </c>
      <c r="P39" s="5">
        <f>+SUMPRODUCT(((MOD(ROW(P5:P38),2)=1)*(P5:P38)))</f>
        <v>862</v>
      </c>
      <c r="Q39" s="5">
        <f>+SUMPRODUCT(((MOD(ROW(Q5:Q38),2)=1)*(Q5:Q38)))</f>
        <v>1293</v>
      </c>
      <c r="R39" s="69"/>
      <c r="S39" s="68">
        <f t="shared" ref="S39:BG39" si="17">SUM(S5:S38)</f>
        <v>14</v>
      </c>
      <c r="T39" s="68">
        <f t="shared" si="17"/>
        <v>182</v>
      </c>
      <c r="U39" s="68">
        <f t="shared" si="17"/>
        <v>19</v>
      </c>
      <c r="V39" s="68">
        <f t="shared" si="17"/>
        <v>0</v>
      </c>
      <c r="W39" s="68">
        <f t="shared" si="17"/>
        <v>0</v>
      </c>
      <c r="X39" s="68">
        <f t="shared" si="17"/>
        <v>9</v>
      </c>
      <c r="Y39" s="5">
        <f t="shared" si="17"/>
        <v>1</v>
      </c>
      <c r="Z39" s="5">
        <f t="shared" si="17"/>
        <v>6</v>
      </c>
      <c r="AA39" s="5">
        <f t="shared" si="17"/>
        <v>0</v>
      </c>
      <c r="AB39" s="5">
        <f t="shared" si="17"/>
        <v>0</v>
      </c>
      <c r="AC39" s="5">
        <f t="shared" si="17"/>
        <v>79</v>
      </c>
      <c r="AD39" s="5">
        <f t="shared" si="17"/>
        <v>0</v>
      </c>
      <c r="AE39" s="5">
        <f t="shared" si="17"/>
        <v>29</v>
      </c>
      <c r="AF39" s="5">
        <f t="shared" si="17"/>
        <v>76</v>
      </c>
      <c r="AG39" s="5">
        <f t="shared" si="17"/>
        <v>56</v>
      </c>
      <c r="AH39" s="5">
        <f t="shared" si="17"/>
        <v>124</v>
      </c>
      <c r="AI39" s="5">
        <f t="shared" si="17"/>
        <v>0</v>
      </c>
      <c r="AJ39" s="5">
        <f t="shared" si="17"/>
        <v>5</v>
      </c>
      <c r="AK39" s="5">
        <f t="shared" si="17"/>
        <v>0</v>
      </c>
      <c r="AL39" s="5">
        <f t="shared" si="17"/>
        <v>47</v>
      </c>
      <c r="AM39" s="5">
        <f t="shared" si="17"/>
        <v>0</v>
      </c>
      <c r="AN39" s="5">
        <f t="shared" si="17"/>
        <v>0</v>
      </c>
      <c r="AO39" s="5">
        <f t="shared" si="17"/>
        <v>0</v>
      </c>
      <c r="AP39" s="5">
        <f t="shared" si="17"/>
        <v>0</v>
      </c>
      <c r="AQ39" s="5">
        <f t="shared" si="17"/>
        <v>0</v>
      </c>
      <c r="AR39" s="5">
        <f t="shared" si="17"/>
        <v>0</v>
      </c>
      <c r="AS39" s="5">
        <f t="shared" si="17"/>
        <v>0</v>
      </c>
      <c r="AT39" s="5">
        <f t="shared" si="17"/>
        <v>0</v>
      </c>
      <c r="AU39" s="5">
        <f t="shared" si="17"/>
        <v>0</v>
      </c>
      <c r="AV39" s="5">
        <f t="shared" si="17"/>
        <v>0</v>
      </c>
      <c r="AW39" s="5">
        <f t="shared" si="17"/>
        <v>0</v>
      </c>
      <c r="AX39" s="5">
        <f t="shared" si="17"/>
        <v>0</v>
      </c>
      <c r="AY39" s="5">
        <f t="shared" si="17"/>
        <v>0</v>
      </c>
      <c r="AZ39" s="5">
        <f t="shared" si="17"/>
        <v>0</v>
      </c>
      <c r="BA39" s="5">
        <f t="shared" si="17"/>
        <v>0</v>
      </c>
      <c r="BB39" s="5">
        <f t="shared" si="17"/>
        <v>0</v>
      </c>
      <c r="BC39" s="5">
        <f t="shared" si="17"/>
        <v>0</v>
      </c>
      <c r="BD39" s="5">
        <f t="shared" si="17"/>
        <v>0</v>
      </c>
      <c r="BE39" s="5">
        <f t="shared" si="17"/>
        <v>0</v>
      </c>
      <c r="BF39" s="5">
        <f t="shared" si="17"/>
        <v>0</v>
      </c>
      <c r="BG39" s="5">
        <f t="shared" si="17"/>
        <v>0</v>
      </c>
    </row>
    <row r="40" spans="1:59" s="17" customFormat="1" ht="12" hidden="1" customHeight="1">
      <c r="A40" s="108"/>
      <c r="B40" s="87"/>
      <c r="C40" s="89"/>
      <c r="D40" s="91"/>
      <c r="E40" s="91"/>
      <c r="F40" s="89"/>
      <c r="G40" s="93"/>
      <c r="H40" s="89"/>
      <c r="I40" s="89"/>
      <c r="J40" s="89"/>
      <c r="K40" s="20"/>
      <c r="L40" s="20"/>
      <c r="M40" s="20"/>
      <c r="N40" s="146"/>
      <c r="O40" s="21"/>
      <c r="P40" s="27"/>
      <c r="Q40" s="99"/>
      <c r="R40" s="175"/>
      <c r="S40" s="96"/>
      <c r="T40" s="96"/>
      <c r="U40" s="96"/>
      <c r="V40" s="96"/>
      <c r="W40" s="96"/>
      <c r="X40" s="96"/>
      <c r="Y40" s="149"/>
      <c r="Z40" s="149"/>
      <c r="AA40" s="149"/>
      <c r="AB40" s="149"/>
      <c r="AC40" s="149"/>
      <c r="AD40" s="149"/>
      <c r="AE40" s="149"/>
      <c r="AF40" s="149"/>
      <c r="AG40" s="149"/>
      <c r="AH40" s="149"/>
      <c r="AI40" s="149"/>
      <c r="AJ40" s="149"/>
      <c r="AK40" s="149"/>
      <c r="AL40" s="149"/>
      <c r="AM40" s="163"/>
      <c r="AN40" s="163"/>
      <c r="AO40" s="163"/>
      <c r="AP40" s="163"/>
      <c r="AQ40" s="163"/>
      <c r="AR40" s="163"/>
      <c r="AS40" s="163"/>
      <c r="AT40" s="163"/>
      <c r="AU40" s="163"/>
      <c r="AV40" s="163"/>
      <c r="AW40" s="163"/>
      <c r="AX40" s="163"/>
      <c r="AY40" s="167"/>
      <c r="AZ40" s="167"/>
      <c r="BA40" s="167"/>
      <c r="BB40" s="167"/>
      <c r="BC40" s="167"/>
      <c r="BD40" s="167"/>
      <c r="BE40" s="163"/>
      <c r="BF40" s="165"/>
      <c r="BG40" s="165"/>
    </row>
    <row r="41" spans="1:59" s="17" customFormat="1" ht="12" hidden="1" customHeight="1">
      <c r="A41" s="85"/>
      <c r="B41" s="88"/>
      <c r="C41" s="90"/>
      <c r="D41" s="92"/>
      <c r="E41" s="92"/>
      <c r="F41" s="90"/>
      <c r="G41" s="94"/>
      <c r="H41" s="90"/>
      <c r="I41" s="90"/>
      <c r="J41" s="90"/>
      <c r="K41" s="22"/>
      <c r="L41" s="18"/>
      <c r="M41" s="18"/>
      <c r="N41" s="147"/>
      <c r="O41" s="19"/>
      <c r="P41" s="22"/>
      <c r="Q41" s="100"/>
      <c r="R41" s="175"/>
      <c r="S41" s="96"/>
      <c r="T41" s="96"/>
      <c r="U41" s="96"/>
      <c r="V41" s="96"/>
      <c r="W41" s="96"/>
      <c r="X41" s="96"/>
      <c r="Y41" s="150"/>
      <c r="Z41" s="150"/>
      <c r="AA41" s="150"/>
      <c r="AB41" s="150"/>
      <c r="AC41" s="150"/>
      <c r="AD41" s="150"/>
      <c r="AE41" s="150"/>
      <c r="AF41" s="150"/>
      <c r="AG41" s="150"/>
      <c r="AH41" s="150"/>
      <c r="AI41" s="150"/>
      <c r="AJ41" s="150"/>
      <c r="AK41" s="150"/>
      <c r="AL41" s="150"/>
      <c r="AM41" s="164"/>
      <c r="AN41" s="164"/>
      <c r="AO41" s="164"/>
      <c r="AP41" s="164"/>
      <c r="AQ41" s="164"/>
      <c r="AR41" s="164"/>
      <c r="AS41" s="164"/>
      <c r="AT41" s="164"/>
      <c r="AU41" s="164"/>
      <c r="AV41" s="164"/>
      <c r="AW41" s="164"/>
      <c r="AX41" s="164"/>
      <c r="AY41" s="168"/>
      <c r="AZ41" s="168"/>
      <c r="BA41" s="168"/>
      <c r="BB41" s="168"/>
      <c r="BC41" s="168"/>
      <c r="BD41" s="168"/>
      <c r="BE41" s="164"/>
      <c r="BF41" s="166"/>
      <c r="BG41" s="166"/>
    </row>
    <row r="42" spans="1:59" s="17" customFormat="1" ht="12" hidden="1" customHeight="1">
      <c r="A42" s="154"/>
      <c r="B42" s="114"/>
      <c r="C42" s="116"/>
      <c r="D42" s="118"/>
      <c r="E42" s="116"/>
      <c r="F42" s="116"/>
      <c r="G42" s="120"/>
      <c r="H42" s="89"/>
      <c r="I42" s="89"/>
      <c r="J42" s="89"/>
      <c r="K42" s="20"/>
      <c r="L42" s="20"/>
      <c r="M42" s="20"/>
      <c r="N42" s="146"/>
      <c r="O42" s="21"/>
      <c r="P42" s="27"/>
      <c r="Q42" s="99"/>
      <c r="R42" s="174"/>
      <c r="S42" s="96"/>
      <c r="T42" s="96"/>
      <c r="U42" s="96"/>
      <c r="V42" s="96"/>
      <c r="W42" s="96"/>
      <c r="X42" s="96"/>
      <c r="Y42" s="149"/>
      <c r="Z42" s="149"/>
      <c r="AA42" s="149"/>
      <c r="AB42" s="149"/>
      <c r="AC42" s="149"/>
      <c r="AD42" s="149"/>
      <c r="AE42" s="149"/>
      <c r="AF42" s="149"/>
      <c r="AG42" s="149"/>
      <c r="AH42" s="149"/>
      <c r="AI42" s="149"/>
      <c r="AJ42" s="149"/>
      <c r="AK42" s="149"/>
      <c r="AL42" s="149"/>
      <c r="AM42" s="163"/>
      <c r="AN42" s="163"/>
      <c r="AO42" s="163"/>
      <c r="AP42" s="163"/>
      <c r="AQ42" s="163"/>
      <c r="AR42" s="163"/>
      <c r="AS42" s="163"/>
      <c r="AT42" s="163"/>
      <c r="AU42" s="163"/>
      <c r="AV42" s="163"/>
      <c r="AW42" s="163"/>
      <c r="AX42" s="163"/>
      <c r="AY42" s="167"/>
      <c r="AZ42" s="167"/>
      <c r="BA42" s="167"/>
      <c r="BB42" s="167"/>
      <c r="BC42" s="167"/>
      <c r="BD42" s="167"/>
      <c r="BE42" s="163"/>
      <c r="BF42" s="165"/>
      <c r="BG42" s="165"/>
    </row>
    <row r="43" spans="1:59" s="17" customFormat="1" ht="12" hidden="1" customHeight="1">
      <c r="A43" s="101"/>
      <c r="B43" s="115"/>
      <c r="C43" s="117"/>
      <c r="D43" s="119"/>
      <c r="E43" s="117"/>
      <c r="F43" s="117"/>
      <c r="G43" s="121"/>
      <c r="H43" s="90"/>
      <c r="I43" s="90"/>
      <c r="J43" s="90"/>
      <c r="K43" s="22"/>
      <c r="L43" s="18"/>
      <c r="M43" s="18"/>
      <c r="N43" s="147"/>
      <c r="O43" s="19"/>
      <c r="P43" s="22"/>
      <c r="Q43" s="100"/>
      <c r="R43" s="174"/>
      <c r="S43" s="96"/>
      <c r="T43" s="96"/>
      <c r="U43" s="96"/>
      <c r="V43" s="96"/>
      <c r="W43" s="96"/>
      <c r="X43" s="96"/>
      <c r="Y43" s="150"/>
      <c r="Z43" s="150"/>
      <c r="AA43" s="150"/>
      <c r="AB43" s="150"/>
      <c r="AC43" s="150"/>
      <c r="AD43" s="150"/>
      <c r="AE43" s="150"/>
      <c r="AF43" s="150"/>
      <c r="AG43" s="150"/>
      <c r="AH43" s="150"/>
      <c r="AI43" s="150"/>
      <c r="AJ43" s="150"/>
      <c r="AK43" s="150"/>
      <c r="AL43" s="150"/>
      <c r="AM43" s="164"/>
      <c r="AN43" s="164"/>
      <c r="AO43" s="164"/>
      <c r="AP43" s="164"/>
      <c r="AQ43" s="164"/>
      <c r="AR43" s="164"/>
      <c r="AS43" s="164"/>
      <c r="AT43" s="164"/>
      <c r="AU43" s="164"/>
      <c r="AV43" s="164"/>
      <c r="AW43" s="164"/>
      <c r="AX43" s="164"/>
      <c r="AY43" s="168"/>
      <c r="AZ43" s="168"/>
      <c r="BA43" s="168"/>
      <c r="BB43" s="168"/>
      <c r="BC43" s="168"/>
      <c r="BD43" s="168"/>
      <c r="BE43" s="164"/>
      <c r="BF43" s="166"/>
      <c r="BG43" s="166"/>
    </row>
    <row r="44" spans="1:59" s="17" customFormat="1" ht="12" hidden="1" customHeight="1">
      <c r="A44" s="154"/>
      <c r="B44" s="114"/>
      <c r="C44" s="116"/>
      <c r="D44" s="118"/>
      <c r="E44" s="116"/>
      <c r="F44" s="116"/>
      <c r="G44" s="120"/>
      <c r="H44" s="89"/>
      <c r="I44" s="89"/>
      <c r="J44" s="89"/>
      <c r="K44" s="20"/>
      <c r="L44" s="20"/>
      <c r="M44" s="20"/>
      <c r="N44" s="146"/>
      <c r="O44" s="21"/>
      <c r="P44" s="27"/>
      <c r="Q44" s="99"/>
      <c r="R44" s="174"/>
      <c r="S44" s="96"/>
      <c r="T44" s="96"/>
      <c r="U44" s="96"/>
      <c r="V44" s="96"/>
      <c r="W44" s="96"/>
      <c r="X44" s="96"/>
      <c r="Y44" s="149"/>
      <c r="Z44" s="149"/>
      <c r="AA44" s="149"/>
      <c r="AB44" s="149"/>
      <c r="AC44" s="149"/>
      <c r="AD44" s="149"/>
      <c r="AE44" s="149"/>
      <c r="AF44" s="149"/>
      <c r="AG44" s="149"/>
      <c r="AH44" s="149"/>
      <c r="AI44" s="149"/>
      <c r="AJ44" s="149"/>
      <c r="AK44" s="149"/>
      <c r="AL44" s="149"/>
      <c r="AM44" s="163"/>
      <c r="AN44" s="163"/>
      <c r="AO44" s="163"/>
      <c r="AP44" s="163"/>
      <c r="AQ44" s="163"/>
      <c r="AR44" s="163"/>
      <c r="AS44" s="163"/>
      <c r="AT44" s="163"/>
      <c r="AU44" s="163"/>
      <c r="AV44" s="163"/>
      <c r="AW44" s="163"/>
      <c r="AX44" s="163"/>
      <c r="AY44" s="167"/>
      <c r="AZ44" s="167"/>
      <c r="BA44" s="167"/>
      <c r="BB44" s="167"/>
      <c r="BC44" s="167"/>
      <c r="BD44" s="167"/>
      <c r="BE44" s="163"/>
      <c r="BF44" s="165"/>
      <c r="BG44" s="165"/>
    </row>
    <row r="45" spans="1:59" s="17" customFormat="1" ht="12" hidden="1" customHeight="1">
      <c r="A45" s="101"/>
      <c r="B45" s="115"/>
      <c r="C45" s="117"/>
      <c r="D45" s="119"/>
      <c r="E45" s="117"/>
      <c r="F45" s="117"/>
      <c r="G45" s="121"/>
      <c r="H45" s="90"/>
      <c r="I45" s="90"/>
      <c r="J45" s="90"/>
      <c r="K45" s="22"/>
      <c r="L45" s="18"/>
      <c r="M45" s="18"/>
      <c r="N45" s="147"/>
      <c r="O45" s="19"/>
      <c r="P45" s="22"/>
      <c r="Q45" s="100"/>
      <c r="R45" s="174"/>
      <c r="S45" s="96"/>
      <c r="T45" s="96"/>
      <c r="U45" s="96"/>
      <c r="V45" s="96"/>
      <c r="W45" s="96"/>
      <c r="X45" s="96"/>
      <c r="Y45" s="150"/>
      <c r="Z45" s="150"/>
      <c r="AA45" s="150"/>
      <c r="AB45" s="150"/>
      <c r="AC45" s="150"/>
      <c r="AD45" s="150"/>
      <c r="AE45" s="150"/>
      <c r="AF45" s="150"/>
      <c r="AG45" s="150"/>
      <c r="AH45" s="150"/>
      <c r="AI45" s="150"/>
      <c r="AJ45" s="150"/>
      <c r="AK45" s="150"/>
      <c r="AL45" s="150"/>
      <c r="AM45" s="164"/>
      <c r="AN45" s="164"/>
      <c r="AO45" s="164"/>
      <c r="AP45" s="164"/>
      <c r="AQ45" s="164"/>
      <c r="AR45" s="164"/>
      <c r="AS45" s="164"/>
      <c r="AT45" s="164"/>
      <c r="AU45" s="164"/>
      <c r="AV45" s="164"/>
      <c r="AW45" s="164"/>
      <c r="AX45" s="164"/>
      <c r="AY45" s="168"/>
      <c r="AZ45" s="168"/>
      <c r="BA45" s="168"/>
      <c r="BB45" s="168"/>
      <c r="BC45" s="168"/>
      <c r="BD45" s="168"/>
      <c r="BE45" s="164"/>
      <c r="BF45" s="166"/>
      <c r="BG45" s="166"/>
    </row>
    <row r="46" spans="1:59" ht="12" hidden="1" customHeight="1">
      <c r="A46" s="111" t="s">
        <v>46</v>
      </c>
      <c r="B46" s="112"/>
      <c r="C46" s="112"/>
      <c r="D46" s="112"/>
      <c r="E46" s="112"/>
      <c r="F46" s="112"/>
      <c r="G46" s="112"/>
      <c r="H46" s="112"/>
      <c r="I46" s="113"/>
      <c r="J46" s="5">
        <f>SUM(J40:J45)</f>
        <v>0</v>
      </c>
      <c r="K46" s="5">
        <f>+SUMPRODUCT(((MOD(ROW(K40:K45),2)=0)*(K40:K45)))</f>
        <v>0</v>
      </c>
      <c r="L46" s="5">
        <f>+SUMPRODUCT(((MOD(ROW(L40:L45),2)=0)*(L40:L45)))</f>
        <v>0</v>
      </c>
      <c r="M46" s="5">
        <f>+SUMPRODUCT(((MOD(ROW(M40:M45),2)=0)*(M40:M45)))</f>
        <v>0</v>
      </c>
      <c r="N46" s="23" t="e">
        <f>O46/L46</f>
        <v>#DIV/0!</v>
      </c>
      <c r="O46" s="5">
        <f>+SUMPRODUCT(((MOD(ROW(O40:O45),2)=0)*(O40:O45)))</f>
        <v>0</v>
      </c>
      <c r="P46" s="5">
        <f>+SUMPRODUCT(((MOD(ROW(P40:P45),2)=0)*(P40:P45)))</f>
        <v>0</v>
      </c>
      <c r="Q46" s="29">
        <f>SUM(Q40:Q45)</f>
        <v>0</v>
      </c>
      <c r="R46" s="69"/>
      <c r="S46" s="68">
        <f t="shared" ref="S46:BG46" si="18">SUM(S40:S45)</f>
        <v>0</v>
      </c>
      <c r="T46" s="68">
        <f t="shared" si="18"/>
        <v>0</v>
      </c>
      <c r="U46" s="68">
        <f t="shared" si="18"/>
        <v>0</v>
      </c>
      <c r="V46" s="68">
        <f t="shared" si="18"/>
        <v>0</v>
      </c>
      <c r="W46" s="68">
        <f t="shared" si="18"/>
        <v>0</v>
      </c>
      <c r="X46" s="68">
        <f t="shared" si="18"/>
        <v>0</v>
      </c>
      <c r="Y46" s="5">
        <f t="shared" si="18"/>
        <v>0</v>
      </c>
      <c r="Z46" s="5">
        <f t="shared" si="18"/>
        <v>0</v>
      </c>
      <c r="AA46" s="5">
        <f t="shared" si="18"/>
        <v>0</v>
      </c>
      <c r="AB46" s="5">
        <f t="shared" si="18"/>
        <v>0</v>
      </c>
      <c r="AC46" s="5">
        <f t="shared" si="18"/>
        <v>0</v>
      </c>
      <c r="AD46" s="5">
        <f t="shared" si="18"/>
        <v>0</v>
      </c>
      <c r="AE46" s="5">
        <f t="shared" si="18"/>
        <v>0</v>
      </c>
      <c r="AF46" s="5">
        <f t="shared" si="18"/>
        <v>0</v>
      </c>
      <c r="AG46" s="5">
        <f t="shared" si="18"/>
        <v>0</v>
      </c>
      <c r="AH46" s="5">
        <f t="shared" si="18"/>
        <v>0</v>
      </c>
      <c r="AI46" s="5">
        <f t="shared" si="18"/>
        <v>0</v>
      </c>
      <c r="AJ46" s="5">
        <f t="shared" si="18"/>
        <v>0</v>
      </c>
      <c r="AK46" s="5">
        <f t="shared" si="18"/>
        <v>0</v>
      </c>
      <c r="AL46" s="5">
        <f t="shared" si="18"/>
        <v>0</v>
      </c>
      <c r="AM46" s="5">
        <f t="shared" si="18"/>
        <v>0</v>
      </c>
      <c r="AN46" s="5">
        <f t="shared" si="18"/>
        <v>0</v>
      </c>
      <c r="AO46" s="5">
        <f t="shared" si="18"/>
        <v>0</v>
      </c>
      <c r="AP46" s="5">
        <f t="shared" si="18"/>
        <v>0</v>
      </c>
      <c r="AQ46" s="5">
        <f t="shared" si="18"/>
        <v>0</v>
      </c>
      <c r="AR46" s="5">
        <f t="shared" si="18"/>
        <v>0</v>
      </c>
      <c r="AS46" s="5">
        <f t="shared" si="18"/>
        <v>0</v>
      </c>
      <c r="AT46" s="5">
        <f t="shared" si="18"/>
        <v>0</v>
      </c>
      <c r="AU46" s="5">
        <f t="shared" si="18"/>
        <v>0</v>
      </c>
      <c r="AV46" s="5">
        <f t="shared" si="18"/>
        <v>0</v>
      </c>
      <c r="AW46" s="5">
        <f t="shared" si="18"/>
        <v>0</v>
      </c>
      <c r="AX46" s="5">
        <f t="shared" si="18"/>
        <v>0</v>
      </c>
      <c r="AY46" s="5">
        <f t="shared" si="18"/>
        <v>0</v>
      </c>
      <c r="AZ46" s="5">
        <f t="shared" si="18"/>
        <v>0</v>
      </c>
      <c r="BA46" s="5">
        <f t="shared" si="18"/>
        <v>0</v>
      </c>
      <c r="BB46" s="5">
        <f t="shared" si="18"/>
        <v>0</v>
      </c>
      <c r="BC46" s="5">
        <f t="shared" si="18"/>
        <v>0</v>
      </c>
      <c r="BD46" s="5">
        <f t="shared" si="18"/>
        <v>0</v>
      </c>
      <c r="BE46" s="5">
        <f t="shared" si="18"/>
        <v>0</v>
      </c>
      <c r="BF46" s="5">
        <f t="shared" si="18"/>
        <v>0</v>
      </c>
      <c r="BG46" s="5">
        <f t="shared" si="18"/>
        <v>0</v>
      </c>
    </row>
    <row r="47" spans="1:59" s="17" customFormat="1" ht="12" hidden="1" customHeight="1">
      <c r="A47" s="85"/>
      <c r="B47" s="87"/>
      <c r="C47" s="89"/>
      <c r="D47" s="91"/>
      <c r="E47" s="89"/>
      <c r="F47" s="89"/>
      <c r="G47" s="93"/>
      <c r="H47" s="90"/>
      <c r="I47" s="90"/>
      <c r="J47" s="90"/>
      <c r="K47" s="20"/>
      <c r="L47" s="20"/>
      <c r="M47" s="20"/>
      <c r="N47" s="97"/>
      <c r="O47" s="21"/>
      <c r="P47" s="27"/>
      <c r="Q47" s="99"/>
      <c r="R47" s="174"/>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6"/>
      <c r="AZ47" s="106"/>
      <c r="BA47" s="106"/>
      <c r="BB47" s="106"/>
      <c r="BC47" s="106"/>
      <c r="BD47" s="106"/>
      <c r="BE47" s="103"/>
      <c r="BF47" s="104"/>
      <c r="BG47" s="104"/>
    </row>
    <row r="48" spans="1:59" s="17" customFormat="1" ht="12" hidden="1" customHeight="1">
      <c r="A48" s="86"/>
      <c r="B48" s="88"/>
      <c r="C48" s="90"/>
      <c r="D48" s="92"/>
      <c r="E48" s="90"/>
      <c r="F48" s="90"/>
      <c r="G48" s="94"/>
      <c r="H48" s="95"/>
      <c r="I48" s="95"/>
      <c r="J48" s="95"/>
      <c r="K48" s="22"/>
      <c r="L48" s="18"/>
      <c r="M48" s="18"/>
      <c r="N48" s="98"/>
      <c r="O48" s="19"/>
      <c r="P48" s="22"/>
      <c r="Q48" s="100"/>
      <c r="R48" s="102"/>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7"/>
      <c r="AZ48" s="107"/>
      <c r="BA48" s="107"/>
      <c r="BB48" s="107"/>
      <c r="BC48" s="107"/>
      <c r="BD48" s="107"/>
      <c r="BE48" s="103"/>
      <c r="BF48" s="105"/>
      <c r="BG48" s="105"/>
    </row>
    <row r="49" spans="1:59" s="17" customFormat="1" ht="12" hidden="1" customHeight="1">
      <c r="A49" s="101"/>
      <c r="B49" s="114"/>
      <c r="C49" s="116"/>
      <c r="D49" s="118"/>
      <c r="E49" s="118"/>
      <c r="F49" s="116"/>
      <c r="G49" s="120"/>
      <c r="H49" s="90"/>
      <c r="I49" s="90"/>
      <c r="J49" s="90"/>
      <c r="K49" s="20"/>
      <c r="L49" s="20"/>
      <c r="M49" s="20"/>
      <c r="N49" s="97" t="e">
        <f>O50/L50</f>
        <v>#DIV/0!</v>
      </c>
      <c r="O49" s="21">
        <f t="shared" ref="O49:O56" si="19">L49-M49</f>
        <v>0</v>
      </c>
      <c r="P49" s="27"/>
      <c r="Q49" s="99">
        <f>+L50-P50</f>
        <v>0</v>
      </c>
      <c r="R49" s="174"/>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6"/>
      <c r="AZ49" s="106"/>
      <c r="BA49" s="106"/>
      <c r="BB49" s="106"/>
      <c r="BC49" s="106"/>
      <c r="BD49" s="106"/>
      <c r="BE49" s="103"/>
      <c r="BF49" s="104"/>
      <c r="BG49" s="104"/>
    </row>
    <row r="50" spans="1:59" s="17" customFormat="1" ht="12" hidden="1" customHeight="1">
      <c r="A50" s="102"/>
      <c r="B50" s="115"/>
      <c r="C50" s="117"/>
      <c r="D50" s="119"/>
      <c r="E50" s="119"/>
      <c r="F50" s="117"/>
      <c r="G50" s="121"/>
      <c r="H50" s="95"/>
      <c r="I50" s="95"/>
      <c r="J50" s="95"/>
      <c r="K50" s="22"/>
      <c r="L50" s="18"/>
      <c r="M50" s="18"/>
      <c r="N50" s="98"/>
      <c r="O50" s="19">
        <f t="shared" si="19"/>
        <v>0</v>
      </c>
      <c r="P50" s="22"/>
      <c r="Q50" s="100"/>
      <c r="R50" s="102"/>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7"/>
      <c r="AZ50" s="107"/>
      <c r="BA50" s="107"/>
      <c r="BB50" s="107"/>
      <c r="BC50" s="107"/>
      <c r="BD50" s="107"/>
      <c r="BE50" s="103"/>
      <c r="BF50" s="105"/>
      <c r="BG50" s="105"/>
    </row>
    <row r="51" spans="1:59" s="17" customFormat="1" ht="12" hidden="1" customHeight="1">
      <c r="A51" s="101"/>
      <c r="B51" s="114"/>
      <c r="C51" s="116"/>
      <c r="D51" s="118"/>
      <c r="E51" s="118"/>
      <c r="F51" s="116"/>
      <c r="G51" s="120"/>
      <c r="H51" s="90"/>
      <c r="I51" s="90"/>
      <c r="J51" s="90"/>
      <c r="K51" s="20"/>
      <c r="L51" s="20"/>
      <c r="M51" s="20"/>
      <c r="N51" s="97" t="e">
        <f>O52/L52</f>
        <v>#DIV/0!</v>
      </c>
      <c r="O51" s="21">
        <f t="shared" si="19"/>
        <v>0</v>
      </c>
      <c r="P51" s="27"/>
      <c r="Q51" s="99">
        <f>+L52-P52</f>
        <v>0</v>
      </c>
      <c r="R51" s="174"/>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6"/>
      <c r="AZ51" s="106"/>
      <c r="BA51" s="106"/>
      <c r="BB51" s="106"/>
      <c r="BC51" s="106"/>
      <c r="BD51" s="106"/>
      <c r="BE51" s="103"/>
      <c r="BF51" s="104"/>
      <c r="BG51" s="104"/>
    </row>
    <row r="52" spans="1:59" s="17" customFormat="1" ht="12" hidden="1" customHeight="1">
      <c r="A52" s="102"/>
      <c r="B52" s="115"/>
      <c r="C52" s="117"/>
      <c r="D52" s="119"/>
      <c r="E52" s="119"/>
      <c r="F52" s="117"/>
      <c r="G52" s="121"/>
      <c r="H52" s="95"/>
      <c r="I52" s="95"/>
      <c r="J52" s="95"/>
      <c r="K52" s="22"/>
      <c r="L52" s="18"/>
      <c r="M52" s="18"/>
      <c r="N52" s="98"/>
      <c r="O52" s="19">
        <f t="shared" si="19"/>
        <v>0</v>
      </c>
      <c r="P52" s="22"/>
      <c r="Q52" s="100"/>
      <c r="R52" s="102"/>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7"/>
      <c r="AZ52" s="107"/>
      <c r="BA52" s="107"/>
      <c r="BB52" s="107"/>
      <c r="BC52" s="107"/>
      <c r="BD52" s="107"/>
      <c r="BE52" s="103"/>
      <c r="BF52" s="105"/>
      <c r="BG52" s="105"/>
    </row>
    <row r="53" spans="1:59" s="17" customFormat="1" ht="12" hidden="1" customHeight="1">
      <c r="A53" s="101"/>
      <c r="B53" s="114"/>
      <c r="C53" s="116"/>
      <c r="D53" s="118"/>
      <c r="E53" s="118"/>
      <c r="F53" s="116"/>
      <c r="G53" s="120"/>
      <c r="H53" s="90"/>
      <c r="I53" s="90"/>
      <c r="J53" s="90"/>
      <c r="K53" s="20"/>
      <c r="L53" s="20"/>
      <c r="M53" s="20"/>
      <c r="N53" s="97" t="e">
        <f>O54/L54</f>
        <v>#DIV/0!</v>
      </c>
      <c r="O53" s="21">
        <f t="shared" si="19"/>
        <v>0</v>
      </c>
      <c r="P53" s="27"/>
      <c r="Q53" s="99">
        <f>+L54-P54</f>
        <v>0</v>
      </c>
      <c r="R53" s="174"/>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2" hidden="1" customHeight="1">
      <c r="A54" s="102"/>
      <c r="B54" s="115"/>
      <c r="C54" s="117"/>
      <c r="D54" s="119"/>
      <c r="E54" s="119"/>
      <c r="F54" s="117"/>
      <c r="G54" s="121"/>
      <c r="H54" s="95"/>
      <c r="I54" s="95"/>
      <c r="J54" s="95"/>
      <c r="K54" s="22"/>
      <c r="L54" s="18"/>
      <c r="M54" s="18"/>
      <c r="N54" s="98"/>
      <c r="O54" s="19">
        <f t="shared" si="19"/>
        <v>0</v>
      </c>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2" hidden="1" customHeight="1">
      <c r="A55" s="101"/>
      <c r="B55" s="114"/>
      <c r="C55" s="116"/>
      <c r="D55" s="118"/>
      <c r="E55" s="118"/>
      <c r="F55" s="116"/>
      <c r="G55" s="120"/>
      <c r="H55" s="109"/>
      <c r="I55" s="90"/>
      <c r="J55" s="90"/>
      <c r="K55" s="20"/>
      <c r="L55" s="20"/>
      <c r="M55" s="20"/>
      <c r="N55" s="97" t="e">
        <f>O56/L56</f>
        <v>#DIV/0!</v>
      </c>
      <c r="O55" s="21">
        <f t="shared" si="19"/>
        <v>0</v>
      </c>
      <c r="P55" s="27"/>
      <c r="Q55" s="99">
        <f>+L56-P56</f>
        <v>0</v>
      </c>
      <c r="R55" s="174"/>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2" hidden="1" customHeight="1">
      <c r="A56" s="102"/>
      <c r="B56" s="115"/>
      <c r="C56" s="117"/>
      <c r="D56" s="119"/>
      <c r="E56" s="119"/>
      <c r="F56" s="117"/>
      <c r="G56" s="121"/>
      <c r="H56" s="95"/>
      <c r="I56" s="95"/>
      <c r="J56" s="95"/>
      <c r="K56" s="22"/>
      <c r="L56" s="18"/>
      <c r="M56" s="18"/>
      <c r="N56" s="98"/>
      <c r="O56" s="19">
        <f t="shared" si="19"/>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2" hidden="1" customHeight="1">
      <c r="A57" s="101"/>
      <c r="B57" s="114"/>
      <c r="C57" s="116"/>
      <c r="D57" s="118"/>
      <c r="E57" s="116"/>
      <c r="F57" s="116"/>
      <c r="G57" s="120"/>
      <c r="H57" s="90"/>
      <c r="I57" s="90"/>
      <c r="J57" s="90"/>
      <c r="K57" s="20"/>
      <c r="L57" s="20"/>
      <c r="M57" s="20"/>
      <c r="N57" s="97" t="e">
        <f>O58/L58</f>
        <v>#DIV/0!</v>
      </c>
      <c r="O57" s="21"/>
      <c r="P57" s="27"/>
      <c r="Q57" s="99"/>
      <c r="R57" s="174"/>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2" hidden="1" customHeight="1">
      <c r="A58" s="102"/>
      <c r="B58" s="115"/>
      <c r="C58" s="117"/>
      <c r="D58" s="119"/>
      <c r="E58" s="117"/>
      <c r="F58" s="117"/>
      <c r="G58" s="121"/>
      <c r="H58" s="95"/>
      <c r="I58" s="95"/>
      <c r="J58" s="95"/>
      <c r="K58" s="22"/>
      <c r="L58" s="18"/>
      <c r="M58" s="18"/>
      <c r="N58" s="98"/>
      <c r="O58" s="19"/>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ht="12" hidden="1" customHeight="1">
      <c r="A59" s="111" t="s">
        <v>74</v>
      </c>
      <c r="B59" s="112"/>
      <c r="C59" s="112"/>
      <c r="D59" s="112"/>
      <c r="E59" s="112"/>
      <c r="F59" s="112"/>
      <c r="G59" s="112"/>
      <c r="H59" s="112"/>
      <c r="I59" s="113"/>
      <c r="J59" s="5">
        <f>+SUMPRODUCT(((MOD(ROW(J47:J58),2)=1)*(J47:J58)))</f>
        <v>0</v>
      </c>
      <c r="K59" s="5">
        <f>+SUMPRODUCT(((MOD(ROW(K47:K58),2)=1)*(K47:K58)))</f>
        <v>0</v>
      </c>
      <c r="L59" s="5">
        <f>+SUMPRODUCT(((MOD(ROW(L47:L58),2)=1)*(L47:L58)))</f>
        <v>0</v>
      </c>
      <c r="M59" s="5">
        <f>+SUMPRODUCT(((MOD(ROW(M47:M58),2)=1)*(M47:M58)))</f>
        <v>0</v>
      </c>
      <c r="N59" s="23" t="e">
        <f>O59/L59</f>
        <v>#DIV/0!</v>
      </c>
      <c r="O59" s="5">
        <f>+SUMPRODUCT(((MOD(ROW(O47:O58),2)=1)*(O47:O58)))</f>
        <v>0</v>
      </c>
      <c r="P59" s="5">
        <f>+SUMPRODUCT(((MOD(ROW(P47:P58),2)=1)*(P47:P58)))</f>
        <v>0</v>
      </c>
      <c r="Q59" s="29">
        <f>SUM(Q47:Q58)</f>
        <v>0</v>
      </c>
      <c r="R59" s="69"/>
      <c r="S59" s="68">
        <f t="shared" ref="S59:BG59" si="20">SUM(S47:S58)</f>
        <v>0</v>
      </c>
      <c r="T59" s="68">
        <f t="shared" si="20"/>
        <v>0</v>
      </c>
      <c r="U59" s="68">
        <f t="shared" si="20"/>
        <v>0</v>
      </c>
      <c r="V59" s="68">
        <f t="shared" si="20"/>
        <v>0</v>
      </c>
      <c r="W59" s="68">
        <f t="shared" si="20"/>
        <v>0</v>
      </c>
      <c r="X59" s="68">
        <f t="shared" si="20"/>
        <v>0</v>
      </c>
      <c r="Y59" s="5">
        <f t="shared" si="20"/>
        <v>0</v>
      </c>
      <c r="Z59" s="5">
        <f t="shared" si="20"/>
        <v>0</v>
      </c>
      <c r="AA59" s="5">
        <f t="shared" si="20"/>
        <v>0</v>
      </c>
      <c r="AB59" s="5">
        <f t="shared" si="20"/>
        <v>0</v>
      </c>
      <c r="AC59" s="5">
        <f t="shared" si="20"/>
        <v>0</v>
      </c>
      <c r="AD59" s="5">
        <f t="shared" si="20"/>
        <v>0</v>
      </c>
      <c r="AE59" s="5">
        <f t="shared" si="20"/>
        <v>0</v>
      </c>
      <c r="AF59" s="5">
        <f t="shared" si="20"/>
        <v>0</v>
      </c>
      <c r="AG59" s="5">
        <f t="shared" si="20"/>
        <v>0</v>
      </c>
      <c r="AH59" s="5">
        <f t="shared" si="20"/>
        <v>0</v>
      </c>
      <c r="AI59" s="5">
        <f t="shared" si="20"/>
        <v>0</v>
      </c>
      <c r="AJ59" s="5">
        <f t="shared" si="20"/>
        <v>0</v>
      </c>
      <c r="AK59" s="5">
        <f t="shared" si="20"/>
        <v>0</v>
      </c>
      <c r="AL59" s="5">
        <f t="shared" si="20"/>
        <v>0</v>
      </c>
      <c r="AM59" s="5">
        <f t="shared" si="20"/>
        <v>0</v>
      </c>
      <c r="AN59" s="5">
        <f t="shared" si="20"/>
        <v>0</v>
      </c>
      <c r="AO59" s="5">
        <f t="shared" si="20"/>
        <v>0</v>
      </c>
      <c r="AP59" s="5">
        <f t="shared" si="20"/>
        <v>0</v>
      </c>
      <c r="AQ59" s="5">
        <f t="shared" si="20"/>
        <v>0</v>
      </c>
      <c r="AR59" s="5">
        <f t="shared" si="20"/>
        <v>0</v>
      </c>
      <c r="AS59" s="5">
        <f t="shared" si="20"/>
        <v>0</v>
      </c>
      <c r="AT59" s="5">
        <f t="shared" si="20"/>
        <v>0</v>
      </c>
      <c r="AU59" s="5">
        <f t="shared" si="20"/>
        <v>0</v>
      </c>
      <c r="AV59" s="5">
        <f t="shared" si="20"/>
        <v>0</v>
      </c>
      <c r="AW59" s="5">
        <f t="shared" si="20"/>
        <v>0</v>
      </c>
      <c r="AX59" s="5">
        <f t="shared" si="20"/>
        <v>0</v>
      </c>
      <c r="AY59" s="5">
        <f t="shared" si="20"/>
        <v>0</v>
      </c>
      <c r="AZ59" s="5">
        <f t="shared" si="20"/>
        <v>0</v>
      </c>
      <c r="BA59" s="5">
        <f t="shared" si="20"/>
        <v>0</v>
      </c>
      <c r="BB59" s="5">
        <f t="shared" si="20"/>
        <v>0</v>
      </c>
      <c r="BC59" s="5">
        <f t="shared" si="20"/>
        <v>0</v>
      </c>
      <c r="BD59" s="5">
        <f t="shared" si="20"/>
        <v>0</v>
      </c>
      <c r="BE59" s="5">
        <f t="shared" si="20"/>
        <v>0</v>
      </c>
      <c r="BF59" s="5">
        <f t="shared" si="20"/>
        <v>0</v>
      </c>
      <c r="BG59" s="5">
        <f t="shared" si="20"/>
        <v>0</v>
      </c>
    </row>
    <row r="60" spans="1:59" ht="24.75" customHeight="1">
      <c r="A60" s="122" t="s">
        <v>5</v>
      </c>
      <c r="B60" s="122"/>
      <c r="C60" s="122"/>
      <c r="D60" s="122"/>
      <c r="E60" s="122"/>
      <c r="F60" s="122"/>
      <c r="G60" s="122"/>
      <c r="H60" s="122"/>
      <c r="I60" s="122"/>
      <c r="J60" s="30">
        <f>J39+J59+J46</f>
        <v>21088</v>
      </c>
      <c r="K60" s="74">
        <f>K39+K46+K59</f>
        <v>1084</v>
      </c>
      <c r="L60" s="74">
        <f>L39+L46+L59</f>
        <v>1044</v>
      </c>
      <c r="M60" s="74">
        <f>M39+M46+M59</f>
        <v>397</v>
      </c>
      <c r="N60" s="32">
        <f>O60/L60</f>
        <v>0.61973180076628354</v>
      </c>
      <c r="O60" s="74">
        <f>O39+O46+O59</f>
        <v>647</v>
      </c>
      <c r="P60" s="74">
        <f>P39+P46+P59</f>
        <v>862</v>
      </c>
      <c r="Q60" s="74">
        <f>Q39+Q46+Q59</f>
        <v>1293</v>
      </c>
      <c r="R60" s="74"/>
      <c r="S60" s="74">
        <f t="shared" ref="S60:BG60" si="21">S39+S46+S59</f>
        <v>14</v>
      </c>
      <c r="T60" s="74">
        <f t="shared" si="21"/>
        <v>182</v>
      </c>
      <c r="U60" s="74">
        <f t="shared" si="21"/>
        <v>19</v>
      </c>
      <c r="V60" s="74">
        <f t="shared" si="21"/>
        <v>0</v>
      </c>
      <c r="W60" s="74">
        <f t="shared" si="21"/>
        <v>0</v>
      </c>
      <c r="X60" s="74">
        <f t="shared" si="21"/>
        <v>9</v>
      </c>
      <c r="Y60" s="74">
        <f t="shared" si="21"/>
        <v>1</v>
      </c>
      <c r="Z60" s="74">
        <f t="shared" si="21"/>
        <v>6</v>
      </c>
      <c r="AA60" s="74">
        <f t="shared" si="21"/>
        <v>0</v>
      </c>
      <c r="AB60" s="74">
        <f t="shared" si="21"/>
        <v>0</v>
      </c>
      <c r="AC60" s="74">
        <f t="shared" si="21"/>
        <v>79</v>
      </c>
      <c r="AD60" s="74">
        <f t="shared" si="21"/>
        <v>0</v>
      </c>
      <c r="AE60" s="74">
        <f t="shared" si="21"/>
        <v>29</v>
      </c>
      <c r="AF60" s="74">
        <f t="shared" si="21"/>
        <v>76</v>
      </c>
      <c r="AG60" s="74">
        <f t="shared" si="21"/>
        <v>56</v>
      </c>
      <c r="AH60" s="74">
        <f t="shared" si="21"/>
        <v>124</v>
      </c>
      <c r="AI60" s="74">
        <f t="shared" si="21"/>
        <v>0</v>
      </c>
      <c r="AJ60" s="74">
        <f t="shared" si="21"/>
        <v>5</v>
      </c>
      <c r="AK60" s="74">
        <f t="shared" si="21"/>
        <v>0</v>
      </c>
      <c r="AL60" s="74">
        <f t="shared" si="21"/>
        <v>47</v>
      </c>
      <c r="AM60" s="74">
        <f t="shared" si="21"/>
        <v>0</v>
      </c>
      <c r="AN60" s="74">
        <f t="shared" si="21"/>
        <v>0</v>
      </c>
      <c r="AO60" s="74">
        <f t="shared" si="21"/>
        <v>0</v>
      </c>
      <c r="AP60" s="74">
        <f t="shared" si="21"/>
        <v>0</v>
      </c>
      <c r="AQ60" s="74">
        <f t="shared" si="21"/>
        <v>0</v>
      </c>
      <c r="AR60" s="74">
        <f t="shared" si="21"/>
        <v>0</v>
      </c>
      <c r="AS60" s="74">
        <f t="shared" si="21"/>
        <v>0</v>
      </c>
      <c r="AT60" s="74">
        <f t="shared" si="21"/>
        <v>0</v>
      </c>
      <c r="AU60" s="74">
        <f t="shared" si="21"/>
        <v>0</v>
      </c>
      <c r="AV60" s="74">
        <f t="shared" si="21"/>
        <v>0</v>
      </c>
      <c r="AW60" s="74">
        <f t="shared" si="21"/>
        <v>0</v>
      </c>
      <c r="AX60" s="74">
        <f t="shared" si="21"/>
        <v>0</v>
      </c>
      <c r="AY60" s="74">
        <f t="shared" si="21"/>
        <v>0</v>
      </c>
      <c r="AZ60" s="74">
        <f t="shared" si="21"/>
        <v>0</v>
      </c>
      <c r="BA60" s="74">
        <f t="shared" si="21"/>
        <v>0</v>
      </c>
      <c r="BB60" s="74">
        <f t="shared" si="21"/>
        <v>0</v>
      </c>
      <c r="BC60" s="74">
        <f t="shared" si="21"/>
        <v>0</v>
      </c>
      <c r="BD60" s="74">
        <f t="shared" si="21"/>
        <v>0</v>
      </c>
      <c r="BE60" s="74">
        <f t="shared" si="21"/>
        <v>0</v>
      </c>
      <c r="BF60" s="74">
        <f t="shared" si="21"/>
        <v>0</v>
      </c>
      <c r="BG60" s="74">
        <f t="shared" si="21"/>
        <v>0</v>
      </c>
    </row>
    <row r="61" spans="1:59" ht="31.8">
      <c r="A61" s="81" t="s">
        <v>36</v>
      </c>
      <c r="B61" s="81"/>
      <c r="C61" s="81"/>
      <c r="D61" s="81"/>
      <c r="E61" s="81"/>
      <c r="F61" s="81"/>
      <c r="G61" s="81"/>
      <c r="H61" s="81"/>
      <c r="I61" s="81"/>
      <c r="J61" s="81"/>
      <c r="K61" s="81"/>
      <c r="L61" s="81"/>
      <c r="M61" s="81"/>
      <c r="N61" s="81"/>
      <c r="O61" s="81"/>
      <c r="P61" s="24"/>
      <c r="Q61" s="24"/>
      <c r="R61" s="67"/>
      <c r="S61" s="67"/>
      <c r="T61" s="67"/>
      <c r="U61" s="176"/>
      <c r="V61" s="66"/>
      <c r="W61" s="65"/>
      <c r="AM61" s="34"/>
      <c r="AN61" s="34"/>
      <c r="AO61" s="34"/>
      <c r="AP61" s="34"/>
      <c r="AQ61" s="34"/>
      <c r="AR61" s="34"/>
      <c r="AS61" s="34"/>
      <c r="AT61" s="34"/>
      <c r="AU61" s="34"/>
      <c r="AV61" s="34"/>
      <c r="AW61" s="34"/>
      <c r="AX61" s="34"/>
      <c r="AY61" s="34"/>
      <c r="AZ61" s="34"/>
      <c r="BA61" s="34"/>
      <c r="BB61" s="34"/>
      <c r="BC61" s="34"/>
      <c r="BD61" s="34"/>
      <c r="BE61" s="34"/>
      <c r="BF61" s="34"/>
      <c r="BG61" s="34"/>
    </row>
    <row r="62" spans="1:59" ht="33.75" customHeight="1">
      <c r="A62" s="82" t="s">
        <v>13</v>
      </c>
      <c r="B62" s="82"/>
      <c r="C62" s="82"/>
      <c r="D62" s="82"/>
      <c r="E62" s="82"/>
      <c r="F62" s="82"/>
      <c r="G62" s="82"/>
      <c r="H62" s="82"/>
      <c r="I62" s="82"/>
      <c r="J62" s="82"/>
      <c r="K62" s="82"/>
      <c r="L62" s="82"/>
      <c r="M62" s="82"/>
      <c r="N62" s="82"/>
      <c r="O62" s="82"/>
      <c r="R62" s="64"/>
      <c r="S62" s="64"/>
      <c r="T62" s="64"/>
      <c r="U62" s="176"/>
      <c r="V62" s="63"/>
      <c r="W62" s="62"/>
      <c r="AM62" s="34"/>
      <c r="AN62" s="34"/>
      <c r="AO62" s="34"/>
      <c r="AP62" s="34"/>
      <c r="AQ62" s="34"/>
      <c r="AR62" s="34"/>
      <c r="AS62" s="34"/>
      <c r="AT62" s="34"/>
      <c r="AU62" s="34"/>
      <c r="AV62" s="34"/>
      <c r="AW62" s="34"/>
      <c r="AX62" s="34"/>
      <c r="AY62" s="34"/>
      <c r="AZ62" s="34"/>
      <c r="BA62" s="34"/>
      <c r="BB62" s="34"/>
      <c r="BC62" s="34"/>
      <c r="BD62" s="34"/>
      <c r="BE62" s="34"/>
      <c r="BF62" s="34"/>
      <c r="BG62" s="34"/>
    </row>
    <row r="63" spans="1:59" ht="62.4">
      <c r="A63" s="9" t="s">
        <v>0</v>
      </c>
      <c r="B63" s="10" t="s">
        <v>34</v>
      </c>
      <c r="C63" s="11" t="s">
        <v>7</v>
      </c>
      <c r="D63" s="12" t="s">
        <v>1</v>
      </c>
      <c r="E63" s="13" t="s">
        <v>4</v>
      </c>
      <c r="F63" s="13" t="s">
        <v>2</v>
      </c>
      <c r="G63" s="13" t="s">
        <v>3</v>
      </c>
      <c r="H63" s="11" t="s">
        <v>6</v>
      </c>
      <c r="I63" s="14" t="s">
        <v>8</v>
      </c>
      <c r="J63" s="14" t="s">
        <v>17</v>
      </c>
      <c r="K63" s="12" t="s">
        <v>9</v>
      </c>
      <c r="L63" s="15" t="s">
        <v>10</v>
      </c>
      <c r="M63" s="15" t="s">
        <v>11</v>
      </c>
      <c r="N63" s="15" t="s">
        <v>12</v>
      </c>
      <c r="O63" s="15" t="s">
        <v>14</v>
      </c>
      <c r="P63" s="26" t="s">
        <v>16</v>
      </c>
      <c r="Q63" s="15" t="s">
        <v>42</v>
      </c>
      <c r="R63" s="15" t="s">
        <v>44</v>
      </c>
      <c r="S63" s="83">
        <v>101</v>
      </c>
      <c r="T63" s="83">
        <v>102</v>
      </c>
      <c r="U63" s="80">
        <v>106</v>
      </c>
      <c r="V63" s="80">
        <v>108</v>
      </c>
      <c r="W63" s="80">
        <v>109</v>
      </c>
      <c r="X63" s="80">
        <v>113</v>
      </c>
      <c r="Y63" s="80">
        <v>114</v>
      </c>
      <c r="Z63" s="80">
        <v>115</v>
      </c>
      <c r="AA63" s="80">
        <v>116</v>
      </c>
      <c r="AB63" s="80">
        <v>199</v>
      </c>
      <c r="AC63" s="80">
        <v>201</v>
      </c>
      <c r="AD63" s="80">
        <v>202</v>
      </c>
      <c r="AE63" s="80">
        <v>203</v>
      </c>
      <c r="AF63" s="80">
        <v>205</v>
      </c>
      <c r="AG63" s="80">
        <v>206</v>
      </c>
      <c r="AH63" s="79">
        <v>209</v>
      </c>
      <c r="AI63" s="79">
        <v>212</v>
      </c>
      <c r="AJ63" s="79">
        <v>216</v>
      </c>
      <c r="AK63" s="79">
        <v>217</v>
      </c>
      <c r="AL63" s="79">
        <v>299</v>
      </c>
      <c r="AM63" s="79">
        <v>301</v>
      </c>
      <c r="AN63" s="79">
        <v>302</v>
      </c>
      <c r="AO63" s="79">
        <v>399</v>
      </c>
      <c r="AP63" s="79">
        <v>401</v>
      </c>
      <c r="AQ63" s="79">
        <v>402</v>
      </c>
      <c r="AR63" s="79">
        <v>411</v>
      </c>
      <c r="AS63" s="79">
        <v>412</v>
      </c>
      <c r="AT63" s="79">
        <v>413</v>
      </c>
      <c r="AU63" s="79">
        <v>499</v>
      </c>
      <c r="AV63" s="79">
        <v>501</v>
      </c>
      <c r="AW63" s="79">
        <v>502</v>
      </c>
      <c r="AX63" s="79">
        <v>599</v>
      </c>
      <c r="AY63" s="79">
        <v>604</v>
      </c>
      <c r="AZ63" s="79">
        <v>605</v>
      </c>
      <c r="BA63" s="79">
        <v>699</v>
      </c>
      <c r="BB63" s="79">
        <v>701</v>
      </c>
      <c r="BC63" s="79">
        <v>702</v>
      </c>
      <c r="BD63" s="79">
        <v>703</v>
      </c>
      <c r="BE63" s="79">
        <v>704</v>
      </c>
      <c r="BF63" s="79">
        <v>799</v>
      </c>
      <c r="BG63" s="84">
        <v>999</v>
      </c>
    </row>
    <row r="64" spans="1:59" ht="62.25" customHeight="1">
      <c r="A64" s="10" t="s">
        <v>18</v>
      </c>
      <c r="B64" s="10" t="s">
        <v>19</v>
      </c>
      <c r="C64" s="13" t="s">
        <v>20</v>
      </c>
      <c r="D64" s="12" t="s">
        <v>21</v>
      </c>
      <c r="E64" s="13" t="s">
        <v>22</v>
      </c>
      <c r="F64" s="13" t="s">
        <v>23</v>
      </c>
      <c r="G64" s="13" t="s">
        <v>25</v>
      </c>
      <c r="H64" s="13" t="s">
        <v>24</v>
      </c>
      <c r="I64" s="14" t="s">
        <v>26</v>
      </c>
      <c r="J64" s="14" t="s">
        <v>27</v>
      </c>
      <c r="K64" s="15" t="s">
        <v>28</v>
      </c>
      <c r="L64" s="15" t="s">
        <v>29</v>
      </c>
      <c r="M64" s="15" t="s">
        <v>30</v>
      </c>
      <c r="N64" s="15" t="s">
        <v>32</v>
      </c>
      <c r="O64" s="15" t="s">
        <v>31</v>
      </c>
      <c r="P64" s="26" t="s">
        <v>33</v>
      </c>
      <c r="Q64" s="15" t="s">
        <v>43</v>
      </c>
      <c r="R64" s="15" t="s">
        <v>45</v>
      </c>
      <c r="S64" s="83"/>
      <c r="T64" s="83"/>
      <c r="U64" s="80"/>
      <c r="V64" s="80"/>
      <c r="W64" s="80"/>
      <c r="X64" s="80"/>
      <c r="Y64" s="80"/>
      <c r="Z64" s="80"/>
      <c r="AA64" s="80"/>
      <c r="AB64" s="80"/>
      <c r="AC64" s="80"/>
      <c r="AD64" s="80"/>
      <c r="AE64" s="80"/>
      <c r="AF64" s="80"/>
      <c r="AG64" s="80"/>
      <c r="AH64" s="79"/>
      <c r="AI64" s="79"/>
      <c r="AJ64" s="79"/>
      <c r="AK64" s="79"/>
      <c r="AL64" s="79"/>
      <c r="AM64" s="79"/>
      <c r="AN64" s="79"/>
      <c r="AO64" s="79"/>
      <c r="AP64" s="79"/>
      <c r="AQ64" s="79"/>
      <c r="AR64" s="79"/>
      <c r="AS64" s="79"/>
      <c r="AT64" s="79"/>
      <c r="AU64" s="79"/>
      <c r="AV64" s="79"/>
      <c r="AW64" s="79"/>
      <c r="AX64" s="79"/>
      <c r="AY64" s="79"/>
      <c r="AZ64" s="79"/>
      <c r="BA64" s="79"/>
      <c r="BB64" s="79"/>
      <c r="BC64" s="79"/>
      <c r="BD64" s="79"/>
      <c r="BE64" s="79"/>
      <c r="BF64" s="79"/>
      <c r="BG64" s="84"/>
    </row>
    <row r="65" spans="1:59" s="17" customFormat="1" ht="12" hidden="1" customHeight="1">
      <c r="A65" s="108"/>
      <c r="B65" s="87"/>
      <c r="C65" s="89"/>
      <c r="D65" s="91"/>
      <c r="E65" s="89"/>
      <c r="F65" s="89"/>
      <c r="G65" s="93"/>
      <c r="H65" s="89"/>
      <c r="I65" s="89"/>
      <c r="J65" s="89"/>
      <c r="K65" s="20"/>
      <c r="L65" s="20"/>
      <c r="M65" s="20"/>
      <c r="N65" s="146" t="e">
        <f>O66/L66</f>
        <v>#DIV/0!</v>
      </c>
      <c r="O65" s="21">
        <f>L65-M65</f>
        <v>0</v>
      </c>
      <c r="P65" s="27"/>
      <c r="Q65" s="99">
        <f>+L66-P66</f>
        <v>0</v>
      </c>
      <c r="R65" s="108"/>
      <c r="S65" s="149"/>
      <c r="T65" s="149"/>
      <c r="U65" s="149"/>
      <c r="V65" s="149"/>
      <c r="W65" s="149"/>
      <c r="X65" s="149"/>
      <c r="Y65" s="149"/>
      <c r="Z65" s="149"/>
      <c r="AA65" s="149"/>
      <c r="AB65" s="149"/>
      <c r="AC65" s="149"/>
      <c r="AD65" s="149"/>
      <c r="AE65" s="149"/>
      <c r="AF65" s="149"/>
      <c r="AG65" s="149"/>
      <c r="AH65" s="149"/>
      <c r="AI65" s="149"/>
      <c r="AJ65" s="149"/>
      <c r="AK65" s="149"/>
      <c r="AL65" s="149"/>
      <c r="AM65" s="163"/>
      <c r="AN65" s="163"/>
      <c r="AO65" s="163"/>
      <c r="AP65" s="163"/>
      <c r="AQ65" s="163"/>
      <c r="AR65" s="163"/>
      <c r="AS65" s="163"/>
      <c r="AT65" s="163"/>
      <c r="AU65" s="163"/>
      <c r="AV65" s="163"/>
      <c r="AW65" s="163"/>
      <c r="AX65" s="163"/>
      <c r="AY65" s="167"/>
      <c r="AZ65" s="167"/>
      <c r="BA65" s="167"/>
      <c r="BB65" s="167"/>
      <c r="BC65" s="167"/>
      <c r="BD65" s="161"/>
      <c r="BE65" s="163"/>
      <c r="BF65" s="165"/>
      <c r="BG65" s="165"/>
    </row>
    <row r="66" spans="1:59" s="17" customFormat="1" ht="12" hidden="1" customHeight="1">
      <c r="A66" s="85"/>
      <c r="B66" s="88"/>
      <c r="C66" s="90"/>
      <c r="D66" s="92"/>
      <c r="E66" s="90"/>
      <c r="F66" s="90"/>
      <c r="G66" s="94"/>
      <c r="H66" s="90"/>
      <c r="I66" s="90"/>
      <c r="J66" s="90"/>
      <c r="K66" s="22"/>
      <c r="L66" s="18"/>
      <c r="M66" s="18"/>
      <c r="N66" s="147"/>
      <c r="O66" s="19">
        <f>L66-M66</f>
        <v>0</v>
      </c>
      <c r="P66" s="22"/>
      <c r="Q66" s="100"/>
      <c r="R66" s="85"/>
      <c r="S66" s="150"/>
      <c r="T66" s="150"/>
      <c r="U66" s="150"/>
      <c r="V66" s="150"/>
      <c r="W66" s="150"/>
      <c r="X66" s="150"/>
      <c r="Y66" s="150"/>
      <c r="Z66" s="150"/>
      <c r="AA66" s="150"/>
      <c r="AB66" s="150"/>
      <c r="AC66" s="150"/>
      <c r="AD66" s="150"/>
      <c r="AE66" s="150"/>
      <c r="AF66" s="150"/>
      <c r="AG66" s="150"/>
      <c r="AH66" s="150"/>
      <c r="AI66" s="150"/>
      <c r="AJ66" s="150"/>
      <c r="AK66" s="150"/>
      <c r="AL66" s="150"/>
      <c r="AM66" s="164"/>
      <c r="AN66" s="164"/>
      <c r="AO66" s="164"/>
      <c r="AP66" s="164"/>
      <c r="AQ66" s="164"/>
      <c r="AR66" s="164"/>
      <c r="AS66" s="164"/>
      <c r="AT66" s="164"/>
      <c r="AU66" s="164"/>
      <c r="AV66" s="164"/>
      <c r="AW66" s="164"/>
      <c r="AX66" s="164"/>
      <c r="AY66" s="168"/>
      <c r="AZ66" s="168"/>
      <c r="BA66" s="168"/>
      <c r="BB66" s="168"/>
      <c r="BC66" s="168"/>
      <c r="BD66" s="162"/>
      <c r="BE66" s="164"/>
      <c r="BF66" s="166"/>
      <c r="BG66" s="166"/>
    </row>
    <row r="67" spans="1:59" s="17" customFormat="1" ht="18" customHeight="1">
      <c r="A67" s="108">
        <v>45287</v>
      </c>
      <c r="B67" s="132" t="s">
        <v>37</v>
      </c>
      <c r="C67" s="117" t="s">
        <v>56</v>
      </c>
      <c r="D67" s="118" t="s">
        <v>38</v>
      </c>
      <c r="E67" s="116">
        <v>84217</v>
      </c>
      <c r="F67" s="116" t="s">
        <v>49</v>
      </c>
      <c r="G67" s="141" t="s">
        <v>63</v>
      </c>
      <c r="H67" s="95" t="s">
        <v>39</v>
      </c>
      <c r="I67" s="90">
        <v>4970</v>
      </c>
      <c r="J67" s="90">
        <v>4754</v>
      </c>
      <c r="K67" s="20">
        <v>100</v>
      </c>
      <c r="L67" s="20">
        <v>0</v>
      </c>
      <c r="M67" s="20">
        <v>0</v>
      </c>
      <c r="N67" s="143">
        <f>O68/L68</f>
        <v>0.52376237623762378</v>
      </c>
      <c r="O67" s="21">
        <f>L67-M67</f>
        <v>0</v>
      </c>
      <c r="P67" s="60">
        <f>50+62</f>
        <v>112</v>
      </c>
      <c r="Q67" s="99">
        <f>+L68-P68</f>
        <v>50</v>
      </c>
      <c r="R67" s="101"/>
      <c r="S67" s="96"/>
      <c r="T67" s="96"/>
      <c r="U67" s="96"/>
      <c r="V67" s="96"/>
      <c r="W67" s="96"/>
      <c r="X67" s="96"/>
      <c r="Y67" s="96"/>
      <c r="Z67" s="96"/>
      <c r="AA67" s="96"/>
      <c r="AB67" s="96"/>
      <c r="AC67" s="140"/>
      <c r="AD67" s="96"/>
      <c r="AE67" s="96"/>
      <c r="AF67" s="96"/>
      <c r="AG67" s="96"/>
      <c r="AH67" s="96"/>
      <c r="AI67" s="96"/>
      <c r="AJ67" s="96"/>
      <c r="AK67" s="96"/>
      <c r="AL67" s="96"/>
      <c r="AM67" s="96"/>
      <c r="AN67" s="96"/>
      <c r="AO67" s="96"/>
      <c r="AP67" s="96"/>
      <c r="AQ67" s="96"/>
      <c r="AR67" s="96"/>
      <c r="AS67" s="96"/>
      <c r="AT67" s="96"/>
      <c r="AU67" s="96"/>
      <c r="AV67" s="96"/>
      <c r="AW67" s="96"/>
      <c r="AX67" s="96"/>
      <c r="AY67" s="124"/>
      <c r="AZ67" s="123"/>
      <c r="BA67" s="123"/>
      <c r="BB67" s="123"/>
      <c r="BC67" s="123"/>
      <c r="BD67" s="123"/>
      <c r="BE67" s="123"/>
      <c r="BF67" s="123"/>
      <c r="BG67" s="123"/>
    </row>
    <row r="68" spans="1:59" s="17" customFormat="1" ht="17.25" customHeight="1">
      <c r="A68" s="85"/>
      <c r="B68" s="145"/>
      <c r="C68" s="142"/>
      <c r="D68" s="119"/>
      <c r="E68" s="117"/>
      <c r="F68" s="117"/>
      <c r="G68" s="142"/>
      <c r="H68" s="95"/>
      <c r="I68" s="95"/>
      <c r="J68" s="95"/>
      <c r="K68" s="3">
        <f>300+50+100+200+310+50+100</f>
        <v>1110</v>
      </c>
      <c r="L68" s="3">
        <f>200+150+100+100+300+160</f>
        <v>1010</v>
      </c>
      <c r="M68" s="3">
        <f>88+64+65+19+167+78</f>
        <v>481</v>
      </c>
      <c r="N68" s="144"/>
      <c r="O68" s="7">
        <f>L68-M68</f>
        <v>529</v>
      </c>
      <c r="P68" s="22">
        <f>88+144+147+54+223+192+112</f>
        <v>960</v>
      </c>
      <c r="Q68" s="100"/>
      <c r="R68" s="102"/>
      <c r="S68" s="96"/>
      <c r="T68" s="96"/>
      <c r="U68" s="96"/>
      <c r="V68" s="96"/>
      <c r="W68" s="96"/>
      <c r="X68" s="96"/>
      <c r="Y68" s="96"/>
      <c r="Z68" s="96"/>
      <c r="AA68" s="96"/>
      <c r="AB68" s="96"/>
      <c r="AC68" s="140"/>
      <c r="AD68" s="96"/>
      <c r="AE68" s="96"/>
      <c r="AF68" s="96"/>
      <c r="AG68" s="96"/>
      <c r="AH68" s="96"/>
      <c r="AI68" s="96"/>
      <c r="AJ68" s="96"/>
      <c r="AK68" s="96"/>
      <c r="AL68" s="96"/>
      <c r="AM68" s="96"/>
      <c r="AN68" s="96"/>
      <c r="AO68" s="96"/>
      <c r="AP68" s="96"/>
      <c r="AQ68" s="96"/>
      <c r="AR68" s="96"/>
      <c r="AS68" s="96"/>
      <c r="AT68" s="96"/>
      <c r="AU68" s="96"/>
      <c r="AV68" s="96"/>
      <c r="AW68" s="96"/>
      <c r="AX68" s="96"/>
      <c r="AY68" s="124"/>
      <c r="AZ68" s="124"/>
      <c r="BA68" s="124"/>
      <c r="BB68" s="124"/>
      <c r="BC68" s="124"/>
      <c r="BD68" s="124"/>
      <c r="BE68" s="124"/>
      <c r="BF68" s="124"/>
      <c r="BG68" s="124"/>
    </row>
    <row r="69" spans="1:59" s="17" customFormat="1" ht="12" hidden="1" customHeight="1">
      <c r="A69" s="108"/>
      <c r="B69" s="132"/>
      <c r="C69" s="117"/>
      <c r="D69" s="118"/>
      <c r="E69" s="116"/>
      <c r="F69" s="116"/>
      <c r="G69" s="141"/>
      <c r="H69" s="95"/>
      <c r="I69" s="90"/>
      <c r="J69" s="90"/>
      <c r="K69" s="20"/>
      <c r="L69" s="20"/>
      <c r="M69" s="20"/>
      <c r="N69" s="143"/>
      <c r="O69" s="61"/>
      <c r="P69" s="60"/>
      <c r="Q69" s="172"/>
      <c r="R69" s="101"/>
      <c r="S69" s="96"/>
      <c r="T69" s="96"/>
      <c r="U69" s="96"/>
      <c r="V69" s="96"/>
      <c r="W69" s="96"/>
      <c r="X69" s="96"/>
      <c r="Y69" s="96"/>
      <c r="Z69" s="96"/>
      <c r="AA69" s="96"/>
      <c r="AB69" s="96"/>
      <c r="AC69" s="140"/>
      <c r="AD69" s="96"/>
      <c r="AE69" s="96"/>
      <c r="AF69" s="96"/>
      <c r="AG69" s="96"/>
      <c r="AH69" s="96"/>
      <c r="AI69" s="96"/>
      <c r="AJ69" s="96"/>
      <c r="AK69" s="96"/>
      <c r="AL69" s="96"/>
      <c r="AM69" s="96"/>
      <c r="AN69" s="96"/>
      <c r="AO69" s="96"/>
      <c r="AP69" s="96"/>
      <c r="AQ69" s="96"/>
      <c r="AR69" s="96"/>
      <c r="AS69" s="96"/>
      <c r="AT69" s="96"/>
      <c r="AU69" s="96"/>
      <c r="AV69" s="96"/>
      <c r="AW69" s="96"/>
      <c r="AX69" s="96"/>
      <c r="AY69" s="124"/>
      <c r="AZ69" s="123"/>
      <c r="BA69" s="123"/>
      <c r="BB69" s="123"/>
      <c r="BC69" s="123"/>
      <c r="BD69" s="123"/>
      <c r="BE69" s="123"/>
      <c r="BF69" s="123"/>
      <c r="BG69" s="123"/>
    </row>
    <row r="70" spans="1:59" s="17" customFormat="1" ht="12" hidden="1" customHeight="1">
      <c r="A70" s="85"/>
      <c r="B70" s="145"/>
      <c r="C70" s="142"/>
      <c r="D70" s="119"/>
      <c r="E70" s="117"/>
      <c r="F70" s="117"/>
      <c r="G70" s="142"/>
      <c r="H70" s="95"/>
      <c r="I70" s="95"/>
      <c r="J70" s="95"/>
      <c r="K70" s="3"/>
      <c r="L70" s="3"/>
      <c r="M70" s="3"/>
      <c r="N70" s="144"/>
      <c r="O70" s="59"/>
      <c r="P70" s="22"/>
      <c r="Q70" s="173"/>
      <c r="R70" s="102"/>
      <c r="S70" s="96"/>
      <c r="T70" s="96"/>
      <c r="U70" s="96"/>
      <c r="V70" s="96"/>
      <c r="W70" s="96"/>
      <c r="X70" s="96"/>
      <c r="Y70" s="96"/>
      <c r="Z70" s="96"/>
      <c r="AA70" s="96"/>
      <c r="AB70" s="96"/>
      <c r="AC70" s="140"/>
      <c r="AD70" s="96"/>
      <c r="AE70" s="96"/>
      <c r="AF70" s="96"/>
      <c r="AG70" s="96"/>
      <c r="AH70" s="96"/>
      <c r="AI70" s="96"/>
      <c r="AJ70" s="96"/>
      <c r="AK70" s="96"/>
      <c r="AL70" s="96"/>
      <c r="AM70" s="96"/>
      <c r="AN70" s="96"/>
      <c r="AO70" s="96"/>
      <c r="AP70" s="96"/>
      <c r="AQ70" s="96"/>
      <c r="AR70" s="96"/>
      <c r="AS70" s="96"/>
      <c r="AT70" s="96"/>
      <c r="AU70" s="96"/>
      <c r="AV70" s="96"/>
      <c r="AW70" s="96"/>
      <c r="AX70" s="96"/>
      <c r="AY70" s="124"/>
      <c r="AZ70" s="124"/>
      <c r="BA70" s="124"/>
      <c r="BB70" s="124"/>
      <c r="BC70" s="124"/>
      <c r="BD70" s="124"/>
      <c r="BE70" s="124"/>
      <c r="BF70" s="124"/>
      <c r="BG70" s="124"/>
    </row>
    <row r="71" spans="1:59" ht="24.75" customHeight="1">
      <c r="A71" s="111" t="s">
        <v>15</v>
      </c>
      <c r="B71" s="112"/>
      <c r="C71" s="112"/>
      <c r="D71" s="112"/>
      <c r="E71" s="112"/>
      <c r="F71" s="112"/>
      <c r="G71" s="112"/>
      <c r="H71" s="112"/>
      <c r="I71" s="113"/>
      <c r="J71" s="5">
        <f>SUM(J65:J70)</f>
        <v>4754</v>
      </c>
      <c r="K71" s="5">
        <f>+SUMPRODUCT(((MOD(ROW(K65:K70),2)=1)*(K65:K70)))</f>
        <v>100</v>
      </c>
      <c r="L71" s="5">
        <f>+SUMPRODUCT(((MOD(ROW(L65:L70),2)=1)*(L65:L70)))</f>
        <v>0</v>
      </c>
      <c r="M71" s="5">
        <f>+SUMPRODUCT(((MOD(ROW(M65:M70),2)=1)*(M65:M70)))</f>
        <v>0</v>
      </c>
      <c r="N71" s="23" t="e">
        <f>O71/L71</f>
        <v>#DIV/0!</v>
      </c>
      <c r="O71" s="5">
        <f>+SUMPRODUCT(((MOD(ROW(O65:O70),2)=1)*(O65:O70)))</f>
        <v>0</v>
      </c>
      <c r="P71" s="5">
        <f>+SUMPRODUCT(((MOD(ROW(P65:P70),2)=1)*(P65:P70)))</f>
        <v>112</v>
      </c>
      <c r="Q71" s="5">
        <f>+SUMPRODUCT(((MOD(ROW(Q65:Q70),2)=1)*(Q65:Q70)))</f>
        <v>50</v>
      </c>
      <c r="R71" s="5"/>
      <c r="S71" s="5">
        <f t="shared" ref="S71:BG71" si="22">SUM(S65:S70)</f>
        <v>0</v>
      </c>
      <c r="T71" s="5">
        <f t="shared" si="22"/>
        <v>0</v>
      </c>
      <c r="U71" s="5">
        <f t="shared" si="22"/>
        <v>0</v>
      </c>
      <c r="V71" s="5">
        <f t="shared" si="22"/>
        <v>0</v>
      </c>
      <c r="W71" s="5">
        <f t="shared" si="22"/>
        <v>0</v>
      </c>
      <c r="X71" s="5">
        <f t="shared" si="22"/>
        <v>0</v>
      </c>
      <c r="Y71" s="5">
        <f t="shared" si="22"/>
        <v>0</v>
      </c>
      <c r="Z71" s="5">
        <f t="shared" si="22"/>
        <v>0</v>
      </c>
      <c r="AA71" s="5">
        <f t="shared" si="22"/>
        <v>0</v>
      </c>
      <c r="AB71" s="5">
        <f t="shared" si="22"/>
        <v>0</v>
      </c>
      <c r="AC71" s="5">
        <f t="shared" si="22"/>
        <v>0</v>
      </c>
      <c r="AD71" s="5">
        <f t="shared" si="22"/>
        <v>0</v>
      </c>
      <c r="AE71" s="5">
        <f t="shared" si="22"/>
        <v>0</v>
      </c>
      <c r="AF71" s="5">
        <f t="shared" si="22"/>
        <v>0</v>
      </c>
      <c r="AG71" s="5">
        <f t="shared" si="22"/>
        <v>0</v>
      </c>
      <c r="AH71" s="5">
        <f t="shared" si="22"/>
        <v>0</v>
      </c>
      <c r="AI71" s="5">
        <f t="shared" si="22"/>
        <v>0</v>
      </c>
      <c r="AJ71" s="5">
        <f t="shared" si="22"/>
        <v>0</v>
      </c>
      <c r="AK71" s="5">
        <f t="shared" si="22"/>
        <v>0</v>
      </c>
      <c r="AL71" s="5">
        <f t="shared" si="22"/>
        <v>0</v>
      </c>
      <c r="AM71" s="5">
        <f t="shared" si="22"/>
        <v>0</v>
      </c>
      <c r="AN71" s="5">
        <f t="shared" si="22"/>
        <v>0</v>
      </c>
      <c r="AO71" s="5">
        <f t="shared" si="22"/>
        <v>0</v>
      </c>
      <c r="AP71" s="5">
        <f t="shared" si="22"/>
        <v>0</v>
      </c>
      <c r="AQ71" s="5">
        <f t="shared" si="22"/>
        <v>0</v>
      </c>
      <c r="AR71" s="5">
        <f t="shared" si="22"/>
        <v>0</v>
      </c>
      <c r="AS71" s="5">
        <f t="shared" si="22"/>
        <v>0</v>
      </c>
      <c r="AT71" s="5">
        <f t="shared" si="22"/>
        <v>0</v>
      </c>
      <c r="AU71" s="5">
        <f t="shared" si="22"/>
        <v>0</v>
      </c>
      <c r="AV71" s="5">
        <f t="shared" si="22"/>
        <v>0</v>
      </c>
      <c r="AW71" s="5">
        <f t="shared" si="22"/>
        <v>0</v>
      </c>
      <c r="AX71" s="5">
        <f t="shared" si="22"/>
        <v>0</v>
      </c>
      <c r="AY71" s="5">
        <f t="shared" si="22"/>
        <v>0</v>
      </c>
      <c r="AZ71" s="5">
        <f t="shared" si="22"/>
        <v>0</v>
      </c>
      <c r="BA71" s="5">
        <f t="shared" si="22"/>
        <v>0</v>
      </c>
      <c r="BB71" s="5">
        <f t="shared" si="22"/>
        <v>0</v>
      </c>
      <c r="BC71" s="5">
        <f t="shared" si="22"/>
        <v>0</v>
      </c>
      <c r="BD71" s="5">
        <f t="shared" si="22"/>
        <v>0</v>
      </c>
      <c r="BE71" s="5">
        <f t="shared" si="22"/>
        <v>0</v>
      </c>
      <c r="BF71" s="5">
        <f t="shared" si="22"/>
        <v>0</v>
      </c>
      <c r="BG71" s="5">
        <f t="shared" si="22"/>
        <v>0</v>
      </c>
    </row>
    <row r="72" spans="1:59" s="17" customFormat="1" ht="15.75" hidden="1" customHeight="1">
      <c r="A72" s="101"/>
      <c r="B72" s="114"/>
      <c r="C72" s="116"/>
      <c r="D72" s="118"/>
      <c r="E72" s="116"/>
      <c r="F72" s="116"/>
      <c r="G72" s="120"/>
      <c r="H72" s="151"/>
      <c r="I72" s="89"/>
      <c r="J72" s="89"/>
      <c r="K72" s="20"/>
      <c r="L72" s="20"/>
      <c r="M72" s="20"/>
      <c r="N72" s="146"/>
      <c r="O72" s="21"/>
      <c r="P72" s="27"/>
      <c r="Q72" s="99"/>
      <c r="R72" s="148"/>
      <c r="S72" s="149"/>
      <c r="T72" s="149"/>
      <c r="U72" s="149"/>
      <c r="V72" s="149"/>
      <c r="W72" s="149"/>
      <c r="X72" s="149"/>
      <c r="Y72" s="149"/>
      <c r="Z72" s="149"/>
      <c r="AA72" s="149"/>
      <c r="AB72" s="149"/>
      <c r="AC72" s="149"/>
      <c r="AD72" s="149"/>
      <c r="AE72" s="149"/>
      <c r="AF72" s="149"/>
      <c r="AG72" s="149"/>
      <c r="AH72" s="149"/>
      <c r="AI72" s="149"/>
      <c r="AJ72" s="149"/>
      <c r="AK72" s="149"/>
      <c r="AL72" s="149"/>
      <c r="AM72" s="149"/>
      <c r="AN72" s="149"/>
      <c r="AO72" s="149"/>
      <c r="AP72" s="149"/>
      <c r="AQ72" s="149"/>
      <c r="AR72" s="149"/>
      <c r="AS72" s="149"/>
      <c r="AT72" s="149"/>
      <c r="AU72" s="149"/>
      <c r="AV72" s="149"/>
      <c r="AW72" s="149"/>
      <c r="AX72" s="149"/>
      <c r="AY72" s="152"/>
      <c r="AZ72" s="152"/>
      <c r="BA72" s="152"/>
      <c r="BB72" s="152"/>
      <c r="BC72" s="152"/>
      <c r="BD72" s="152"/>
      <c r="BE72" s="149"/>
      <c r="BF72" s="152"/>
      <c r="BG72" s="152"/>
    </row>
    <row r="73" spans="1:59" s="17" customFormat="1" ht="15.75" hidden="1" customHeight="1">
      <c r="A73" s="102"/>
      <c r="B73" s="115"/>
      <c r="C73" s="117"/>
      <c r="D73" s="119"/>
      <c r="E73" s="117"/>
      <c r="F73" s="117"/>
      <c r="G73" s="121"/>
      <c r="H73" s="90"/>
      <c r="I73" s="90"/>
      <c r="J73" s="90"/>
      <c r="K73" s="22"/>
      <c r="L73" s="18"/>
      <c r="M73" s="18"/>
      <c r="N73" s="147"/>
      <c r="O73" s="19"/>
      <c r="P73" s="22"/>
      <c r="Q73" s="100"/>
      <c r="R73" s="101"/>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3"/>
      <c r="AZ73" s="153"/>
      <c r="BA73" s="153"/>
      <c r="BB73" s="153"/>
      <c r="BC73" s="153"/>
      <c r="BD73" s="153"/>
      <c r="BE73" s="150"/>
      <c r="BF73" s="153"/>
      <c r="BG73" s="153"/>
    </row>
    <row r="74" spans="1:59" s="17" customFormat="1" ht="15.75" hidden="1" customHeight="1">
      <c r="A74" s="101"/>
      <c r="B74" s="114"/>
      <c r="C74" s="116"/>
      <c r="D74" s="118"/>
      <c r="E74" s="116"/>
      <c r="F74" s="116"/>
      <c r="G74" s="120"/>
      <c r="H74" s="151"/>
      <c r="I74" s="89"/>
      <c r="J74" s="89"/>
      <c r="K74" s="20"/>
      <c r="L74" s="20"/>
      <c r="M74" s="20"/>
      <c r="N74" s="146"/>
      <c r="O74" s="21"/>
      <c r="P74" s="27"/>
      <c r="Q74" s="99"/>
      <c r="R74" s="148"/>
      <c r="S74" s="149"/>
      <c r="T74" s="149"/>
      <c r="U74" s="149"/>
      <c r="V74" s="149"/>
      <c r="W74" s="149"/>
      <c r="X74" s="149"/>
      <c r="Y74" s="149"/>
      <c r="Z74" s="149"/>
      <c r="AA74" s="149"/>
      <c r="AB74" s="149"/>
      <c r="AC74" s="149"/>
      <c r="AD74" s="149"/>
      <c r="AE74" s="149"/>
      <c r="AF74" s="149"/>
      <c r="AG74" s="149"/>
      <c r="AH74" s="149"/>
      <c r="AI74" s="149"/>
      <c r="AJ74" s="149"/>
      <c r="AK74" s="149"/>
      <c r="AL74" s="149"/>
      <c r="AM74" s="149"/>
      <c r="AN74" s="149"/>
      <c r="AO74" s="149"/>
      <c r="AP74" s="149"/>
      <c r="AQ74" s="149"/>
      <c r="AR74" s="149"/>
      <c r="AS74" s="149"/>
      <c r="AT74" s="149"/>
      <c r="AU74" s="149"/>
      <c r="AV74" s="149"/>
      <c r="AW74" s="149"/>
      <c r="AX74" s="149"/>
      <c r="AY74" s="152"/>
      <c r="AZ74" s="152"/>
      <c r="BA74" s="152"/>
      <c r="BB74" s="152"/>
      <c r="BC74" s="152"/>
      <c r="BD74" s="152"/>
      <c r="BE74" s="149"/>
      <c r="BF74" s="152"/>
      <c r="BG74" s="152"/>
    </row>
    <row r="75" spans="1:59" s="17" customFormat="1" ht="15.75" hidden="1" customHeight="1">
      <c r="A75" s="102"/>
      <c r="B75" s="115"/>
      <c r="C75" s="117"/>
      <c r="D75" s="119"/>
      <c r="E75" s="117"/>
      <c r="F75" s="117"/>
      <c r="G75" s="121"/>
      <c r="H75" s="90"/>
      <c r="I75" s="90"/>
      <c r="J75" s="90"/>
      <c r="K75" s="22"/>
      <c r="L75" s="18"/>
      <c r="M75" s="18"/>
      <c r="N75" s="147"/>
      <c r="O75" s="19"/>
      <c r="P75" s="22"/>
      <c r="Q75" s="100"/>
      <c r="R75" s="101"/>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3"/>
      <c r="AZ75" s="153"/>
      <c r="BA75" s="153"/>
      <c r="BB75" s="153"/>
      <c r="BC75" s="153"/>
      <c r="BD75" s="153"/>
      <c r="BE75" s="150"/>
      <c r="BF75" s="153"/>
      <c r="BG75" s="153"/>
    </row>
    <row r="76" spans="1:59" s="17" customFormat="1" ht="15.75" hidden="1" customHeight="1">
      <c r="A76" s="101"/>
      <c r="B76" s="114"/>
      <c r="C76" s="116"/>
      <c r="D76" s="118"/>
      <c r="E76" s="116"/>
      <c r="F76" s="116"/>
      <c r="G76" s="120"/>
      <c r="H76" s="109"/>
      <c r="I76" s="90"/>
      <c r="J76" s="90"/>
      <c r="K76" s="20"/>
      <c r="L76" s="20"/>
      <c r="M76" s="20"/>
      <c r="N76" s="97"/>
      <c r="O76" s="21"/>
      <c r="P76" s="27"/>
      <c r="Q76" s="99"/>
      <c r="R76" s="154"/>
      <c r="S76" s="96"/>
      <c r="T76" s="96"/>
      <c r="U76" s="96"/>
      <c r="V76" s="96"/>
      <c r="W76" s="96"/>
      <c r="X76" s="96"/>
      <c r="Y76" s="96"/>
      <c r="Z76" s="96"/>
      <c r="AA76" s="96"/>
      <c r="AB76" s="96"/>
      <c r="AC76" s="96"/>
      <c r="AD76" s="96"/>
      <c r="AE76" s="96"/>
      <c r="AF76" s="96"/>
      <c r="AG76" s="96"/>
      <c r="AH76" s="96"/>
      <c r="AI76" s="96"/>
      <c r="AJ76" s="96"/>
      <c r="AK76" s="96"/>
      <c r="AL76" s="96"/>
      <c r="AM76" s="96"/>
      <c r="AN76" s="96"/>
      <c r="AO76" s="96"/>
      <c r="AP76" s="96"/>
      <c r="AQ76" s="96"/>
      <c r="AR76" s="96"/>
      <c r="AS76" s="96"/>
      <c r="AT76" s="96"/>
      <c r="AU76" s="96"/>
      <c r="AV76" s="96"/>
      <c r="AW76" s="96"/>
      <c r="AX76" s="96"/>
      <c r="AY76" s="155"/>
      <c r="AZ76" s="155"/>
      <c r="BA76" s="155"/>
      <c r="BB76" s="155"/>
      <c r="BC76" s="155"/>
      <c r="BD76" s="155"/>
      <c r="BE76" s="96"/>
      <c r="BF76" s="155"/>
      <c r="BG76" s="155"/>
    </row>
    <row r="77" spans="1:59" s="17" customFormat="1" ht="15.75" hidden="1" customHeight="1">
      <c r="A77" s="102"/>
      <c r="B77" s="115"/>
      <c r="C77" s="117"/>
      <c r="D77" s="119"/>
      <c r="E77" s="117"/>
      <c r="F77" s="117"/>
      <c r="G77" s="121"/>
      <c r="H77" s="95"/>
      <c r="I77" s="95"/>
      <c r="J77" s="95"/>
      <c r="K77" s="22"/>
      <c r="L77" s="18"/>
      <c r="M77" s="18"/>
      <c r="N77" s="98"/>
      <c r="O77" s="19"/>
      <c r="P77" s="22"/>
      <c r="Q77" s="100"/>
      <c r="R77" s="101"/>
      <c r="S77" s="96"/>
      <c r="T77" s="96"/>
      <c r="U77" s="96"/>
      <c r="V77" s="96"/>
      <c r="W77" s="96"/>
      <c r="X77" s="96"/>
      <c r="Y77" s="96"/>
      <c r="Z77" s="96"/>
      <c r="AA77" s="96"/>
      <c r="AB77" s="96"/>
      <c r="AC77" s="96"/>
      <c r="AD77" s="96"/>
      <c r="AE77" s="96"/>
      <c r="AF77" s="96"/>
      <c r="AG77" s="96"/>
      <c r="AH77" s="96"/>
      <c r="AI77" s="96"/>
      <c r="AJ77" s="96"/>
      <c r="AK77" s="96"/>
      <c r="AL77" s="96"/>
      <c r="AM77" s="96"/>
      <c r="AN77" s="96"/>
      <c r="AO77" s="96"/>
      <c r="AP77" s="96"/>
      <c r="AQ77" s="96"/>
      <c r="AR77" s="96"/>
      <c r="AS77" s="96"/>
      <c r="AT77" s="96"/>
      <c r="AU77" s="96"/>
      <c r="AV77" s="96"/>
      <c r="AW77" s="96"/>
      <c r="AX77" s="96"/>
      <c r="AY77" s="156"/>
      <c r="AZ77" s="156"/>
      <c r="BA77" s="156"/>
      <c r="BB77" s="156"/>
      <c r="BC77" s="156"/>
      <c r="BD77" s="156"/>
      <c r="BE77" s="96"/>
      <c r="BF77" s="156"/>
      <c r="BG77" s="156"/>
    </row>
    <row r="78" spans="1:59" s="17" customFormat="1" ht="15.75" hidden="1" customHeight="1">
      <c r="A78" s="101"/>
      <c r="B78" s="114"/>
      <c r="C78" s="116"/>
      <c r="D78" s="118"/>
      <c r="E78" s="116"/>
      <c r="F78" s="116"/>
      <c r="G78" s="120"/>
      <c r="H78" s="109"/>
      <c r="I78" s="90"/>
      <c r="J78" s="90"/>
      <c r="K78" s="20"/>
      <c r="L78" s="20"/>
      <c r="M78" s="20"/>
      <c r="N78" s="97"/>
      <c r="O78" s="21"/>
      <c r="P78" s="27"/>
      <c r="Q78" s="99"/>
      <c r="R78" s="148"/>
      <c r="S78" s="96"/>
      <c r="T78" s="96"/>
      <c r="U78" s="96"/>
      <c r="V78" s="96"/>
      <c r="W78" s="96"/>
      <c r="X78" s="96"/>
      <c r="Y78" s="96"/>
      <c r="Z78" s="96"/>
      <c r="AA78" s="96"/>
      <c r="AB78" s="96"/>
      <c r="AC78" s="96"/>
      <c r="AD78" s="96"/>
      <c r="AE78" s="96"/>
      <c r="AF78" s="96"/>
      <c r="AG78" s="96"/>
      <c r="AH78" s="96"/>
      <c r="AI78" s="96"/>
      <c r="AJ78" s="96"/>
      <c r="AK78" s="96"/>
      <c r="AL78" s="96"/>
      <c r="AM78" s="96"/>
      <c r="AN78" s="96"/>
      <c r="AO78" s="96"/>
      <c r="AP78" s="96"/>
      <c r="AQ78" s="96"/>
      <c r="AR78" s="96"/>
      <c r="AS78" s="96"/>
      <c r="AT78" s="96"/>
      <c r="AU78" s="96"/>
      <c r="AV78" s="96"/>
      <c r="AW78" s="96"/>
      <c r="AX78" s="96"/>
      <c r="AY78" s="155"/>
      <c r="AZ78" s="155"/>
      <c r="BA78" s="155"/>
      <c r="BB78" s="155"/>
      <c r="BC78" s="155"/>
      <c r="BD78" s="155"/>
      <c r="BE78" s="96"/>
      <c r="BF78" s="155"/>
      <c r="BG78" s="155"/>
    </row>
    <row r="79" spans="1:59" s="17" customFormat="1" ht="15.75" hidden="1" customHeight="1">
      <c r="A79" s="102"/>
      <c r="B79" s="115"/>
      <c r="C79" s="117"/>
      <c r="D79" s="119"/>
      <c r="E79" s="117"/>
      <c r="F79" s="117"/>
      <c r="G79" s="121"/>
      <c r="H79" s="95"/>
      <c r="I79" s="95"/>
      <c r="J79" s="95"/>
      <c r="K79" s="22"/>
      <c r="L79" s="18"/>
      <c r="M79" s="18"/>
      <c r="N79" s="98"/>
      <c r="O79" s="19"/>
      <c r="P79" s="22"/>
      <c r="Q79" s="100"/>
      <c r="R79" s="101"/>
      <c r="S79" s="96"/>
      <c r="T79" s="96"/>
      <c r="U79" s="96"/>
      <c r="V79" s="96"/>
      <c r="W79" s="96"/>
      <c r="X79" s="96"/>
      <c r="Y79" s="96"/>
      <c r="Z79" s="96"/>
      <c r="AA79" s="96"/>
      <c r="AB79" s="96"/>
      <c r="AC79" s="96"/>
      <c r="AD79" s="96"/>
      <c r="AE79" s="96"/>
      <c r="AF79" s="96"/>
      <c r="AG79" s="96"/>
      <c r="AH79" s="96"/>
      <c r="AI79" s="96"/>
      <c r="AJ79" s="96"/>
      <c r="AK79" s="96"/>
      <c r="AL79" s="96"/>
      <c r="AM79" s="96"/>
      <c r="AN79" s="96"/>
      <c r="AO79" s="96"/>
      <c r="AP79" s="96"/>
      <c r="AQ79" s="96"/>
      <c r="AR79" s="96"/>
      <c r="AS79" s="96"/>
      <c r="AT79" s="96"/>
      <c r="AU79" s="96"/>
      <c r="AV79" s="96"/>
      <c r="AW79" s="96"/>
      <c r="AX79" s="96"/>
      <c r="AY79" s="156"/>
      <c r="AZ79" s="156"/>
      <c r="BA79" s="156"/>
      <c r="BB79" s="156"/>
      <c r="BC79" s="156"/>
      <c r="BD79" s="156"/>
      <c r="BE79" s="96"/>
      <c r="BF79" s="156"/>
      <c r="BG79" s="156"/>
    </row>
    <row r="80" spans="1:59" s="17" customFormat="1" ht="15.75" hidden="1" customHeight="1">
      <c r="A80" s="101">
        <v>45084</v>
      </c>
      <c r="B80" s="114" t="s">
        <v>37</v>
      </c>
      <c r="C80" s="116"/>
      <c r="D80" s="118"/>
      <c r="E80" s="116"/>
      <c r="F80" s="116"/>
      <c r="G80" s="120"/>
      <c r="H80" s="109"/>
      <c r="I80" s="90"/>
      <c r="J80" s="90"/>
      <c r="K80" s="20"/>
      <c r="L80" s="20"/>
      <c r="M80" s="20"/>
      <c r="N80" s="97" t="e">
        <f>O81/L81</f>
        <v>#DIV/0!</v>
      </c>
      <c r="O80" s="21"/>
      <c r="P80" s="27"/>
      <c r="Q80" s="99">
        <f>+L81-P81</f>
        <v>0</v>
      </c>
      <c r="R80" s="101"/>
      <c r="S80" s="96"/>
      <c r="T80" s="96"/>
      <c r="U80" s="96"/>
      <c r="V80" s="96"/>
      <c r="W80" s="96"/>
      <c r="X80" s="96"/>
      <c r="Y80" s="96"/>
      <c r="Z80" s="96"/>
      <c r="AA80" s="96"/>
      <c r="AB80" s="96"/>
      <c r="AC80" s="96"/>
      <c r="AD80" s="96"/>
      <c r="AE80" s="96"/>
      <c r="AF80" s="96"/>
      <c r="AG80" s="96"/>
      <c r="AH80" s="96"/>
      <c r="AI80" s="96"/>
      <c r="AJ80" s="96"/>
      <c r="AK80" s="96"/>
      <c r="AL80" s="96"/>
      <c r="AM80" s="96"/>
      <c r="AN80" s="96"/>
      <c r="AO80" s="96"/>
      <c r="AP80" s="96"/>
      <c r="AQ80" s="96"/>
      <c r="AR80" s="96"/>
      <c r="AS80" s="96"/>
      <c r="AT80" s="96"/>
      <c r="AU80" s="96"/>
      <c r="AV80" s="96"/>
      <c r="AW80" s="96"/>
      <c r="AX80" s="96"/>
      <c r="AY80" s="155"/>
      <c r="AZ80" s="155"/>
      <c r="BA80" s="155"/>
      <c r="BB80" s="155"/>
      <c r="BC80" s="155"/>
      <c r="BD80" s="155"/>
      <c r="BE80" s="96"/>
      <c r="BF80" s="155"/>
      <c r="BG80" s="155"/>
    </row>
    <row r="81" spans="1:61" s="17" customFormat="1" ht="15.75" hidden="1" customHeight="1">
      <c r="A81" s="102"/>
      <c r="B81" s="115"/>
      <c r="C81" s="117"/>
      <c r="D81" s="119"/>
      <c r="E81" s="117"/>
      <c r="F81" s="117"/>
      <c r="G81" s="121"/>
      <c r="H81" s="95"/>
      <c r="I81" s="95"/>
      <c r="J81" s="95"/>
      <c r="K81" s="22"/>
      <c r="L81" s="18"/>
      <c r="M81" s="18"/>
      <c r="N81" s="98"/>
      <c r="O81" s="19"/>
      <c r="P81" s="22"/>
      <c r="Q81" s="100"/>
      <c r="R81" s="102"/>
      <c r="S81" s="96"/>
      <c r="T81" s="96"/>
      <c r="U81" s="96"/>
      <c r="V81" s="96"/>
      <c r="W81" s="96"/>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6"/>
      <c r="AY81" s="156"/>
      <c r="AZ81" s="156"/>
      <c r="BA81" s="156"/>
      <c r="BB81" s="156"/>
      <c r="BC81" s="156"/>
      <c r="BD81" s="156"/>
      <c r="BE81" s="96"/>
      <c r="BF81" s="156"/>
      <c r="BG81" s="156"/>
    </row>
    <row r="82" spans="1:61" ht="24.75" hidden="1" customHeight="1">
      <c r="A82" s="111" t="s">
        <v>40</v>
      </c>
      <c r="B82" s="112"/>
      <c r="C82" s="112"/>
      <c r="D82" s="112"/>
      <c r="E82" s="112"/>
      <c r="F82" s="112"/>
      <c r="G82" s="112"/>
      <c r="H82" s="112"/>
      <c r="I82" s="113"/>
      <c r="J82" s="5">
        <f>SUM(J72:J81)</f>
        <v>0</v>
      </c>
      <c r="K82" s="5">
        <f>+SUMPRODUCT(((MOD(ROW(K72:K79),2)=0)*(K72:K79)))</f>
        <v>0</v>
      </c>
      <c r="L82" s="5">
        <f>+SUMPRODUCT(((MOD(ROW(L72:L79),2)=0)*(L72:L79)))</f>
        <v>0</v>
      </c>
      <c r="M82" s="5">
        <f>+SUMPRODUCT(((MOD(ROW(M72:M79),2)=0)*(M72:M79)))</f>
        <v>0</v>
      </c>
      <c r="N82" s="6" t="e">
        <f>O82/L82</f>
        <v>#DIV/0!</v>
      </c>
      <c r="O82" s="5">
        <f>+SUMPRODUCT(((MOD(ROW(O72:O79),2)=0)*(O72:O79)))</f>
        <v>0</v>
      </c>
      <c r="P82" s="5">
        <f>+SUMPRODUCT(((MOD(ROW(P72:P79),2)=0)*(P72:P79)))</f>
        <v>0</v>
      </c>
      <c r="Q82" s="29">
        <f>SUM(Q72:Q81)</f>
        <v>0</v>
      </c>
      <c r="R82" s="29"/>
      <c r="S82" s="29">
        <f t="shared" ref="S82:BG82" si="23">SUM(S72:S81)</f>
        <v>0</v>
      </c>
      <c r="T82" s="29">
        <f t="shared" si="23"/>
        <v>0</v>
      </c>
      <c r="U82" s="29">
        <f t="shared" si="23"/>
        <v>0</v>
      </c>
      <c r="V82" s="29">
        <f t="shared" si="23"/>
        <v>0</v>
      </c>
      <c r="W82" s="29">
        <f t="shared" si="23"/>
        <v>0</v>
      </c>
      <c r="X82" s="29">
        <f t="shared" si="23"/>
        <v>0</v>
      </c>
      <c r="Y82" s="29">
        <f t="shared" si="23"/>
        <v>0</v>
      </c>
      <c r="Z82" s="29">
        <f t="shared" si="23"/>
        <v>0</v>
      </c>
      <c r="AA82" s="29">
        <f t="shared" si="23"/>
        <v>0</v>
      </c>
      <c r="AB82" s="29">
        <f t="shared" si="23"/>
        <v>0</v>
      </c>
      <c r="AC82" s="29">
        <f t="shared" si="23"/>
        <v>0</v>
      </c>
      <c r="AD82" s="29">
        <f t="shared" si="23"/>
        <v>0</v>
      </c>
      <c r="AE82" s="29">
        <f t="shared" si="23"/>
        <v>0</v>
      </c>
      <c r="AF82" s="29">
        <f t="shared" si="23"/>
        <v>0</v>
      </c>
      <c r="AG82" s="29">
        <f t="shared" si="23"/>
        <v>0</v>
      </c>
      <c r="AH82" s="29">
        <f t="shared" si="23"/>
        <v>0</v>
      </c>
      <c r="AI82" s="29">
        <f t="shared" si="23"/>
        <v>0</v>
      </c>
      <c r="AJ82" s="29">
        <f t="shared" si="23"/>
        <v>0</v>
      </c>
      <c r="AK82" s="29">
        <f t="shared" si="23"/>
        <v>0</v>
      </c>
      <c r="AL82" s="29">
        <f t="shared" si="23"/>
        <v>0</v>
      </c>
      <c r="AM82" s="29">
        <f t="shared" si="23"/>
        <v>0</v>
      </c>
      <c r="AN82" s="29">
        <f t="shared" si="23"/>
        <v>0</v>
      </c>
      <c r="AO82" s="29">
        <f t="shared" si="23"/>
        <v>0</v>
      </c>
      <c r="AP82" s="29">
        <f t="shared" si="23"/>
        <v>0</v>
      </c>
      <c r="AQ82" s="29">
        <f t="shared" si="23"/>
        <v>0</v>
      </c>
      <c r="AR82" s="29">
        <f t="shared" si="23"/>
        <v>0</v>
      </c>
      <c r="AS82" s="29">
        <f t="shared" si="23"/>
        <v>0</v>
      </c>
      <c r="AT82" s="29">
        <f t="shared" si="23"/>
        <v>0</v>
      </c>
      <c r="AU82" s="29">
        <f t="shared" si="23"/>
        <v>0</v>
      </c>
      <c r="AV82" s="29">
        <f t="shared" si="23"/>
        <v>0</v>
      </c>
      <c r="AW82" s="29">
        <f t="shared" si="23"/>
        <v>0</v>
      </c>
      <c r="AX82" s="29">
        <f t="shared" si="23"/>
        <v>0</v>
      </c>
      <c r="AY82" s="29">
        <f t="shared" si="23"/>
        <v>0</v>
      </c>
      <c r="AZ82" s="29">
        <f t="shared" si="23"/>
        <v>0</v>
      </c>
      <c r="BA82" s="29">
        <f t="shared" si="23"/>
        <v>0</v>
      </c>
      <c r="BB82" s="29">
        <f t="shared" si="23"/>
        <v>0</v>
      </c>
      <c r="BC82" s="29">
        <f t="shared" si="23"/>
        <v>0</v>
      </c>
      <c r="BD82" s="29">
        <f t="shared" si="23"/>
        <v>0</v>
      </c>
      <c r="BE82" s="29">
        <f t="shared" si="23"/>
        <v>0</v>
      </c>
      <c r="BF82" s="29">
        <f t="shared" si="23"/>
        <v>0</v>
      </c>
      <c r="BG82" s="29">
        <f t="shared" si="23"/>
        <v>0</v>
      </c>
      <c r="BH82" s="17"/>
      <c r="BI82" s="17"/>
    </row>
    <row r="83" spans="1:61" s="17" customFormat="1" ht="15.75" hidden="1" customHeight="1">
      <c r="A83" s="101"/>
      <c r="B83" s="114"/>
      <c r="C83" s="116"/>
      <c r="D83" s="118"/>
      <c r="E83" s="116"/>
      <c r="F83" s="116"/>
      <c r="G83" s="120"/>
      <c r="H83" s="109"/>
      <c r="I83" s="90"/>
      <c r="J83" s="90"/>
      <c r="K83" s="20"/>
      <c r="L83" s="20"/>
      <c r="M83" s="20"/>
      <c r="N83" s="97"/>
      <c r="O83" s="21"/>
      <c r="P83" s="27"/>
      <c r="Q83" s="99"/>
      <c r="R83" s="154"/>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5"/>
      <c r="AZ83" s="155"/>
      <c r="BA83" s="155"/>
      <c r="BB83" s="155"/>
      <c r="BC83" s="155"/>
      <c r="BD83" s="155"/>
      <c r="BE83" s="96"/>
      <c r="BF83" s="155"/>
      <c r="BG83" s="155"/>
    </row>
    <row r="84" spans="1:61" s="17" customFormat="1" ht="15.75" hidden="1" customHeight="1">
      <c r="A84" s="102"/>
      <c r="B84" s="115"/>
      <c r="C84" s="117"/>
      <c r="D84" s="119"/>
      <c r="E84" s="117"/>
      <c r="F84" s="117"/>
      <c r="G84" s="121"/>
      <c r="H84" s="95"/>
      <c r="I84" s="95"/>
      <c r="J84" s="95"/>
      <c r="K84" s="22"/>
      <c r="L84" s="18"/>
      <c r="M84" s="18"/>
      <c r="N84" s="98"/>
      <c r="O84" s="19"/>
      <c r="P84" s="22"/>
      <c r="Q84" s="100"/>
      <c r="R84" s="101"/>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6"/>
      <c r="AZ84" s="156"/>
      <c r="BA84" s="156"/>
      <c r="BB84" s="156"/>
      <c r="BC84" s="156"/>
      <c r="BD84" s="156"/>
      <c r="BE84" s="96"/>
      <c r="BF84" s="156"/>
      <c r="BG84" s="156"/>
    </row>
    <row r="85" spans="1:61" s="17" customFormat="1" ht="15.75" hidden="1" customHeight="1">
      <c r="A85" s="101"/>
      <c r="B85" s="114"/>
      <c r="C85" s="116"/>
      <c r="D85" s="118"/>
      <c r="E85" s="116"/>
      <c r="F85" s="116"/>
      <c r="G85" s="120"/>
      <c r="H85" s="90"/>
      <c r="I85" s="90"/>
      <c r="J85" s="90"/>
      <c r="K85" s="20"/>
      <c r="L85" s="20"/>
      <c r="M85" s="20"/>
      <c r="N85" s="97"/>
      <c r="O85" s="21"/>
      <c r="P85" s="27"/>
      <c r="Q85" s="99"/>
      <c r="R85" s="154"/>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5"/>
      <c r="AZ85" s="155"/>
      <c r="BA85" s="155"/>
      <c r="BB85" s="155"/>
      <c r="BC85" s="155"/>
      <c r="BD85" s="155"/>
      <c r="BE85" s="96"/>
      <c r="BF85" s="155"/>
      <c r="BG85" s="155"/>
    </row>
    <row r="86" spans="1:61" s="17" customFormat="1" ht="15.75" hidden="1" customHeight="1">
      <c r="A86" s="102"/>
      <c r="B86" s="115"/>
      <c r="C86" s="117"/>
      <c r="D86" s="119"/>
      <c r="E86" s="117"/>
      <c r="F86" s="117"/>
      <c r="G86" s="121"/>
      <c r="H86" s="95"/>
      <c r="I86" s="95"/>
      <c r="J86" s="95"/>
      <c r="K86" s="22"/>
      <c r="L86" s="18"/>
      <c r="M86" s="18"/>
      <c r="N86" s="98"/>
      <c r="O86" s="19"/>
      <c r="P86" s="22"/>
      <c r="Q86" s="100"/>
      <c r="R86" s="101"/>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6"/>
      <c r="AZ86" s="156"/>
      <c r="BA86" s="156"/>
      <c r="BB86" s="156"/>
      <c r="BC86" s="156"/>
      <c r="BD86" s="156"/>
      <c r="BE86" s="96"/>
      <c r="BF86" s="156"/>
      <c r="BG86" s="156"/>
    </row>
    <row r="87" spans="1:61" s="17" customFormat="1" ht="15.75" hidden="1" customHeight="1">
      <c r="A87" s="101">
        <v>45163</v>
      </c>
      <c r="B87" s="114" t="s">
        <v>37</v>
      </c>
      <c r="C87" s="116"/>
      <c r="D87" s="118"/>
      <c r="E87" s="116"/>
      <c r="F87" s="116"/>
      <c r="G87" s="120"/>
      <c r="H87" s="90"/>
      <c r="I87" s="90"/>
      <c r="J87" s="90"/>
      <c r="K87" s="20"/>
      <c r="L87" s="20"/>
      <c r="M87" s="20"/>
      <c r="N87" s="97" t="e">
        <f>O88/L88</f>
        <v>#DIV/0!</v>
      </c>
      <c r="O87" s="21">
        <f>L87-M87</f>
        <v>0</v>
      </c>
      <c r="P87" s="27"/>
      <c r="Q87" s="99">
        <f>+L88-P88</f>
        <v>0</v>
      </c>
      <c r="R87" s="154"/>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5"/>
      <c r="AZ87" s="155"/>
      <c r="BA87" s="155"/>
      <c r="BB87" s="155"/>
      <c r="BC87" s="155"/>
      <c r="BD87" s="155"/>
      <c r="BE87" s="96"/>
      <c r="BF87" s="155"/>
      <c r="BG87" s="155"/>
    </row>
    <row r="88" spans="1:61" s="17" customFormat="1" ht="15.75" hidden="1" customHeight="1">
      <c r="A88" s="102"/>
      <c r="B88" s="115"/>
      <c r="C88" s="117"/>
      <c r="D88" s="119"/>
      <c r="E88" s="117"/>
      <c r="F88" s="117"/>
      <c r="G88" s="121"/>
      <c r="H88" s="95"/>
      <c r="I88" s="95"/>
      <c r="J88" s="95"/>
      <c r="K88" s="22"/>
      <c r="L88" s="18"/>
      <c r="M88" s="18"/>
      <c r="N88" s="98"/>
      <c r="O88" s="19">
        <f>L88-M88</f>
        <v>0</v>
      </c>
      <c r="P88" s="22"/>
      <c r="Q88" s="100"/>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6"/>
      <c r="AZ88" s="156"/>
      <c r="BA88" s="156"/>
      <c r="BB88" s="156"/>
      <c r="BC88" s="156"/>
      <c r="BD88" s="156"/>
      <c r="BE88" s="96"/>
      <c r="BF88" s="156"/>
      <c r="BG88" s="156"/>
    </row>
    <row r="89" spans="1:61" s="17" customFormat="1" ht="15.75" hidden="1" customHeight="1">
      <c r="A89" s="101">
        <v>45163</v>
      </c>
      <c r="B89" s="114" t="s">
        <v>37</v>
      </c>
      <c r="C89" s="116"/>
      <c r="D89" s="118"/>
      <c r="E89" s="116"/>
      <c r="F89" s="116"/>
      <c r="G89" s="120"/>
      <c r="H89" s="90"/>
      <c r="I89" s="90"/>
      <c r="J89" s="90"/>
      <c r="K89" s="20"/>
      <c r="L89" s="20"/>
      <c r="M89" s="20"/>
      <c r="N89" s="97" t="e">
        <f>O90/L90</f>
        <v>#DIV/0!</v>
      </c>
      <c r="O89" s="21">
        <f>L89-M89</f>
        <v>0</v>
      </c>
      <c r="P89" s="27"/>
      <c r="Q89" s="99">
        <f>+L90-P90</f>
        <v>0</v>
      </c>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f>L90-M90</f>
        <v>0</v>
      </c>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c r="BH90" s="1"/>
      <c r="BI90" s="1"/>
    </row>
    <row r="91" spans="1:61" ht="24.75" hidden="1" customHeight="1">
      <c r="A91" s="111" t="s">
        <v>48</v>
      </c>
      <c r="B91" s="112"/>
      <c r="C91" s="112"/>
      <c r="D91" s="112"/>
      <c r="E91" s="112"/>
      <c r="F91" s="112"/>
      <c r="G91" s="112"/>
      <c r="H91" s="112"/>
      <c r="I91" s="113"/>
      <c r="J91" s="5">
        <f>SUM(J83:J90)</f>
        <v>0</v>
      </c>
      <c r="K91" s="5">
        <f>+SUMPRODUCT(((MOD(ROW(K83:K90),2)=0)*(K83:K90)))</f>
        <v>0</v>
      </c>
      <c r="L91" s="5">
        <f>+SUMPRODUCT(((MOD(ROW(L83:L90),2)=0)*(L83:L90)))</f>
        <v>0</v>
      </c>
      <c r="M91" s="5">
        <f>+SUMPRODUCT(((MOD(ROW(M83:M90),2)=0)*(M83:M90)))</f>
        <v>0</v>
      </c>
      <c r="N91" s="6" t="e">
        <f>O91/L91</f>
        <v>#DIV/0!</v>
      </c>
      <c r="O91" s="5">
        <f>+SUMPRODUCT(((MOD(ROW(O83:O90),2)=0)*(O83:O90)))</f>
        <v>0</v>
      </c>
      <c r="P91" s="5">
        <f>+SUMPRODUCT(((MOD(ROW(P83:P90),2)=0)*(P83:P90)))</f>
        <v>0</v>
      </c>
      <c r="Q91" s="29">
        <f>SUM(Q83:Q90)</f>
        <v>0</v>
      </c>
      <c r="R91" s="29"/>
      <c r="S91" s="29">
        <f t="shared" ref="S91:BG91" si="24">SUM(S83:S90)</f>
        <v>0</v>
      </c>
      <c r="T91" s="29">
        <f t="shared" si="24"/>
        <v>0</v>
      </c>
      <c r="U91" s="29">
        <f t="shared" si="24"/>
        <v>0</v>
      </c>
      <c r="V91" s="29">
        <f t="shared" si="24"/>
        <v>0</v>
      </c>
      <c r="W91" s="29">
        <f t="shared" si="24"/>
        <v>0</v>
      </c>
      <c r="X91" s="29">
        <f t="shared" si="24"/>
        <v>0</v>
      </c>
      <c r="Y91" s="29">
        <f t="shared" si="24"/>
        <v>0</v>
      </c>
      <c r="Z91" s="29">
        <f t="shared" si="24"/>
        <v>0</v>
      </c>
      <c r="AA91" s="29">
        <f t="shared" si="24"/>
        <v>0</v>
      </c>
      <c r="AB91" s="29">
        <f t="shared" si="24"/>
        <v>0</v>
      </c>
      <c r="AC91" s="29">
        <f t="shared" si="24"/>
        <v>0</v>
      </c>
      <c r="AD91" s="29">
        <f t="shared" si="24"/>
        <v>0</v>
      </c>
      <c r="AE91" s="29">
        <f t="shared" si="24"/>
        <v>0</v>
      </c>
      <c r="AF91" s="29">
        <f t="shared" si="24"/>
        <v>0</v>
      </c>
      <c r="AG91" s="29">
        <f t="shared" si="24"/>
        <v>0</v>
      </c>
      <c r="AH91" s="29">
        <f t="shared" si="24"/>
        <v>0</v>
      </c>
      <c r="AI91" s="29">
        <f t="shared" si="24"/>
        <v>0</v>
      </c>
      <c r="AJ91" s="29">
        <f t="shared" si="24"/>
        <v>0</v>
      </c>
      <c r="AK91" s="29">
        <f t="shared" si="24"/>
        <v>0</v>
      </c>
      <c r="AL91" s="29">
        <f t="shared" si="24"/>
        <v>0</v>
      </c>
      <c r="AM91" s="29">
        <f t="shared" si="24"/>
        <v>0</v>
      </c>
      <c r="AN91" s="29">
        <f t="shared" si="24"/>
        <v>0</v>
      </c>
      <c r="AO91" s="29">
        <f t="shared" si="24"/>
        <v>0</v>
      </c>
      <c r="AP91" s="29">
        <f t="shared" si="24"/>
        <v>0</v>
      </c>
      <c r="AQ91" s="29">
        <f t="shared" si="24"/>
        <v>0</v>
      </c>
      <c r="AR91" s="29">
        <f t="shared" si="24"/>
        <v>0</v>
      </c>
      <c r="AS91" s="29">
        <f t="shared" si="24"/>
        <v>0</v>
      </c>
      <c r="AT91" s="29">
        <f t="shared" si="24"/>
        <v>0</v>
      </c>
      <c r="AU91" s="29">
        <f t="shared" si="24"/>
        <v>0</v>
      </c>
      <c r="AV91" s="29">
        <f t="shared" si="24"/>
        <v>0</v>
      </c>
      <c r="AW91" s="29">
        <f t="shared" si="24"/>
        <v>0</v>
      </c>
      <c r="AX91" s="29">
        <f t="shared" si="24"/>
        <v>0</v>
      </c>
      <c r="AY91" s="29">
        <f t="shared" si="24"/>
        <v>0</v>
      </c>
      <c r="AZ91" s="29">
        <f t="shared" si="24"/>
        <v>0</v>
      </c>
      <c r="BA91" s="29">
        <f t="shared" si="24"/>
        <v>0</v>
      </c>
      <c r="BB91" s="29">
        <f t="shared" si="24"/>
        <v>0</v>
      </c>
      <c r="BC91" s="29">
        <f t="shared" si="24"/>
        <v>0</v>
      </c>
      <c r="BD91" s="29">
        <f t="shared" si="24"/>
        <v>0</v>
      </c>
      <c r="BE91" s="29">
        <f t="shared" si="24"/>
        <v>0</v>
      </c>
      <c r="BF91" s="29">
        <f t="shared" si="24"/>
        <v>0</v>
      </c>
      <c r="BG91" s="29">
        <f t="shared" si="24"/>
        <v>0</v>
      </c>
      <c r="BH91" s="17"/>
      <c r="BI91" s="17"/>
    </row>
    <row r="92" spans="1:61" s="17" customFormat="1" ht="15.75" hidden="1" customHeight="1">
      <c r="A92" s="101"/>
      <c r="B92" s="114"/>
      <c r="C92" s="116"/>
      <c r="D92" s="118"/>
      <c r="E92" s="157"/>
      <c r="F92" s="116"/>
      <c r="G92" s="120"/>
      <c r="H92" s="109"/>
      <c r="I92" s="90"/>
      <c r="J92" s="90"/>
      <c r="K92" s="20"/>
      <c r="L92" s="20"/>
      <c r="M92" s="20"/>
      <c r="N92" s="97"/>
      <c r="O92" s="21"/>
      <c r="P92" s="27"/>
      <c r="Q92" s="99"/>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5"/>
      <c r="AZ92" s="155"/>
      <c r="BA92" s="155"/>
      <c r="BB92" s="155"/>
      <c r="BC92" s="155"/>
      <c r="BD92" s="155"/>
      <c r="BE92" s="96"/>
      <c r="BF92" s="155"/>
      <c r="BG92" s="155"/>
    </row>
    <row r="93" spans="1:61" s="17" customFormat="1" ht="15.75" hidden="1" customHeight="1">
      <c r="A93" s="102"/>
      <c r="B93" s="115"/>
      <c r="C93" s="117"/>
      <c r="D93" s="119"/>
      <c r="E93" s="117"/>
      <c r="F93" s="117"/>
      <c r="G93" s="121"/>
      <c r="H93" s="95"/>
      <c r="I93" s="95"/>
      <c r="J93" s="95"/>
      <c r="K93" s="22"/>
      <c r="L93" s="18"/>
      <c r="M93" s="18"/>
      <c r="N93" s="98"/>
      <c r="O93" s="19"/>
      <c r="P93" s="22"/>
      <c r="Q93" s="100"/>
      <c r="R93" s="102"/>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6"/>
      <c r="AZ93" s="156"/>
      <c r="BA93" s="156"/>
      <c r="BB93" s="156"/>
      <c r="BC93" s="156"/>
      <c r="BD93" s="156"/>
      <c r="BE93" s="96"/>
      <c r="BF93" s="156"/>
      <c r="BG93" s="156"/>
    </row>
    <row r="94" spans="1:61" s="17" customFormat="1" ht="15.75" hidden="1" customHeight="1">
      <c r="A94" s="101">
        <v>45061</v>
      </c>
      <c r="B94" s="114" t="s">
        <v>37</v>
      </c>
      <c r="C94" s="116"/>
      <c r="D94" s="118"/>
      <c r="E94" s="157"/>
      <c r="F94" s="116"/>
      <c r="G94" s="120"/>
      <c r="H94" s="90"/>
      <c r="I94" s="90"/>
      <c r="J94" s="90"/>
      <c r="K94" s="20"/>
      <c r="L94" s="20"/>
      <c r="M94" s="20"/>
      <c r="N94" s="97" t="e">
        <f>O95/L95</f>
        <v>#DIV/0!</v>
      </c>
      <c r="O94" s="21">
        <f t="shared" ref="O94:O99" si="25">L94-M94</f>
        <v>0</v>
      </c>
      <c r="P94" s="27"/>
      <c r="Q94" s="99">
        <f>+L95-P95</f>
        <v>0</v>
      </c>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5"/>
      <c r="AZ94" s="155"/>
      <c r="BA94" s="155"/>
      <c r="BB94" s="155"/>
      <c r="BC94" s="155"/>
      <c r="BD94" s="155"/>
      <c r="BE94" s="96"/>
      <c r="BF94" s="155"/>
      <c r="BG94" s="155"/>
    </row>
    <row r="95" spans="1:61" s="17" customFormat="1" ht="15.75" hidden="1" customHeight="1">
      <c r="A95" s="102"/>
      <c r="B95" s="115"/>
      <c r="C95" s="117"/>
      <c r="D95" s="119"/>
      <c r="E95" s="117"/>
      <c r="F95" s="117"/>
      <c r="G95" s="121"/>
      <c r="H95" s="95"/>
      <c r="I95" s="95"/>
      <c r="J95" s="95"/>
      <c r="K95" s="22"/>
      <c r="L95" s="18"/>
      <c r="M95" s="18"/>
      <c r="N95" s="98"/>
      <c r="O95" s="19">
        <f t="shared" si="25"/>
        <v>0</v>
      </c>
      <c r="P95" s="22"/>
      <c r="Q95" s="100"/>
      <c r="R95" s="102"/>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6"/>
      <c r="AZ95" s="156"/>
      <c r="BA95" s="156"/>
      <c r="BB95" s="156"/>
      <c r="BC95" s="156"/>
      <c r="BD95" s="156"/>
      <c r="BE95" s="96"/>
      <c r="BF95" s="156"/>
      <c r="BG95" s="156"/>
    </row>
    <row r="96" spans="1:61" s="17" customFormat="1" ht="15.75" hidden="1" customHeight="1">
      <c r="A96" s="101">
        <v>44990</v>
      </c>
      <c r="B96" s="114" t="s">
        <v>37</v>
      </c>
      <c r="C96" s="116"/>
      <c r="D96" s="118"/>
      <c r="E96" s="116"/>
      <c r="F96" s="116"/>
      <c r="G96" s="120"/>
      <c r="H96" s="90"/>
      <c r="I96" s="90"/>
      <c r="J96" s="90"/>
      <c r="K96" s="20"/>
      <c r="L96" s="20"/>
      <c r="M96" s="20"/>
      <c r="N96" s="97" t="e">
        <f>O97/L97</f>
        <v>#DIV/0!</v>
      </c>
      <c r="O96" s="21">
        <f t="shared" si="25"/>
        <v>0</v>
      </c>
      <c r="P96" s="27"/>
      <c r="Q96" s="99">
        <f>+L97-P97</f>
        <v>0</v>
      </c>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5"/>
      <c r="AZ96" s="155"/>
      <c r="BA96" s="155"/>
      <c r="BB96" s="155"/>
      <c r="BC96" s="155"/>
      <c r="BD96" s="155"/>
      <c r="BE96" s="96"/>
      <c r="BF96" s="155"/>
      <c r="BG96" s="155"/>
    </row>
    <row r="97" spans="1:61" s="17" customFormat="1" ht="15.75" hidden="1" customHeight="1">
      <c r="A97" s="102"/>
      <c r="B97" s="115"/>
      <c r="C97" s="117"/>
      <c r="D97" s="119"/>
      <c r="E97" s="117"/>
      <c r="F97" s="117"/>
      <c r="G97" s="121"/>
      <c r="H97" s="95"/>
      <c r="I97" s="95"/>
      <c r="J97" s="95"/>
      <c r="K97" s="22"/>
      <c r="L97" s="18"/>
      <c r="M97" s="18"/>
      <c r="N97" s="98"/>
      <c r="O97" s="19">
        <f t="shared" si="25"/>
        <v>0</v>
      </c>
      <c r="P97" s="22"/>
      <c r="Q97" s="100"/>
      <c r="R97" s="102"/>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6"/>
      <c r="AZ97" s="156"/>
      <c r="BA97" s="156"/>
      <c r="BB97" s="156"/>
      <c r="BC97" s="156"/>
      <c r="BD97" s="156"/>
      <c r="BE97" s="96"/>
      <c r="BF97" s="156"/>
      <c r="BG97" s="156"/>
    </row>
    <row r="98" spans="1:61" s="17" customFormat="1" ht="15.75" hidden="1" customHeight="1">
      <c r="A98" s="101">
        <v>44990</v>
      </c>
      <c r="B98" s="114" t="s">
        <v>37</v>
      </c>
      <c r="C98" s="116"/>
      <c r="D98" s="118"/>
      <c r="E98" s="116"/>
      <c r="F98" s="116"/>
      <c r="G98" s="120"/>
      <c r="H98" s="90"/>
      <c r="I98" s="90"/>
      <c r="J98" s="90"/>
      <c r="K98" s="20"/>
      <c r="L98" s="20"/>
      <c r="M98" s="20"/>
      <c r="N98" s="97" t="e">
        <f>O99/L99</f>
        <v>#DIV/0!</v>
      </c>
      <c r="O98" s="21">
        <f t="shared" si="25"/>
        <v>0</v>
      </c>
      <c r="P98" s="27"/>
      <c r="Q98" s="99">
        <f>+L99-P99</f>
        <v>0</v>
      </c>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f t="shared" si="25"/>
        <v>0</v>
      </c>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c r="BH99" s="1"/>
      <c r="BI99" s="1"/>
    </row>
    <row r="100" spans="1:61" ht="24.75" hidden="1" customHeight="1">
      <c r="A100" s="111" t="s">
        <v>46</v>
      </c>
      <c r="B100" s="112"/>
      <c r="C100" s="112"/>
      <c r="D100" s="112"/>
      <c r="E100" s="112"/>
      <c r="F100" s="112"/>
      <c r="G100" s="112"/>
      <c r="H100" s="112"/>
      <c r="I100" s="113"/>
      <c r="J100" s="5">
        <f>SUM(J92:J99)</f>
        <v>0</v>
      </c>
      <c r="K100" s="5">
        <f>+SUMPRODUCT(((MOD(ROW(K92:K99),2)=0)*(K92:K99)))</f>
        <v>0</v>
      </c>
      <c r="L100" s="5">
        <f>+SUMPRODUCT(((MOD(ROW(L92:L99),2)=0)*(L92:L99)))</f>
        <v>0</v>
      </c>
      <c r="M100" s="5">
        <f>+SUMPRODUCT(((MOD(ROW(M92:M99),2)=0)*(M92:M99)))</f>
        <v>0</v>
      </c>
      <c r="N100" s="6" t="e">
        <f>O100/L100</f>
        <v>#DIV/0!</v>
      </c>
      <c r="O100" s="5">
        <f>+SUMPRODUCT(((MOD(ROW(O92:O99),2)=0)*(O92:O99)))</f>
        <v>0</v>
      </c>
      <c r="P100" s="5">
        <f>+SUMPRODUCT(((MOD(ROW(P92:P99),2)=0)*(P92:P99)))</f>
        <v>0</v>
      </c>
      <c r="Q100" s="29">
        <f>SUM(Q92:Q99)</f>
        <v>0</v>
      </c>
      <c r="R100" s="29"/>
      <c r="S100" s="29">
        <f t="shared" ref="S100:BG100" si="26">SUM(S92:S99)</f>
        <v>0</v>
      </c>
      <c r="T100" s="29">
        <f t="shared" si="26"/>
        <v>0</v>
      </c>
      <c r="U100" s="29">
        <f t="shared" si="26"/>
        <v>0</v>
      </c>
      <c r="V100" s="29">
        <f t="shared" si="26"/>
        <v>0</v>
      </c>
      <c r="W100" s="29">
        <f t="shared" si="26"/>
        <v>0</v>
      </c>
      <c r="X100" s="29">
        <f t="shared" si="26"/>
        <v>0</v>
      </c>
      <c r="Y100" s="29">
        <f t="shared" si="26"/>
        <v>0</v>
      </c>
      <c r="Z100" s="29">
        <f t="shared" si="26"/>
        <v>0</v>
      </c>
      <c r="AA100" s="29">
        <f t="shared" si="26"/>
        <v>0</v>
      </c>
      <c r="AB100" s="29">
        <f t="shared" si="26"/>
        <v>0</v>
      </c>
      <c r="AC100" s="29">
        <f t="shared" si="26"/>
        <v>0</v>
      </c>
      <c r="AD100" s="29">
        <f t="shared" si="26"/>
        <v>0</v>
      </c>
      <c r="AE100" s="29">
        <f t="shared" si="26"/>
        <v>0</v>
      </c>
      <c r="AF100" s="29">
        <f t="shared" si="26"/>
        <v>0</v>
      </c>
      <c r="AG100" s="29">
        <f t="shared" si="26"/>
        <v>0</v>
      </c>
      <c r="AH100" s="29">
        <f t="shared" si="26"/>
        <v>0</v>
      </c>
      <c r="AI100" s="29">
        <f t="shared" si="26"/>
        <v>0</v>
      </c>
      <c r="AJ100" s="29">
        <f t="shared" si="26"/>
        <v>0</v>
      </c>
      <c r="AK100" s="29">
        <f t="shared" si="26"/>
        <v>0</v>
      </c>
      <c r="AL100" s="29">
        <f t="shared" si="26"/>
        <v>0</v>
      </c>
      <c r="AM100" s="29">
        <f t="shared" si="26"/>
        <v>0</v>
      </c>
      <c r="AN100" s="29">
        <f t="shared" si="26"/>
        <v>0</v>
      </c>
      <c r="AO100" s="29">
        <f t="shared" si="26"/>
        <v>0</v>
      </c>
      <c r="AP100" s="29">
        <f t="shared" si="26"/>
        <v>0</v>
      </c>
      <c r="AQ100" s="29">
        <f t="shared" si="26"/>
        <v>0</v>
      </c>
      <c r="AR100" s="29">
        <f t="shared" si="26"/>
        <v>0</v>
      </c>
      <c r="AS100" s="29">
        <f t="shared" si="26"/>
        <v>0</v>
      </c>
      <c r="AT100" s="29">
        <f t="shared" si="26"/>
        <v>0</v>
      </c>
      <c r="AU100" s="29">
        <f t="shared" si="26"/>
        <v>0</v>
      </c>
      <c r="AV100" s="29">
        <f t="shared" si="26"/>
        <v>0</v>
      </c>
      <c r="AW100" s="29">
        <f t="shared" si="26"/>
        <v>0</v>
      </c>
      <c r="AX100" s="29">
        <f t="shared" si="26"/>
        <v>0</v>
      </c>
      <c r="AY100" s="29">
        <f t="shared" si="26"/>
        <v>0</v>
      </c>
      <c r="AZ100" s="29">
        <f t="shared" si="26"/>
        <v>0</v>
      </c>
      <c r="BA100" s="29">
        <f t="shared" si="26"/>
        <v>0</v>
      </c>
      <c r="BB100" s="29">
        <f t="shared" si="26"/>
        <v>0</v>
      </c>
      <c r="BC100" s="29">
        <f t="shared" si="26"/>
        <v>0</v>
      </c>
      <c r="BD100" s="29">
        <f t="shared" si="26"/>
        <v>0</v>
      </c>
      <c r="BE100" s="29">
        <f t="shared" si="26"/>
        <v>0</v>
      </c>
      <c r="BF100" s="29">
        <f t="shared" si="26"/>
        <v>0</v>
      </c>
      <c r="BG100" s="29">
        <f t="shared" si="26"/>
        <v>0</v>
      </c>
    </row>
    <row r="101" spans="1:61" ht="24.75" customHeight="1">
      <c r="A101" s="122" t="s">
        <v>5</v>
      </c>
      <c r="B101" s="122"/>
      <c r="C101" s="122"/>
      <c r="D101" s="122"/>
      <c r="E101" s="122"/>
      <c r="F101" s="122"/>
      <c r="G101" s="122"/>
      <c r="H101" s="122"/>
      <c r="I101" s="122"/>
      <c r="J101" s="4">
        <f>J71+J82+J91+J100</f>
        <v>4754</v>
      </c>
      <c r="K101" s="4">
        <f>K71+K82+K91+K100</f>
        <v>100</v>
      </c>
      <c r="L101" s="4">
        <f>L71+L82+L91+L100</f>
        <v>0</v>
      </c>
      <c r="M101" s="4">
        <f>M71+M82+M91+M100</f>
        <v>0</v>
      </c>
      <c r="N101" s="33" t="e">
        <f>O101/L101</f>
        <v>#DIV/0!</v>
      </c>
      <c r="O101" s="4">
        <f>O71+O82+O91+O100</f>
        <v>0</v>
      </c>
      <c r="P101" s="31">
        <f>P71+P82+P91+P100</f>
        <v>112</v>
      </c>
      <c r="Q101" s="31">
        <f>Q71+Q82+Q91+Q100</f>
        <v>50</v>
      </c>
      <c r="R101" s="4"/>
      <c r="S101" s="31">
        <f t="shared" ref="S101:BG101" si="27">S71+S82+S91+S100</f>
        <v>0</v>
      </c>
      <c r="T101" s="31">
        <f t="shared" si="27"/>
        <v>0</v>
      </c>
      <c r="U101" s="31">
        <f t="shared" si="27"/>
        <v>0</v>
      </c>
      <c r="V101" s="31">
        <f t="shared" si="27"/>
        <v>0</v>
      </c>
      <c r="W101" s="31">
        <f t="shared" si="27"/>
        <v>0</v>
      </c>
      <c r="X101" s="31">
        <f t="shared" si="27"/>
        <v>0</v>
      </c>
      <c r="Y101" s="31">
        <f t="shared" si="27"/>
        <v>0</v>
      </c>
      <c r="Z101" s="31">
        <f t="shared" si="27"/>
        <v>0</v>
      </c>
      <c r="AA101" s="31">
        <f t="shared" si="27"/>
        <v>0</v>
      </c>
      <c r="AB101" s="31">
        <f t="shared" si="27"/>
        <v>0</v>
      </c>
      <c r="AC101" s="31">
        <f t="shared" si="27"/>
        <v>0</v>
      </c>
      <c r="AD101" s="31">
        <f t="shared" si="27"/>
        <v>0</v>
      </c>
      <c r="AE101" s="31">
        <f t="shared" si="27"/>
        <v>0</v>
      </c>
      <c r="AF101" s="31">
        <f t="shared" si="27"/>
        <v>0</v>
      </c>
      <c r="AG101" s="31">
        <f t="shared" si="27"/>
        <v>0</v>
      </c>
      <c r="AH101" s="31">
        <f t="shared" si="27"/>
        <v>0</v>
      </c>
      <c r="AI101" s="31">
        <f t="shared" si="27"/>
        <v>0</v>
      </c>
      <c r="AJ101" s="31">
        <f t="shared" si="27"/>
        <v>0</v>
      </c>
      <c r="AK101" s="31">
        <f t="shared" si="27"/>
        <v>0</v>
      </c>
      <c r="AL101" s="31">
        <f t="shared" si="27"/>
        <v>0</v>
      </c>
      <c r="AM101" s="31">
        <f t="shared" si="27"/>
        <v>0</v>
      </c>
      <c r="AN101" s="31">
        <f t="shared" si="27"/>
        <v>0</v>
      </c>
      <c r="AO101" s="31">
        <f t="shared" si="27"/>
        <v>0</v>
      </c>
      <c r="AP101" s="31">
        <f t="shared" si="27"/>
        <v>0</v>
      </c>
      <c r="AQ101" s="31">
        <f t="shared" si="27"/>
        <v>0</v>
      </c>
      <c r="AR101" s="31">
        <f t="shared" si="27"/>
        <v>0</v>
      </c>
      <c r="AS101" s="31">
        <f t="shared" si="27"/>
        <v>0</v>
      </c>
      <c r="AT101" s="31">
        <f t="shared" si="27"/>
        <v>0</v>
      </c>
      <c r="AU101" s="31">
        <f t="shared" si="27"/>
        <v>0</v>
      </c>
      <c r="AV101" s="31">
        <f t="shared" si="27"/>
        <v>0</v>
      </c>
      <c r="AW101" s="31">
        <f t="shared" si="27"/>
        <v>0</v>
      </c>
      <c r="AX101" s="31">
        <f t="shared" si="27"/>
        <v>0</v>
      </c>
      <c r="AY101" s="31">
        <f t="shared" si="27"/>
        <v>0</v>
      </c>
      <c r="AZ101" s="31">
        <f t="shared" si="27"/>
        <v>0</v>
      </c>
      <c r="BA101" s="31">
        <f t="shared" si="27"/>
        <v>0</v>
      </c>
      <c r="BB101" s="31">
        <f t="shared" si="27"/>
        <v>0</v>
      </c>
      <c r="BC101" s="31">
        <f t="shared" si="27"/>
        <v>0</v>
      </c>
      <c r="BD101" s="31">
        <f t="shared" si="27"/>
        <v>0</v>
      </c>
      <c r="BE101" s="31">
        <f t="shared" si="27"/>
        <v>0</v>
      </c>
      <c r="BF101" s="31">
        <f t="shared" si="27"/>
        <v>0</v>
      </c>
      <c r="BG101" s="31">
        <f t="shared" si="27"/>
        <v>0</v>
      </c>
    </row>
    <row r="104" spans="1:61" s="25" customFormat="1" ht="35.25" customHeight="1">
      <c r="A104" s="2"/>
      <c r="B104" s="2"/>
      <c r="C104" s="2"/>
      <c r="D104" s="1"/>
      <c r="E104" s="1"/>
      <c r="F104" s="1"/>
      <c r="G104" s="1"/>
      <c r="H104" s="1"/>
      <c r="I104" s="1"/>
      <c r="J104" s="1"/>
      <c r="K104" s="35"/>
      <c r="L104" s="35"/>
      <c r="M104" s="35"/>
      <c r="N104" s="35"/>
      <c r="O104" s="35"/>
      <c r="P104" s="35"/>
      <c r="Q104" s="36"/>
      <c r="S104" s="8"/>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row>
    <row r="107" spans="1:61" s="25" customFormat="1" ht="33" customHeight="1">
      <c r="A107" s="2"/>
      <c r="B107" s="2"/>
      <c r="C107" s="2"/>
      <c r="D107" s="1"/>
      <c r="E107" s="1"/>
      <c r="F107" s="1"/>
      <c r="G107" s="1"/>
      <c r="H107" s="1"/>
      <c r="I107" s="1"/>
      <c r="J107" s="1"/>
      <c r="K107" s="1"/>
      <c r="L107" s="1"/>
      <c r="M107" s="1"/>
      <c r="N107" s="1"/>
      <c r="O107" s="1"/>
      <c r="S107" s="8"/>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row>
  </sheetData>
  <mergeCells count="2364">
    <mergeCell ref="BA35:BA36"/>
    <mergeCell ref="BB35:BB36"/>
    <mergeCell ref="BC35:BC36"/>
    <mergeCell ref="BD35:BD36"/>
    <mergeCell ref="BG35:BG36"/>
    <mergeCell ref="AN35:AN36"/>
    <mergeCell ref="AO35:AO36"/>
    <mergeCell ref="AP35:AP36"/>
    <mergeCell ref="AQ35:AQ36"/>
    <mergeCell ref="AR35:AR36"/>
    <mergeCell ref="AS35:AS36"/>
    <mergeCell ref="AT35:AT36"/>
    <mergeCell ref="AU35:AU36"/>
    <mergeCell ref="AV35:AV36"/>
    <mergeCell ref="AJ35:AJ36"/>
    <mergeCell ref="AK35:AK36"/>
    <mergeCell ref="AL35:AL36"/>
    <mergeCell ref="AM35:AM36"/>
    <mergeCell ref="BE35:BE36"/>
    <mergeCell ref="BF35:BF36"/>
    <mergeCell ref="AW35:AW36"/>
    <mergeCell ref="AX35:AX36"/>
    <mergeCell ref="AY35:AY36"/>
    <mergeCell ref="AZ35:AZ36"/>
    <mergeCell ref="AD35:AD36"/>
    <mergeCell ref="AE35:AE36"/>
    <mergeCell ref="AF35:AF36"/>
    <mergeCell ref="AG35:AG36"/>
    <mergeCell ref="AH35:AH36"/>
    <mergeCell ref="AI35:AI36"/>
    <mergeCell ref="X35:X36"/>
    <mergeCell ref="Y35:Y36"/>
    <mergeCell ref="Z35:Z36"/>
    <mergeCell ref="AA35:AA36"/>
    <mergeCell ref="AB35:AB36"/>
    <mergeCell ref="AC35:AC36"/>
    <mergeCell ref="R35:R36"/>
    <mergeCell ref="S35:S36"/>
    <mergeCell ref="T35:T36"/>
    <mergeCell ref="U35:U36"/>
    <mergeCell ref="V35:V36"/>
    <mergeCell ref="W35:W36"/>
    <mergeCell ref="G35:G36"/>
    <mergeCell ref="H35:H36"/>
    <mergeCell ref="I35:I36"/>
    <mergeCell ref="J35:J36"/>
    <mergeCell ref="N35:N36"/>
    <mergeCell ref="Q35:Q36"/>
    <mergeCell ref="A35:A36"/>
    <mergeCell ref="B35:B36"/>
    <mergeCell ref="C35:C36"/>
    <mergeCell ref="D35:D36"/>
    <mergeCell ref="E35:E36"/>
    <mergeCell ref="F35:F36"/>
    <mergeCell ref="A1:O1"/>
    <mergeCell ref="A2:O2"/>
    <mergeCell ref="S3:S4"/>
    <mergeCell ref="T3:T4"/>
    <mergeCell ref="U3:U4"/>
    <mergeCell ref="A7:A8"/>
    <mergeCell ref="B7:B8"/>
    <mergeCell ref="C7:C8"/>
    <mergeCell ref="D7:D8"/>
    <mergeCell ref="E7:E8"/>
    <mergeCell ref="A13:A14"/>
    <mergeCell ref="B13:B14"/>
    <mergeCell ref="C13:C14"/>
    <mergeCell ref="D13:D14"/>
    <mergeCell ref="E13:E14"/>
    <mergeCell ref="F13:F14"/>
    <mergeCell ref="G13:G14"/>
    <mergeCell ref="H13:H14"/>
    <mergeCell ref="I13:I14"/>
    <mergeCell ref="J13:J14"/>
    <mergeCell ref="V3:V4"/>
    <mergeCell ref="W3:W4"/>
    <mergeCell ref="X3:X4"/>
    <mergeCell ref="Y3:Y4"/>
    <mergeCell ref="Z3:Z4"/>
    <mergeCell ref="AA3:AA4"/>
    <mergeCell ref="AB3:AB4"/>
    <mergeCell ref="AC3:AC4"/>
    <mergeCell ref="AD3:AD4"/>
    <mergeCell ref="AE3:AE4"/>
    <mergeCell ref="AF3:AF4"/>
    <mergeCell ref="AG3:AG4"/>
    <mergeCell ref="AH3:AH4"/>
    <mergeCell ref="AS3:AS4"/>
    <mergeCell ref="AT3:AT4"/>
    <mergeCell ref="AI3:AI4"/>
    <mergeCell ref="AJ3:AJ4"/>
    <mergeCell ref="AK3:AK4"/>
    <mergeCell ref="AL3:AL4"/>
    <mergeCell ref="AM3:AM4"/>
    <mergeCell ref="AN3:AN4"/>
    <mergeCell ref="BE3:BE4"/>
    <mergeCell ref="BF3:BF4"/>
    <mergeCell ref="AU3:AU4"/>
    <mergeCell ref="AV3:AV4"/>
    <mergeCell ref="AW3:AW4"/>
    <mergeCell ref="AX3:AX4"/>
    <mergeCell ref="AY3:AY4"/>
    <mergeCell ref="AZ3:AZ4"/>
    <mergeCell ref="H5:H6"/>
    <mergeCell ref="I5:I6"/>
    <mergeCell ref="BA3:BA4"/>
    <mergeCell ref="BB3:BB4"/>
    <mergeCell ref="BC3:BC4"/>
    <mergeCell ref="BD3:BD4"/>
    <mergeCell ref="AO3:AO4"/>
    <mergeCell ref="AP3:AP4"/>
    <mergeCell ref="AQ3:AQ4"/>
    <mergeCell ref="AR3:AR4"/>
    <mergeCell ref="AI5:AI6"/>
    <mergeCell ref="AJ5:AJ6"/>
    <mergeCell ref="AO5:AO6"/>
    <mergeCell ref="AP5:AP6"/>
    <mergeCell ref="AQ5:AQ6"/>
    <mergeCell ref="AR5:AR6"/>
    <mergeCell ref="AS5:AS6"/>
    <mergeCell ref="AT5:AT6"/>
    <mergeCell ref="AU5:AU6"/>
    <mergeCell ref="AV5:AV6"/>
    <mergeCell ref="AW5:AW6"/>
    <mergeCell ref="AX5:AX6"/>
    <mergeCell ref="BE5:BE6"/>
    <mergeCell ref="BF5:BF6"/>
    <mergeCell ref="BG3:BG4"/>
    <mergeCell ref="A5:A6"/>
    <mergeCell ref="B5:B6"/>
    <mergeCell ref="C5:C6"/>
    <mergeCell ref="D5:D6"/>
    <mergeCell ref="E5:E6"/>
    <mergeCell ref="F5:F6"/>
    <mergeCell ref="G5:G6"/>
    <mergeCell ref="J5:J6"/>
    <mergeCell ref="N5:N6"/>
    <mergeCell ref="Q5:Q6"/>
    <mergeCell ref="R5:R6"/>
    <mergeCell ref="S5:S6"/>
    <mergeCell ref="T5:T6"/>
    <mergeCell ref="U5:U6"/>
    <mergeCell ref="V5:V6"/>
    <mergeCell ref="W5:W6"/>
    <mergeCell ref="X5:X6"/>
    <mergeCell ref="Y5:Y6"/>
    <mergeCell ref="Z5:Z6"/>
    <mergeCell ref="AK5:AK6"/>
    <mergeCell ref="AL5:AL6"/>
    <mergeCell ref="AA5:AA6"/>
    <mergeCell ref="AB5:AB6"/>
    <mergeCell ref="AC5:AC6"/>
    <mergeCell ref="AD5:AD6"/>
    <mergeCell ref="AE5:AE6"/>
    <mergeCell ref="AF5:AF6"/>
    <mergeCell ref="AG5:AG6"/>
    <mergeCell ref="AH5:AH6"/>
    <mergeCell ref="AM5:AM6"/>
    <mergeCell ref="AN5:AN6"/>
    <mergeCell ref="BG5:BG6"/>
    <mergeCell ref="AY5:AY6"/>
    <mergeCell ref="AZ5:AZ6"/>
    <mergeCell ref="BA5:BA6"/>
    <mergeCell ref="BB5:BB6"/>
    <mergeCell ref="BC5:BC6"/>
    <mergeCell ref="BD5:BD6"/>
    <mergeCell ref="R7:R8"/>
    <mergeCell ref="S7:S8"/>
    <mergeCell ref="T7:T8"/>
    <mergeCell ref="U7:U8"/>
    <mergeCell ref="V7:V8"/>
    <mergeCell ref="F7:F8"/>
    <mergeCell ref="G7:G8"/>
    <mergeCell ref="H7:H8"/>
    <mergeCell ref="I7:I8"/>
    <mergeCell ref="J7:J8"/>
    <mergeCell ref="Q7:Q8"/>
    <mergeCell ref="N7:N8"/>
    <mergeCell ref="W7:W8"/>
    <mergeCell ref="X7:X8"/>
    <mergeCell ref="Y7:Y8"/>
    <mergeCell ref="Z7:Z8"/>
    <mergeCell ref="AA7:AA8"/>
    <mergeCell ref="AB7:AB8"/>
    <mergeCell ref="AC7:AC8"/>
    <mergeCell ref="AD7:AD8"/>
    <mergeCell ref="AE7:AE8"/>
    <mergeCell ref="AF7:AF8"/>
    <mergeCell ref="AG7:AG8"/>
    <mergeCell ref="AH7:AH8"/>
    <mergeCell ref="AI7:AI8"/>
    <mergeCell ref="AJ7:AJ8"/>
    <mergeCell ref="AK7:AK8"/>
    <mergeCell ref="AL7:AL8"/>
    <mergeCell ref="AM7:AM8"/>
    <mergeCell ref="AN7:AN8"/>
    <mergeCell ref="AO7:AO8"/>
    <mergeCell ref="AP7:AP8"/>
    <mergeCell ref="AQ7:AQ8"/>
    <mergeCell ref="AR7:AR8"/>
    <mergeCell ref="AS7:AS8"/>
    <mergeCell ref="AT7:AT8"/>
    <mergeCell ref="AU7:AU8"/>
    <mergeCell ref="AV7:AV8"/>
    <mergeCell ref="AW7:AW8"/>
    <mergeCell ref="AX7:AX8"/>
    <mergeCell ref="AY7:AY8"/>
    <mergeCell ref="AZ7:AZ8"/>
    <mergeCell ref="BA7:BA8"/>
    <mergeCell ref="BB7:BB8"/>
    <mergeCell ref="BC7:BC8"/>
    <mergeCell ref="BD7:BD8"/>
    <mergeCell ref="BE7:BE8"/>
    <mergeCell ref="BF7:BF8"/>
    <mergeCell ref="BG7:BG8"/>
    <mergeCell ref="A9:A10"/>
    <mergeCell ref="B9:B10"/>
    <mergeCell ref="C9:C10"/>
    <mergeCell ref="D9:D10"/>
    <mergeCell ref="E9:E10"/>
    <mergeCell ref="F9:F10"/>
    <mergeCell ref="G9:G10"/>
    <mergeCell ref="H9:H10"/>
    <mergeCell ref="I9:I10"/>
    <mergeCell ref="J9:J10"/>
    <mergeCell ref="N9:N10"/>
    <mergeCell ref="Q9:Q10"/>
    <mergeCell ref="R9:R10"/>
    <mergeCell ref="S9:S10"/>
    <mergeCell ref="T9:T10"/>
    <mergeCell ref="U9:U10"/>
    <mergeCell ref="V9:V10"/>
    <mergeCell ref="W9:W10"/>
    <mergeCell ref="X9:X10"/>
    <mergeCell ref="Y9:Y10"/>
    <mergeCell ref="Z9:Z10"/>
    <mergeCell ref="AA9:AA10"/>
    <mergeCell ref="AB9:AB10"/>
    <mergeCell ref="AC9:AC10"/>
    <mergeCell ref="AD9:AD10"/>
    <mergeCell ref="AE9:AE10"/>
    <mergeCell ref="AF9:AF10"/>
    <mergeCell ref="AG9:AG10"/>
    <mergeCell ref="AH9:AH10"/>
    <mergeCell ref="AI9:AI10"/>
    <mergeCell ref="AJ9:AJ10"/>
    <mergeCell ref="AK9:AK10"/>
    <mergeCell ref="AL9:AL10"/>
    <mergeCell ref="AM9:AM10"/>
    <mergeCell ref="AN9:AN10"/>
    <mergeCell ref="AO9:AO10"/>
    <mergeCell ref="AP9:AP10"/>
    <mergeCell ref="AQ9:AQ10"/>
    <mergeCell ref="AR9:AR10"/>
    <mergeCell ref="AS9:AS10"/>
    <mergeCell ref="AT9:AT10"/>
    <mergeCell ref="AU9:AU10"/>
    <mergeCell ref="AV9:AV10"/>
    <mergeCell ref="AW9:AW10"/>
    <mergeCell ref="AX9:AX10"/>
    <mergeCell ref="AY9:AY10"/>
    <mergeCell ref="AZ9:AZ10"/>
    <mergeCell ref="BA9:BA10"/>
    <mergeCell ref="BB9:BB10"/>
    <mergeCell ref="BC9:BC10"/>
    <mergeCell ref="BD9:BD10"/>
    <mergeCell ref="BE9:BE10"/>
    <mergeCell ref="BF9:BF10"/>
    <mergeCell ref="BG9:BG10"/>
    <mergeCell ref="A11:A12"/>
    <mergeCell ref="B11:B12"/>
    <mergeCell ref="C11:C12"/>
    <mergeCell ref="D11:D12"/>
    <mergeCell ref="E11:E12"/>
    <mergeCell ref="F11:F12"/>
    <mergeCell ref="G11:G12"/>
    <mergeCell ref="H11:H12"/>
    <mergeCell ref="I11:I12"/>
    <mergeCell ref="J11:J12"/>
    <mergeCell ref="N11:N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11:AF12"/>
    <mergeCell ref="AG11:AG12"/>
    <mergeCell ref="AH11:AH12"/>
    <mergeCell ref="AI11:AI12"/>
    <mergeCell ref="AJ11:AJ12"/>
    <mergeCell ref="AK11:AK12"/>
    <mergeCell ref="AL11:AL12"/>
    <mergeCell ref="AM11:AM12"/>
    <mergeCell ref="AN11:AN12"/>
    <mergeCell ref="AO11:AO12"/>
    <mergeCell ref="AP11:AP12"/>
    <mergeCell ref="AQ11:AQ12"/>
    <mergeCell ref="AR11:AR12"/>
    <mergeCell ref="AS11:AS12"/>
    <mergeCell ref="AT11:AT12"/>
    <mergeCell ref="AU11:AU12"/>
    <mergeCell ref="AV11:AV12"/>
    <mergeCell ref="AW11:AW12"/>
    <mergeCell ref="AX11:AX12"/>
    <mergeCell ref="AY11:AY12"/>
    <mergeCell ref="AZ11:AZ12"/>
    <mergeCell ref="BA11:BA12"/>
    <mergeCell ref="BB11:BB12"/>
    <mergeCell ref="BC11:BC12"/>
    <mergeCell ref="BD11:BD12"/>
    <mergeCell ref="BE11:BE12"/>
    <mergeCell ref="BF11:BF12"/>
    <mergeCell ref="BG11:BG12"/>
    <mergeCell ref="AV13:AV14"/>
    <mergeCell ref="AW13:AW14"/>
    <mergeCell ref="N13:N14"/>
    <mergeCell ref="Q13:Q14"/>
    <mergeCell ref="R13:R14"/>
    <mergeCell ref="S13:S14"/>
    <mergeCell ref="T13:T14"/>
    <mergeCell ref="U13:U14"/>
    <mergeCell ref="V13:V14"/>
    <mergeCell ref="W13:W14"/>
    <mergeCell ref="X13:X14"/>
    <mergeCell ref="Y13:Y14"/>
    <mergeCell ref="Z13:Z14"/>
    <mergeCell ref="AA13:AA14"/>
    <mergeCell ref="AB13:AB14"/>
    <mergeCell ref="AC13:AC14"/>
    <mergeCell ref="AD13:AD14"/>
    <mergeCell ref="AE13:AE14"/>
    <mergeCell ref="AF13:AF14"/>
    <mergeCell ref="AL15:AL16"/>
    <mergeCell ref="AG13:AG14"/>
    <mergeCell ref="AH13:AH14"/>
    <mergeCell ref="AI13:AI14"/>
    <mergeCell ref="AJ13:AJ14"/>
    <mergeCell ref="AK13:AK14"/>
    <mergeCell ref="AL13:AL14"/>
    <mergeCell ref="AM13:AM14"/>
    <mergeCell ref="AN13:AN14"/>
    <mergeCell ref="AO13:AO14"/>
    <mergeCell ref="AP13:AP14"/>
    <mergeCell ref="AQ13:AQ14"/>
    <mergeCell ref="AR13:AR14"/>
    <mergeCell ref="AS13:AS14"/>
    <mergeCell ref="AT13:AT14"/>
    <mergeCell ref="AU13:AU14"/>
    <mergeCell ref="AK15:AK16"/>
    <mergeCell ref="AX13:AX14"/>
    <mergeCell ref="AY13:AY14"/>
    <mergeCell ref="AZ13:AZ14"/>
    <mergeCell ref="BA13:BA14"/>
    <mergeCell ref="BB13:BB14"/>
    <mergeCell ref="BC13:BC14"/>
    <mergeCell ref="BD13:BD14"/>
    <mergeCell ref="BE13:BE14"/>
    <mergeCell ref="BF13:BF14"/>
    <mergeCell ref="BG13:BG14"/>
    <mergeCell ref="A15:A16"/>
    <mergeCell ref="B15:B16"/>
    <mergeCell ref="C15:C16"/>
    <mergeCell ref="D15:D16"/>
    <mergeCell ref="E15:E16"/>
    <mergeCell ref="F15:F16"/>
    <mergeCell ref="G15:G16"/>
    <mergeCell ref="H15:H16"/>
    <mergeCell ref="I15:I16"/>
    <mergeCell ref="J15:J16"/>
    <mergeCell ref="N15:N16"/>
    <mergeCell ref="Q15:Q16"/>
    <mergeCell ref="R15:R16"/>
    <mergeCell ref="S15:S16"/>
    <mergeCell ref="T15:T16"/>
    <mergeCell ref="U15:U16"/>
    <mergeCell ref="V15:V16"/>
    <mergeCell ref="W15:W16"/>
    <mergeCell ref="X15:X16"/>
    <mergeCell ref="Y15:Y16"/>
    <mergeCell ref="AZ15:AZ16"/>
    <mergeCell ref="Z15:Z16"/>
    <mergeCell ref="BA15:BA16"/>
    <mergeCell ref="BB15:BB16"/>
    <mergeCell ref="BC15:BC16"/>
    <mergeCell ref="AS15:AS16"/>
    <mergeCell ref="AT15:AT16"/>
    <mergeCell ref="AU15:AU16"/>
    <mergeCell ref="AV15:AV16"/>
    <mergeCell ref="A17:A18"/>
    <mergeCell ref="B17:B18"/>
    <mergeCell ref="C17:C18"/>
    <mergeCell ref="D17:D18"/>
    <mergeCell ref="E17:E18"/>
    <mergeCell ref="F17:F18"/>
    <mergeCell ref="Y17:Y18"/>
    <mergeCell ref="Z17:Z18"/>
    <mergeCell ref="AA17:AA18"/>
    <mergeCell ref="AA15:AA16"/>
    <mergeCell ref="AB15:AB16"/>
    <mergeCell ref="AC15:AC16"/>
    <mergeCell ref="AD15:AD16"/>
    <mergeCell ref="AE15:AE16"/>
    <mergeCell ref="AF15:AF16"/>
    <mergeCell ref="AN15:AN16"/>
    <mergeCell ref="AO15:AO16"/>
    <mergeCell ref="AP15:AP16"/>
    <mergeCell ref="AQ15:AQ16"/>
    <mergeCell ref="AR15:AR16"/>
    <mergeCell ref="AG15:AG16"/>
    <mergeCell ref="AH15:AH16"/>
    <mergeCell ref="AI15:AI16"/>
    <mergeCell ref="AJ15:AJ16"/>
    <mergeCell ref="G17:G18"/>
    <mergeCell ref="BE15:BE16"/>
    <mergeCell ref="BF15:BF16"/>
    <mergeCell ref="BG15:BG16"/>
    <mergeCell ref="BD15:BD16"/>
    <mergeCell ref="AW15:AW16"/>
    <mergeCell ref="AX15:AX16"/>
    <mergeCell ref="AM15:AM16"/>
    <mergeCell ref="AO17:AO18"/>
    <mergeCell ref="AP17:AP18"/>
    <mergeCell ref="AE17:AE18"/>
    <mergeCell ref="AF17:AF18"/>
    <mergeCell ref="AG17:AG18"/>
    <mergeCell ref="AH17:AH18"/>
    <mergeCell ref="AI17:AI18"/>
    <mergeCell ref="AJ17:AJ18"/>
    <mergeCell ref="AZ17:AZ18"/>
    <mergeCell ref="BA17:BA18"/>
    <mergeCell ref="BB17:BB18"/>
    <mergeCell ref="AQ17:AQ18"/>
    <mergeCell ref="AR17:AR18"/>
    <mergeCell ref="AS17:AS18"/>
    <mergeCell ref="AT17:AT18"/>
    <mergeCell ref="AU17:AU18"/>
    <mergeCell ref="AV17:AV18"/>
    <mergeCell ref="BC17:BC18"/>
    <mergeCell ref="BD17:BD18"/>
    <mergeCell ref="BE17:BE18"/>
    <mergeCell ref="BF17:BF18"/>
    <mergeCell ref="BG17:BG18"/>
    <mergeCell ref="AX17:AX18"/>
    <mergeCell ref="AY17:AY18"/>
    <mergeCell ref="AY15:AY16"/>
    <mergeCell ref="A19:A20"/>
    <mergeCell ref="B19:B20"/>
    <mergeCell ref="C19:C20"/>
    <mergeCell ref="D19:D20"/>
    <mergeCell ref="E19:E20"/>
    <mergeCell ref="AW17:AW18"/>
    <mergeCell ref="AK17:AK18"/>
    <mergeCell ref="AL17:AL18"/>
    <mergeCell ref="AM17:AM18"/>
    <mergeCell ref="AN17:AN18"/>
    <mergeCell ref="H17:H18"/>
    <mergeCell ref="I17:I18"/>
    <mergeCell ref="J17:J18"/>
    <mergeCell ref="N17:N18"/>
    <mergeCell ref="Q17:Q18"/>
    <mergeCell ref="R17:R18"/>
    <mergeCell ref="S17:S18"/>
    <mergeCell ref="T17:T18"/>
    <mergeCell ref="U17:U18"/>
    <mergeCell ref="V17:V18"/>
    <mergeCell ref="W17:W18"/>
    <mergeCell ref="X17:X18"/>
    <mergeCell ref="AB17:AB18"/>
    <mergeCell ref="AC17:AC18"/>
    <mergeCell ref="AD17:AD18"/>
    <mergeCell ref="F19:F20"/>
    <mergeCell ref="G19:G20"/>
    <mergeCell ref="H19:H20"/>
    <mergeCell ref="I19:I20"/>
    <mergeCell ref="J19:J20"/>
    <mergeCell ref="N19:N20"/>
    <mergeCell ref="Q19:Q20"/>
    <mergeCell ref="R19:R20"/>
    <mergeCell ref="S19:S20"/>
    <mergeCell ref="T19:T20"/>
    <mergeCell ref="U19:U20"/>
    <mergeCell ref="V19:V20"/>
    <mergeCell ref="W19:W20"/>
    <mergeCell ref="X19:X20"/>
    <mergeCell ref="Y19:Y20"/>
    <mergeCell ref="Z19:Z20"/>
    <mergeCell ref="AA19:AA20"/>
    <mergeCell ref="AB19:AB20"/>
    <mergeCell ref="AC19:AC20"/>
    <mergeCell ref="AD19:AD20"/>
    <mergeCell ref="AE19:AE20"/>
    <mergeCell ref="AF19:AF20"/>
    <mergeCell ref="AG19:AG20"/>
    <mergeCell ref="AH19:AH20"/>
    <mergeCell ref="AI19:AI20"/>
    <mergeCell ref="AJ19:AJ20"/>
    <mergeCell ref="AK19:AK20"/>
    <mergeCell ref="AL19:AL20"/>
    <mergeCell ref="AM19:AM20"/>
    <mergeCell ref="AN19:AN20"/>
    <mergeCell ref="AO19:AO20"/>
    <mergeCell ref="AP19:AP20"/>
    <mergeCell ref="AQ19:AQ20"/>
    <mergeCell ref="AR19:AR20"/>
    <mergeCell ref="AS19:AS20"/>
    <mergeCell ref="AT19:AT20"/>
    <mergeCell ref="AU19:AU20"/>
    <mergeCell ref="AV19:AV20"/>
    <mergeCell ref="AW19:AW20"/>
    <mergeCell ref="AX19:AX20"/>
    <mergeCell ref="AY19:AY20"/>
    <mergeCell ref="AZ19:AZ20"/>
    <mergeCell ref="BA19:BA20"/>
    <mergeCell ref="BB19:BB20"/>
    <mergeCell ref="BC19:BC20"/>
    <mergeCell ref="BD19:BD20"/>
    <mergeCell ref="BE19:BE20"/>
    <mergeCell ref="BF19:BF20"/>
    <mergeCell ref="BG19:BG20"/>
    <mergeCell ref="A21:A22"/>
    <mergeCell ref="B21:B22"/>
    <mergeCell ref="C21:C22"/>
    <mergeCell ref="D21:D22"/>
    <mergeCell ref="E21:E22"/>
    <mergeCell ref="F21:F22"/>
    <mergeCell ref="G21:G22"/>
    <mergeCell ref="H21:H22"/>
    <mergeCell ref="I21:I22"/>
    <mergeCell ref="J21:J22"/>
    <mergeCell ref="N21:N22"/>
    <mergeCell ref="Q21:Q22"/>
    <mergeCell ref="R21:R22"/>
    <mergeCell ref="S21:S22"/>
    <mergeCell ref="T21:T22"/>
    <mergeCell ref="U21:U22"/>
    <mergeCell ref="V21:V22"/>
    <mergeCell ref="W21:W22"/>
    <mergeCell ref="X21:X22"/>
    <mergeCell ref="Y21:Y22"/>
    <mergeCell ref="Z21:Z22"/>
    <mergeCell ref="AA21:AA22"/>
    <mergeCell ref="AB21:AB22"/>
    <mergeCell ref="AC21:AC22"/>
    <mergeCell ref="AD21:AD22"/>
    <mergeCell ref="AE21:AE22"/>
    <mergeCell ref="AF21:AF22"/>
    <mergeCell ref="AG21:AG22"/>
    <mergeCell ref="AH21:AH22"/>
    <mergeCell ref="AI21:AI22"/>
    <mergeCell ref="AJ21:AJ22"/>
    <mergeCell ref="AK21:AK22"/>
    <mergeCell ref="AL21:AL22"/>
    <mergeCell ref="AM21:AM22"/>
    <mergeCell ref="AN21:AN22"/>
    <mergeCell ref="AO21:AO22"/>
    <mergeCell ref="AP21:AP22"/>
    <mergeCell ref="AQ21:AQ22"/>
    <mergeCell ref="AR21:AR22"/>
    <mergeCell ref="AS21:AS22"/>
    <mergeCell ref="AT21:AT22"/>
    <mergeCell ref="AU21:AU22"/>
    <mergeCell ref="AV21:AV22"/>
    <mergeCell ref="AW21:AW22"/>
    <mergeCell ref="AX21:AX22"/>
    <mergeCell ref="AY21:AY22"/>
    <mergeCell ref="AZ21:AZ22"/>
    <mergeCell ref="BA21:BA22"/>
    <mergeCell ref="BB21:BB22"/>
    <mergeCell ref="BC21:BC22"/>
    <mergeCell ref="BD21:BD22"/>
    <mergeCell ref="BE21:BE22"/>
    <mergeCell ref="BF21:BF22"/>
    <mergeCell ref="BG21:BG22"/>
    <mergeCell ref="A23:A24"/>
    <mergeCell ref="B23:B24"/>
    <mergeCell ref="C23:C24"/>
    <mergeCell ref="D23:D24"/>
    <mergeCell ref="E23:E24"/>
    <mergeCell ref="F23:F24"/>
    <mergeCell ref="G23:G24"/>
    <mergeCell ref="H23:H24"/>
    <mergeCell ref="I23:I24"/>
    <mergeCell ref="J23:J24"/>
    <mergeCell ref="N23:N24"/>
    <mergeCell ref="Q23:Q24"/>
    <mergeCell ref="R23:R24"/>
    <mergeCell ref="S23:S24"/>
    <mergeCell ref="T23:T24"/>
    <mergeCell ref="U23:U24"/>
    <mergeCell ref="V23:V24"/>
    <mergeCell ref="W23:W24"/>
    <mergeCell ref="X23:X24"/>
    <mergeCell ref="Y23:Y24"/>
    <mergeCell ref="Z23:Z24"/>
    <mergeCell ref="AA23:AA24"/>
    <mergeCell ref="AB23:AB24"/>
    <mergeCell ref="AC23:AC24"/>
    <mergeCell ref="AD23:AD24"/>
    <mergeCell ref="AE23:AE24"/>
    <mergeCell ref="AF23:AF24"/>
    <mergeCell ref="AG23:AG24"/>
    <mergeCell ref="AH23:AH24"/>
    <mergeCell ref="AI23:AI24"/>
    <mergeCell ref="AJ23:AJ24"/>
    <mergeCell ref="AK23:AK24"/>
    <mergeCell ref="AL23:AL24"/>
    <mergeCell ref="AM23:AM24"/>
    <mergeCell ref="AN23:AN24"/>
    <mergeCell ref="AO23:AO24"/>
    <mergeCell ref="AP23:AP24"/>
    <mergeCell ref="AQ23:AQ24"/>
    <mergeCell ref="AR23:AR24"/>
    <mergeCell ref="AS23:AS24"/>
    <mergeCell ref="AT23:AT24"/>
    <mergeCell ref="AU23:AU24"/>
    <mergeCell ref="AV23:AV24"/>
    <mergeCell ref="AW23:AW24"/>
    <mergeCell ref="AX23:AX24"/>
    <mergeCell ref="AY23:AY24"/>
    <mergeCell ref="AZ23:AZ24"/>
    <mergeCell ref="BA23:BA24"/>
    <mergeCell ref="BB23:BB24"/>
    <mergeCell ref="BC23:BC24"/>
    <mergeCell ref="BD23:BD24"/>
    <mergeCell ref="BE23:BE24"/>
    <mergeCell ref="BF23:BF24"/>
    <mergeCell ref="BG23:BG24"/>
    <mergeCell ref="A25:A26"/>
    <mergeCell ref="B25:B26"/>
    <mergeCell ref="C25:C26"/>
    <mergeCell ref="D25:D26"/>
    <mergeCell ref="E25:E26"/>
    <mergeCell ref="F25:F26"/>
    <mergeCell ref="G25:G26"/>
    <mergeCell ref="H25:H26"/>
    <mergeCell ref="I25:I26"/>
    <mergeCell ref="J25:J26"/>
    <mergeCell ref="N25:N26"/>
    <mergeCell ref="Q25:Q26"/>
    <mergeCell ref="R25:R26"/>
    <mergeCell ref="S25:S26"/>
    <mergeCell ref="T25:T26"/>
    <mergeCell ref="U25:U26"/>
    <mergeCell ref="V25:V26"/>
    <mergeCell ref="W25:W26"/>
    <mergeCell ref="X25:X26"/>
    <mergeCell ref="Y25:Y26"/>
    <mergeCell ref="Z25:Z26"/>
    <mergeCell ref="AA25:AA26"/>
    <mergeCell ref="AB25:AB26"/>
    <mergeCell ref="AC25:AC26"/>
    <mergeCell ref="AD25:AD26"/>
    <mergeCell ref="AE25:AE26"/>
    <mergeCell ref="AF25:AF26"/>
    <mergeCell ref="AG25:AG26"/>
    <mergeCell ref="AH25:AH26"/>
    <mergeCell ref="AI25:AI26"/>
    <mergeCell ref="AJ25:AJ26"/>
    <mergeCell ref="AK25:AK26"/>
    <mergeCell ref="AL25:AL26"/>
    <mergeCell ref="AM25:AM26"/>
    <mergeCell ref="AN25:AN26"/>
    <mergeCell ref="AO25:AO26"/>
    <mergeCell ref="AP25:AP26"/>
    <mergeCell ref="AQ25:AQ26"/>
    <mergeCell ref="AR25:AR26"/>
    <mergeCell ref="AS25:AS26"/>
    <mergeCell ref="AT25:AT26"/>
    <mergeCell ref="AU25:AU26"/>
    <mergeCell ref="AV25:AV26"/>
    <mergeCell ref="AW25:AW26"/>
    <mergeCell ref="AX25:AX26"/>
    <mergeCell ref="AY25:AY26"/>
    <mergeCell ref="AZ25:AZ26"/>
    <mergeCell ref="BA25:BA26"/>
    <mergeCell ref="BB25:BB26"/>
    <mergeCell ref="BC25:BC26"/>
    <mergeCell ref="BD25:BD26"/>
    <mergeCell ref="BE25:BE26"/>
    <mergeCell ref="BF25:BF26"/>
    <mergeCell ref="BG25:BG26"/>
    <mergeCell ref="A27:A28"/>
    <mergeCell ref="B27:B28"/>
    <mergeCell ref="C27:C28"/>
    <mergeCell ref="D27:D28"/>
    <mergeCell ref="E27:E28"/>
    <mergeCell ref="F27:F28"/>
    <mergeCell ref="G27:G28"/>
    <mergeCell ref="H27:H28"/>
    <mergeCell ref="I27:I28"/>
    <mergeCell ref="J27:J28"/>
    <mergeCell ref="N27:N28"/>
    <mergeCell ref="Q27:Q28"/>
    <mergeCell ref="R27:R28"/>
    <mergeCell ref="S27:S28"/>
    <mergeCell ref="T27:T28"/>
    <mergeCell ref="U27:U28"/>
    <mergeCell ref="V27:V28"/>
    <mergeCell ref="W27:W28"/>
    <mergeCell ref="X27:X28"/>
    <mergeCell ref="Y27:Y28"/>
    <mergeCell ref="Z27:Z28"/>
    <mergeCell ref="AL27:AL28"/>
    <mergeCell ref="AA27:AA28"/>
    <mergeCell ref="AB27:AB28"/>
    <mergeCell ref="AC27:AC28"/>
    <mergeCell ref="AD27:AD28"/>
    <mergeCell ref="AE27:AE28"/>
    <mergeCell ref="AF27:AF28"/>
    <mergeCell ref="AN27:AN28"/>
    <mergeCell ref="AO27:AO28"/>
    <mergeCell ref="AP27:AP28"/>
    <mergeCell ref="AQ27:AQ28"/>
    <mergeCell ref="AR27:AR28"/>
    <mergeCell ref="AG27:AG28"/>
    <mergeCell ref="AH27:AH28"/>
    <mergeCell ref="AI27:AI28"/>
    <mergeCell ref="AJ27:AJ28"/>
    <mergeCell ref="AK27:AK28"/>
    <mergeCell ref="G29:G30"/>
    <mergeCell ref="AY27:AY28"/>
    <mergeCell ref="AZ27:AZ28"/>
    <mergeCell ref="BA27:BA28"/>
    <mergeCell ref="BB27:BB28"/>
    <mergeCell ref="AQ29:AQ30"/>
    <mergeCell ref="AR29:AR30"/>
    <mergeCell ref="AS29:AS30"/>
    <mergeCell ref="AT29:AT30"/>
    <mergeCell ref="AU29:AU30"/>
    <mergeCell ref="AV29:AV30"/>
    <mergeCell ref="BC27:BC28"/>
    <mergeCell ref="AS27:AS28"/>
    <mergeCell ref="AT27:AT28"/>
    <mergeCell ref="AU27:AU28"/>
    <mergeCell ref="AV27:AV28"/>
    <mergeCell ref="A29:A30"/>
    <mergeCell ref="B29:B30"/>
    <mergeCell ref="C29:C30"/>
    <mergeCell ref="D29:D30"/>
    <mergeCell ref="E29:E30"/>
    <mergeCell ref="F29:F30"/>
    <mergeCell ref="Y29:Y30"/>
    <mergeCell ref="Z29:Z30"/>
    <mergeCell ref="AA29:AA30"/>
    <mergeCell ref="BE27:BE28"/>
    <mergeCell ref="BF27:BF28"/>
    <mergeCell ref="BG27:BG28"/>
    <mergeCell ref="BD27:BD28"/>
    <mergeCell ref="AW27:AW28"/>
    <mergeCell ref="AX27:AX28"/>
    <mergeCell ref="AM27:AM28"/>
    <mergeCell ref="AO29:AO30"/>
    <mergeCell ref="AP29:AP30"/>
    <mergeCell ref="AE29:AE30"/>
    <mergeCell ref="AF29:AF30"/>
    <mergeCell ref="AG29:AG30"/>
    <mergeCell ref="AH29:AH30"/>
    <mergeCell ref="AI29:AI30"/>
    <mergeCell ref="AJ29:AJ30"/>
    <mergeCell ref="AZ29:AZ30"/>
    <mergeCell ref="BA29:BA30"/>
    <mergeCell ref="BB29:BB30"/>
    <mergeCell ref="A31:A32"/>
    <mergeCell ref="B31:B32"/>
    <mergeCell ref="C31:C32"/>
    <mergeCell ref="D31:D32"/>
    <mergeCell ref="E31:E32"/>
    <mergeCell ref="AW29:AW30"/>
    <mergeCell ref="AK29:AK30"/>
    <mergeCell ref="AL29:AL30"/>
    <mergeCell ref="AM29:AM30"/>
    <mergeCell ref="AN29:AN30"/>
    <mergeCell ref="H29:H30"/>
    <mergeCell ref="I29:I30"/>
    <mergeCell ref="J29:J30"/>
    <mergeCell ref="N29:N30"/>
    <mergeCell ref="Q29:Q30"/>
    <mergeCell ref="R29:R30"/>
    <mergeCell ref="S29:S30"/>
    <mergeCell ref="T29:T30"/>
    <mergeCell ref="U29:U30"/>
    <mergeCell ref="V29:V30"/>
    <mergeCell ref="W29:W30"/>
    <mergeCell ref="X29:X30"/>
    <mergeCell ref="AG31:AG32"/>
    <mergeCell ref="AH31:AH32"/>
    <mergeCell ref="AI31:AI32"/>
    <mergeCell ref="AJ31:AJ32"/>
    <mergeCell ref="AK31:AK32"/>
    <mergeCell ref="AL31:AL32"/>
    <mergeCell ref="AM31:AM32"/>
    <mergeCell ref="AN31:AN32"/>
    <mergeCell ref="AO31:AO32"/>
    <mergeCell ref="AP31:AP32"/>
    <mergeCell ref="BC29:BC30"/>
    <mergeCell ref="BD29:BD30"/>
    <mergeCell ref="BE29:BE30"/>
    <mergeCell ref="BF29:BF30"/>
    <mergeCell ref="BG29:BG30"/>
    <mergeCell ref="AB29:AB30"/>
    <mergeCell ref="AC29:AC30"/>
    <mergeCell ref="AD29:AD30"/>
    <mergeCell ref="AX29:AX30"/>
    <mergeCell ref="AY29:AY30"/>
    <mergeCell ref="F31:F32"/>
    <mergeCell ref="G31:G32"/>
    <mergeCell ref="H31:H32"/>
    <mergeCell ref="I31:I32"/>
    <mergeCell ref="J31:J32"/>
    <mergeCell ref="N31:N32"/>
    <mergeCell ref="Q31:Q32"/>
    <mergeCell ref="R31:R32"/>
    <mergeCell ref="S31:S32"/>
    <mergeCell ref="T31:T32"/>
    <mergeCell ref="U31:U32"/>
    <mergeCell ref="V31:V32"/>
    <mergeCell ref="W31:W32"/>
    <mergeCell ref="X31:X32"/>
    <mergeCell ref="Y31:Y32"/>
    <mergeCell ref="Z31:Z32"/>
    <mergeCell ref="AA31:AA32"/>
    <mergeCell ref="AB31:AB32"/>
    <mergeCell ref="AC31:AC32"/>
    <mergeCell ref="AD31:AD32"/>
    <mergeCell ref="AE31:AE32"/>
    <mergeCell ref="AF31:AF32"/>
    <mergeCell ref="AQ31:AQ32"/>
    <mergeCell ref="AR31:AR32"/>
    <mergeCell ref="AS31:AS32"/>
    <mergeCell ref="AT31:AT32"/>
    <mergeCell ref="AU31:AU32"/>
    <mergeCell ref="AV31:AV32"/>
    <mergeCell ref="AW31:AW32"/>
    <mergeCell ref="AX31:AX32"/>
    <mergeCell ref="AY31:AY32"/>
    <mergeCell ref="AZ31:AZ32"/>
    <mergeCell ref="BA31:BA32"/>
    <mergeCell ref="BB31:BB32"/>
    <mergeCell ref="BC31:BC32"/>
    <mergeCell ref="BD31:BD32"/>
    <mergeCell ref="BE31:BE32"/>
    <mergeCell ref="BF31:BF32"/>
    <mergeCell ref="BG31:BG32"/>
    <mergeCell ref="A33:A34"/>
    <mergeCell ref="B33:B34"/>
    <mergeCell ref="C33:C34"/>
    <mergeCell ref="D33:D34"/>
    <mergeCell ref="E33:E34"/>
    <mergeCell ref="F33:F34"/>
    <mergeCell ref="G33:G34"/>
    <mergeCell ref="H33:H34"/>
    <mergeCell ref="I33:I34"/>
    <mergeCell ref="AG33:AG34"/>
    <mergeCell ref="AH33:AH34"/>
    <mergeCell ref="AI33:AI34"/>
    <mergeCell ref="AJ33:AJ34"/>
    <mergeCell ref="AK33:AK34"/>
    <mergeCell ref="Q33:Q34"/>
    <mergeCell ref="R33:R34"/>
    <mergeCell ref="S33:S34"/>
    <mergeCell ref="T33:T34"/>
    <mergeCell ref="AX33:AX34"/>
    <mergeCell ref="AM33:AM34"/>
    <mergeCell ref="AN33:AN34"/>
    <mergeCell ref="AO33:AO34"/>
    <mergeCell ref="AP33:AP34"/>
    <mergeCell ref="AQ33:AQ34"/>
    <mergeCell ref="AR33:AR34"/>
    <mergeCell ref="G37:G38"/>
    <mergeCell ref="AY33:AY34"/>
    <mergeCell ref="AZ33:AZ34"/>
    <mergeCell ref="BA33:BA34"/>
    <mergeCell ref="BB33:BB34"/>
    <mergeCell ref="BC33:BC34"/>
    <mergeCell ref="AS33:AS34"/>
    <mergeCell ref="AT33:AT34"/>
    <mergeCell ref="AU33:AU34"/>
    <mergeCell ref="AV33:AV34"/>
    <mergeCell ref="J33:J34"/>
    <mergeCell ref="N33:N34"/>
    <mergeCell ref="U37:U38"/>
    <mergeCell ref="V37:V38"/>
    <mergeCell ref="W37:W38"/>
    <mergeCell ref="X37:X38"/>
    <mergeCell ref="Y37:Y38"/>
    <mergeCell ref="Z37:Z38"/>
    <mergeCell ref="AA37:AA38"/>
    <mergeCell ref="AB37:AB38"/>
    <mergeCell ref="AC37:AC38"/>
    <mergeCell ref="AD37:AD38"/>
    <mergeCell ref="AE37:AE38"/>
    <mergeCell ref="AF37:AF38"/>
    <mergeCell ref="AG37:AG38"/>
    <mergeCell ref="BF33:BF34"/>
    <mergeCell ref="BG33:BG34"/>
    <mergeCell ref="A37:A38"/>
    <mergeCell ref="B37:B38"/>
    <mergeCell ref="C37:C38"/>
    <mergeCell ref="D37:D38"/>
    <mergeCell ref="E37:E38"/>
    <mergeCell ref="F37:F38"/>
    <mergeCell ref="U33:U34"/>
    <mergeCell ref="V33:V34"/>
    <mergeCell ref="W33:W34"/>
    <mergeCell ref="X33:X34"/>
    <mergeCell ref="Y33:Y34"/>
    <mergeCell ref="Z33:Z34"/>
    <mergeCell ref="BE33:BE34"/>
    <mergeCell ref="AL33:AL34"/>
    <mergeCell ref="AA33:AA34"/>
    <mergeCell ref="AB33:AB34"/>
    <mergeCell ref="AC33:AC34"/>
    <mergeCell ref="AD33:AD34"/>
    <mergeCell ref="AE33:AE34"/>
    <mergeCell ref="AF33:AF34"/>
    <mergeCell ref="BD33:BD34"/>
    <mergeCell ref="AW33:AW34"/>
    <mergeCell ref="H37:H38"/>
    <mergeCell ref="I37:I38"/>
    <mergeCell ref="J37:J38"/>
    <mergeCell ref="N37:N38"/>
    <mergeCell ref="Q37:Q38"/>
    <mergeCell ref="R37:R38"/>
    <mergeCell ref="S37:S38"/>
    <mergeCell ref="T37:T38"/>
    <mergeCell ref="AH37:AH38"/>
    <mergeCell ref="AI37:AI38"/>
    <mergeCell ref="AJ37:AJ38"/>
    <mergeCell ref="AK37:AK38"/>
    <mergeCell ref="AL37:AL38"/>
    <mergeCell ref="AM37:AM38"/>
    <mergeCell ref="AN37:AN38"/>
    <mergeCell ref="AO37:AO38"/>
    <mergeCell ref="AP37:AP38"/>
    <mergeCell ref="BA37:BA38"/>
    <mergeCell ref="BB37:BB38"/>
    <mergeCell ref="AQ37:AQ38"/>
    <mergeCell ref="AR37:AR38"/>
    <mergeCell ref="AS37:AS38"/>
    <mergeCell ref="AT37:AT38"/>
    <mergeCell ref="AU37:AU38"/>
    <mergeCell ref="AV37:AV38"/>
    <mergeCell ref="BC37:BC38"/>
    <mergeCell ref="BD37:BD38"/>
    <mergeCell ref="BE37:BE38"/>
    <mergeCell ref="BF37:BF38"/>
    <mergeCell ref="BG37:BG38"/>
    <mergeCell ref="A39:I39"/>
    <mergeCell ref="AW37:AW38"/>
    <mergeCell ref="AX37:AX38"/>
    <mergeCell ref="AY37:AY38"/>
    <mergeCell ref="AZ37:AZ38"/>
    <mergeCell ref="A40:A41"/>
    <mergeCell ref="B40:B41"/>
    <mergeCell ref="C40:C41"/>
    <mergeCell ref="D40:D41"/>
    <mergeCell ref="E40:E41"/>
    <mergeCell ref="F40:F41"/>
    <mergeCell ref="G40:G41"/>
    <mergeCell ref="H40:H41"/>
    <mergeCell ref="I40:I41"/>
    <mergeCell ref="J40:J41"/>
    <mergeCell ref="N40:N41"/>
    <mergeCell ref="Q40:Q41"/>
    <mergeCell ref="R40:R41"/>
    <mergeCell ref="S40:S41"/>
    <mergeCell ref="T40:T41"/>
    <mergeCell ref="U40:U41"/>
    <mergeCell ref="V40:V41"/>
    <mergeCell ref="W40:W41"/>
    <mergeCell ref="X40:X41"/>
    <mergeCell ref="Y40:Y41"/>
    <mergeCell ref="Z40:Z41"/>
    <mergeCell ref="AA40:AA41"/>
    <mergeCell ref="AB40:AB41"/>
    <mergeCell ref="AC40:AC41"/>
    <mergeCell ref="AD40:AD41"/>
    <mergeCell ref="AE40:AE41"/>
    <mergeCell ref="AF40:AF41"/>
    <mergeCell ref="AG40:AG41"/>
    <mergeCell ref="AH40:AH41"/>
    <mergeCell ref="AI40:AI41"/>
    <mergeCell ref="AJ40:AJ41"/>
    <mergeCell ref="AK40:AK41"/>
    <mergeCell ref="AL40:AL41"/>
    <mergeCell ref="AM40:AM41"/>
    <mergeCell ref="AN40:AN41"/>
    <mergeCell ref="AO40:AO41"/>
    <mergeCell ref="AP40:AP41"/>
    <mergeCell ref="AQ40:AQ41"/>
    <mergeCell ref="AR40:AR41"/>
    <mergeCell ref="AS40:AS41"/>
    <mergeCell ref="AT40:AT41"/>
    <mergeCell ref="AU40:AU41"/>
    <mergeCell ref="AV40:AV41"/>
    <mergeCell ref="AW40:AW41"/>
    <mergeCell ref="AX40:AX41"/>
    <mergeCell ref="AY40:AY41"/>
    <mergeCell ref="AZ40:AZ41"/>
    <mergeCell ref="BA40:BA41"/>
    <mergeCell ref="BB40:BB41"/>
    <mergeCell ref="BC40:BC41"/>
    <mergeCell ref="BD40:BD41"/>
    <mergeCell ref="BE40:BE41"/>
    <mergeCell ref="BF40:BF41"/>
    <mergeCell ref="BG40:BG41"/>
    <mergeCell ref="A42:A43"/>
    <mergeCell ref="B42:B43"/>
    <mergeCell ref="C42:C43"/>
    <mergeCell ref="D42:D43"/>
    <mergeCell ref="E42:E43"/>
    <mergeCell ref="F42:F43"/>
    <mergeCell ref="G42:G43"/>
    <mergeCell ref="H42:H43"/>
    <mergeCell ref="I42:I43"/>
    <mergeCell ref="J42:J43"/>
    <mergeCell ref="N42:N43"/>
    <mergeCell ref="Q42:Q43"/>
    <mergeCell ref="R42:R43"/>
    <mergeCell ref="S42:S43"/>
    <mergeCell ref="T42:T43"/>
    <mergeCell ref="U42:U43"/>
    <mergeCell ref="V42:V43"/>
    <mergeCell ref="W42:W43"/>
    <mergeCell ref="X42:X43"/>
    <mergeCell ref="Y42:Y43"/>
    <mergeCell ref="Z42:Z43"/>
    <mergeCell ref="AA42:AA43"/>
    <mergeCell ref="AB42:AB43"/>
    <mergeCell ref="AC42:AC43"/>
    <mergeCell ref="AD42:AD43"/>
    <mergeCell ref="AE42:AE43"/>
    <mergeCell ref="AF42:AF43"/>
    <mergeCell ref="AG42:AG43"/>
    <mergeCell ref="AH42:AH43"/>
    <mergeCell ref="AI42:AI43"/>
    <mergeCell ref="AJ42:AJ43"/>
    <mergeCell ref="AK42:AK43"/>
    <mergeCell ref="AL42:AL43"/>
    <mergeCell ref="AM42:AM43"/>
    <mergeCell ref="AN42:AN43"/>
    <mergeCell ref="AO42:AO43"/>
    <mergeCell ref="AP42:AP43"/>
    <mergeCell ref="AQ42:AQ43"/>
    <mergeCell ref="AR42:AR43"/>
    <mergeCell ref="AS42:AS43"/>
    <mergeCell ref="AT42:AT43"/>
    <mergeCell ref="AU42:AU43"/>
    <mergeCell ref="AV42:AV43"/>
    <mergeCell ref="AW42:AW43"/>
    <mergeCell ref="AX42:AX43"/>
    <mergeCell ref="AY42:AY43"/>
    <mergeCell ref="AZ42:AZ43"/>
    <mergeCell ref="BA42:BA43"/>
    <mergeCell ref="BB42:BB43"/>
    <mergeCell ref="BC42:BC43"/>
    <mergeCell ref="BD42:BD43"/>
    <mergeCell ref="BE42:BE43"/>
    <mergeCell ref="BF42:BF43"/>
    <mergeCell ref="BG42:BG43"/>
    <mergeCell ref="A44:A45"/>
    <mergeCell ref="B44:B45"/>
    <mergeCell ref="C44:C45"/>
    <mergeCell ref="D44:D45"/>
    <mergeCell ref="E44:E45"/>
    <mergeCell ref="F44:F45"/>
    <mergeCell ref="G44:G45"/>
    <mergeCell ref="H44:H45"/>
    <mergeCell ref="I44:I45"/>
    <mergeCell ref="J44:J45"/>
    <mergeCell ref="N44:N45"/>
    <mergeCell ref="Q44:Q45"/>
    <mergeCell ref="AA44:AA45"/>
    <mergeCell ref="AB44:AB45"/>
    <mergeCell ref="AC44:AC45"/>
    <mergeCell ref="R44:R45"/>
    <mergeCell ref="S44:S45"/>
    <mergeCell ref="T44:T45"/>
    <mergeCell ref="U44:U45"/>
    <mergeCell ref="V44:V45"/>
    <mergeCell ref="W44:W45"/>
    <mergeCell ref="BF44:BF45"/>
    <mergeCell ref="BG44:BG45"/>
    <mergeCell ref="AV44:AV45"/>
    <mergeCell ref="AW44:AW45"/>
    <mergeCell ref="AX44:AX45"/>
    <mergeCell ref="AY44:AY45"/>
    <mergeCell ref="AZ44:AZ45"/>
    <mergeCell ref="BA44:BA45"/>
    <mergeCell ref="X44:X45"/>
    <mergeCell ref="Y44:Y45"/>
    <mergeCell ref="Z44:Z45"/>
    <mergeCell ref="BC44:BC45"/>
    <mergeCell ref="BD44:BD45"/>
    <mergeCell ref="BE44:BE45"/>
    <mergeCell ref="AP44:AP45"/>
    <mergeCell ref="AQ44:AQ45"/>
    <mergeCell ref="AR44:AR45"/>
    <mergeCell ref="AS44:AS45"/>
    <mergeCell ref="AD44:AD45"/>
    <mergeCell ref="AE44:AE45"/>
    <mergeCell ref="AF44:AF45"/>
    <mergeCell ref="AG44:AG45"/>
    <mergeCell ref="AH44:AH45"/>
    <mergeCell ref="AI44:AI45"/>
    <mergeCell ref="BB44:BB45"/>
    <mergeCell ref="AJ44:AJ45"/>
    <mergeCell ref="AK44:AK45"/>
    <mergeCell ref="AL44:AL45"/>
    <mergeCell ref="AM44:AM45"/>
    <mergeCell ref="AN44:AN45"/>
    <mergeCell ref="AO44:AO45"/>
    <mergeCell ref="AT44:AT45"/>
    <mergeCell ref="AU44:AU45"/>
    <mergeCell ref="A46:I46"/>
    <mergeCell ref="A47:A48"/>
    <mergeCell ref="B47:B48"/>
    <mergeCell ref="C47:C48"/>
    <mergeCell ref="D47:D48"/>
    <mergeCell ref="E47:E48"/>
    <mergeCell ref="F47:F48"/>
    <mergeCell ref="G47:G48"/>
    <mergeCell ref="H47:H48"/>
    <mergeCell ref="I47:I48"/>
    <mergeCell ref="J47:J48"/>
    <mergeCell ref="N47:N48"/>
    <mergeCell ref="Q47:Q48"/>
    <mergeCell ref="R47:R48"/>
    <mergeCell ref="S47:S48"/>
    <mergeCell ref="T47:T48"/>
    <mergeCell ref="U47:U48"/>
    <mergeCell ref="V47:V48"/>
    <mergeCell ref="W47:W48"/>
    <mergeCell ref="X47:X48"/>
    <mergeCell ref="Y47:Y48"/>
    <mergeCell ref="Z47:Z48"/>
    <mergeCell ref="AA47:AA48"/>
    <mergeCell ref="AB47:AB48"/>
    <mergeCell ref="AC47:AC48"/>
    <mergeCell ref="AD47:AD48"/>
    <mergeCell ref="AE47:AE48"/>
    <mergeCell ref="AF47:AF48"/>
    <mergeCell ref="AG47:AG48"/>
    <mergeCell ref="AH47:AH48"/>
    <mergeCell ref="AI47:AI48"/>
    <mergeCell ref="AJ47:AJ48"/>
    <mergeCell ref="AK47:AK48"/>
    <mergeCell ref="AL47:AL48"/>
    <mergeCell ref="AM47:AM48"/>
    <mergeCell ref="AN47:AN48"/>
    <mergeCell ref="AO47:AO48"/>
    <mergeCell ref="AP47:AP48"/>
    <mergeCell ref="AQ47:AQ48"/>
    <mergeCell ref="AR47:AR48"/>
    <mergeCell ref="AS47:AS48"/>
    <mergeCell ref="AT47:AT48"/>
    <mergeCell ref="AU47:AU48"/>
    <mergeCell ref="AV47:AV48"/>
    <mergeCell ref="AW47:AW48"/>
    <mergeCell ref="AX47:AX48"/>
    <mergeCell ref="AY47:AY48"/>
    <mergeCell ref="AZ47:AZ48"/>
    <mergeCell ref="BA47:BA48"/>
    <mergeCell ref="BB47:BB48"/>
    <mergeCell ref="BC47:BC48"/>
    <mergeCell ref="BD47:BD48"/>
    <mergeCell ref="BE47:BE48"/>
    <mergeCell ref="BF47:BF48"/>
    <mergeCell ref="BG47:BG48"/>
    <mergeCell ref="A49:A50"/>
    <mergeCell ref="B49:B50"/>
    <mergeCell ref="C49:C50"/>
    <mergeCell ref="D49:D50"/>
    <mergeCell ref="E49:E50"/>
    <mergeCell ref="F49:F50"/>
    <mergeCell ref="G49:G50"/>
    <mergeCell ref="H49:H50"/>
    <mergeCell ref="I49:I50"/>
    <mergeCell ref="J49:J50"/>
    <mergeCell ref="N49:N50"/>
    <mergeCell ref="Q49:Q50"/>
    <mergeCell ref="R49:R50"/>
    <mergeCell ref="S49:S50"/>
    <mergeCell ref="T49:T50"/>
    <mergeCell ref="U49:U50"/>
    <mergeCell ref="V49:V50"/>
    <mergeCell ref="W49:W50"/>
    <mergeCell ref="X49:X50"/>
    <mergeCell ref="Y49:Y50"/>
    <mergeCell ref="Z49:Z50"/>
    <mergeCell ref="AA49:AA50"/>
    <mergeCell ref="AB49:AB50"/>
    <mergeCell ref="AC49:AC50"/>
    <mergeCell ref="AD49:AD50"/>
    <mergeCell ref="AE49:AE50"/>
    <mergeCell ref="AF49:AF50"/>
    <mergeCell ref="AG49:AG50"/>
    <mergeCell ref="AH49:AH50"/>
    <mergeCell ref="AI49:AI50"/>
    <mergeCell ref="AJ49:AJ50"/>
    <mergeCell ref="AK49:AK50"/>
    <mergeCell ref="AL49:AL50"/>
    <mergeCell ref="AM49:AM50"/>
    <mergeCell ref="AN49:AN50"/>
    <mergeCell ref="AO49:AO50"/>
    <mergeCell ref="AP49:AP50"/>
    <mergeCell ref="AQ49:AQ50"/>
    <mergeCell ref="AR49:AR50"/>
    <mergeCell ref="AS49:AS50"/>
    <mergeCell ref="AT49:AT50"/>
    <mergeCell ref="AU49:AU50"/>
    <mergeCell ref="AV49:AV50"/>
    <mergeCell ref="AW49:AW50"/>
    <mergeCell ref="AX49:AX50"/>
    <mergeCell ref="AY49:AY50"/>
    <mergeCell ref="AZ49:AZ50"/>
    <mergeCell ref="BA49:BA50"/>
    <mergeCell ref="BB49:BB50"/>
    <mergeCell ref="BC49:BC50"/>
    <mergeCell ref="BD49:BD50"/>
    <mergeCell ref="BE49:BE50"/>
    <mergeCell ref="BF49:BF50"/>
    <mergeCell ref="BG49:BG50"/>
    <mergeCell ref="A51:A52"/>
    <mergeCell ref="B51:B52"/>
    <mergeCell ref="C51:C52"/>
    <mergeCell ref="D51:D52"/>
    <mergeCell ref="E51:E52"/>
    <mergeCell ref="F51:F52"/>
    <mergeCell ref="G51:G52"/>
    <mergeCell ref="H51:H52"/>
    <mergeCell ref="I51:I52"/>
    <mergeCell ref="J51:J52"/>
    <mergeCell ref="N51:N52"/>
    <mergeCell ref="Q51:Q52"/>
    <mergeCell ref="R51:R52"/>
    <mergeCell ref="S51:S52"/>
    <mergeCell ref="T51:T52"/>
    <mergeCell ref="U51:U52"/>
    <mergeCell ref="V51:V52"/>
    <mergeCell ref="W51:W52"/>
    <mergeCell ref="X51:X52"/>
    <mergeCell ref="Y51:Y52"/>
    <mergeCell ref="Z51:Z52"/>
    <mergeCell ref="AA51:AA52"/>
    <mergeCell ref="AB51:AB52"/>
    <mergeCell ref="AC51:AC52"/>
    <mergeCell ref="AD51:AD52"/>
    <mergeCell ref="AE51:AE52"/>
    <mergeCell ref="AF51:AF52"/>
    <mergeCell ref="AG51:AG52"/>
    <mergeCell ref="AH51:AH52"/>
    <mergeCell ref="AI51:AI52"/>
    <mergeCell ref="AJ51:AJ52"/>
    <mergeCell ref="AK51:AK52"/>
    <mergeCell ref="AL51:AL52"/>
    <mergeCell ref="AM51:AM52"/>
    <mergeCell ref="AN51:AN52"/>
    <mergeCell ref="AO51:AO52"/>
    <mergeCell ref="AP51:AP52"/>
    <mergeCell ref="AQ51:AQ52"/>
    <mergeCell ref="AR51:AR52"/>
    <mergeCell ref="AS51:AS52"/>
    <mergeCell ref="AT51:AT52"/>
    <mergeCell ref="AU51:AU52"/>
    <mergeCell ref="AV51:AV52"/>
    <mergeCell ref="AW51:AW52"/>
    <mergeCell ref="AX51:AX52"/>
    <mergeCell ref="AY51:AY52"/>
    <mergeCell ref="AZ51:AZ52"/>
    <mergeCell ref="BA51:BA52"/>
    <mergeCell ref="BB51:BB52"/>
    <mergeCell ref="BC51:BC52"/>
    <mergeCell ref="BD51:BD52"/>
    <mergeCell ref="BE51:BE52"/>
    <mergeCell ref="BF51:BF52"/>
    <mergeCell ref="BG51:BG52"/>
    <mergeCell ref="A53:A54"/>
    <mergeCell ref="B53:B54"/>
    <mergeCell ref="C53:C54"/>
    <mergeCell ref="D53:D54"/>
    <mergeCell ref="E53:E54"/>
    <mergeCell ref="F53:F54"/>
    <mergeCell ref="G53:G54"/>
    <mergeCell ref="H53:H54"/>
    <mergeCell ref="I53:I54"/>
    <mergeCell ref="J53:J54"/>
    <mergeCell ref="N53:N54"/>
    <mergeCell ref="Q53:Q54"/>
    <mergeCell ref="R53:R54"/>
    <mergeCell ref="S53:S54"/>
    <mergeCell ref="T53:T54"/>
    <mergeCell ref="U53:U54"/>
    <mergeCell ref="V53:V54"/>
    <mergeCell ref="W53:W54"/>
    <mergeCell ref="BD53:BD54"/>
    <mergeCell ref="BE53:BE54"/>
    <mergeCell ref="X53:X54"/>
    <mergeCell ref="Y53:Y54"/>
    <mergeCell ref="Z53:Z54"/>
    <mergeCell ref="AA53:AA54"/>
    <mergeCell ref="AB53:AB54"/>
    <mergeCell ref="AC53:AC54"/>
    <mergeCell ref="AD53:AD54"/>
    <mergeCell ref="AE53:AE54"/>
    <mergeCell ref="AF53:AF54"/>
    <mergeCell ref="AG53:AG54"/>
    <mergeCell ref="AH53:AH54"/>
    <mergeCell ref="AI53:AI54"/>
    <mergeCell ref="AJ53:AJ54"/>
    <mergeCell ref="AK53:AK54"/>
    <mergeCell ref="AL53:AL54"/>
    <mergeCell ref="AM53:AM54"/>
    <mergeCell ref="AN53:AN54"/>
    <mergeCell ref="AF55:AF56"/>
    <mergeCell ref="AG55:AG56"/>
    <mergeCell ref="AO53:AO54"/>
    <mergeCell ref="AP53:AP54"/>
    <mergeCell ref="AQ53:AQ54"/>
    <mergeCell ref="AR53:AR54"/>
    <mergeCell ref="AS53:AS54"/>
    <mergeCell ref="AT53:AT54"/>
    <mergeCell ref="AU53:AU54"/>
    <mergeCell ref="AV53:AV54"/>
    <mergeCell ref="AW53:AW54"/>
    <mergeCell ref="AX53:AX54"/>
    <mergeCell ref="AY53:AY54"/>
    <mergeCell ref="AZ53:AZ54"/>
    <mergeCell ref="BA53:BA54"/>
    <mergeCell ref="BB53:BB54"/>
    <mergeCell ref="BC53:BC54"/>
    <mergeCell ref="AW57:AW58"/>
    <mergeCell ref="AX57:AX58"/>
    <mergeCell ref="AY55:AY56"/>
    <mergeCell ref="AZ55:AZ56"/>
    <mergeCell ref="BF53:BF54"/>
    <mergeCell ref="BG53:BG54"/>
    <mergeCell ref="A55:A56"/>
    <mergeCell ref="B55:B56"/>
    <mergeCell ref="C55:C56"/>
    <mergeCell ref="D55:D56"/>
    <mergeCell ref="E55:E56"/>
    <mergeCell ref="F55:F56"/>
    <mergeCell ref="G55:G56"/>
    <mergeCell ref="H55:H56"/>
    <mergeCell ref="I55:I56"/>
    <mergeCell ref="J55:J56"/>
    <mergeCell ref="N55:N56"/>
    <mergeCell ref="Q55:Q56"/>
    <mergeCell ref="R55:R56"/>
    <mergeCell ref="S55:S56"/>
    <mergeCell ref="T55:T56"/>
    <mergeCell ref="U55:U56"/>
    <mergeCell ref="V55:V56"/>
    <mergeCell ref="W55:W56"/>
    <mergeCell ref="X55:X56"/>
    <mergeCell ref="Y55:Y56"/>
    <mergeCell ref="Z55:Z56"/>
    <mergeCell ref="AA55:AA56"/>
    <mergeCell ref="AB55:AB56"/>
    <mergeCell ref="AC55:AC56"/>
    <mergeCell ref="AD55:AD56"/>
    <mergeCell ref="AE55:AE56"/>
    <mergeCell ref="AJ55:AJ56"/>
    <mergeCell ref="AK55:AK56"/>
    <mergeCell ref="AL55:AL56"/>
    <mergeCell ref="AM55:AM56"/>
    <mergeCell ref="AN55:AN56"/>
    <mergeCell ref="AO55:AO56"/>
    <mergeCell ref="AP55:AP56"/>
    <mergeCell ref="AQ55:AQ56"/>
    <mergeCell ref="AR55:AR56"/>
    <mergeCell ref="AS55:AS56"/>
    <mergeCell ref="AT55:AT56"/>
    <mergeCell ref="AU55:AU56"/>
    <mergeCell ref="AV55:AV56"/>
    <mergeCell ref="AW55:AW56"/>
    <mergeCell ref="AX55:AX56"/>
    <mergeCell ref="AH55:AH56"/>
    <mergeCell ref="AI55:AI56"/>
    <mergeCell ref="BA55:BA56"/>
    <mergeCell ref="BB55:BB56"/>
    <mergeCell ref="BC55:BC56"/>
    <mergeCell ref="BD55:BD56"/>
    <mergeCell ref="BE55:BE56"/>
    <mergeCell ref="BF55:BF56"/>
    <mergeCell ref="BG55:BG56"/>
    <mergeCell ref="A57:A58"/>
    <mergeCell ref="B57:B58"/>
    <mergeCell ref="C57:C58"/>
    <mergeCell ref="D57:D58"/>
    <mergeCell ref="E57:E58"/>
    <mergeCell ref="F57:F58"/>
    <mergeCell ref="G57:G58"/>
    <mergeCell ref="H57:H58"/>
    <mergeCell ref="I57:I58"/>
    <mergeCell ref="J57:J58"/>
    <mergeCell ref="N57:N58"/>
    <mergeCell ref="Q57:Q58"/>
    <mergeCell ref="R57:R58"/>
    <mergeCell ref="S57:S58"/>
    <mergeCell ref="T57:T58"/>
    <mergeCell ref="U57:U58"/>
    <mergeCell ref="V57:V58"/>
    <mergeCell ref="W57:W58"/>
    <mergeCell ref="X57:X58"/>
    <mergeCell ref="Y57:Y58"/>
    <mergeCell ref="Z57:Z58"/>
    <mergeCell ref="AA57:AA58"/>
    <mergeCell ref="AB57:AB58"/>
    <mergeCell ref="BF57:BF58"/>
    <mergeCell ref="AC57:AC58"/>
    <mergeCell ref="AY57:AY58"/>
    <mergeCell ref="AZ57:AZ58"/>
    <mergeCell ref="BG57:BG58"/>
    <mergeCell ref="A59:I59"/>
    <mergeCell ref="A60:I60"/>
    <mergeCell ref="A61:O61"/>
    <mergeCell ref="U61:U62"/>
    <mergeCell ref="A62:O62"/>
    <mergeCell ref="BA57:BA58"/>
    <mergeCell ref="BB57:BB58"/>
    <mergeCell ref="BC57:BC58"/>
    <mergeCell ref="BD57:BD58"/>
    <mergeCell ref="AE57:AE58"/>
    <mergeCell ref="AF57:AF58"/>
    <mergeCell ref="AG57:AG58"/>
    <mergeCell ref="AH57:AH58"/>
    <mergeCell ref="AI57:AI58"/>
    <mergeCell ref="AJ57:AJ58"/>
    <mergeCell ref="AK57:AK58"/>
    <mergeCell ref="AL57:AL58"/>
    <mergeCell ref="AM57:AM58"/>
    <mergeCell ref="AN57:AN58"/>
    <mergeCell ref="AO57:AO58"/>
    <mergeCell ref="AP57:AP58"/>
    <mergeCell ref="AQ57:AQ58"/>
    <mergeCell ref="AR57:AR58"/>
    <mergeCell ref="AS57:AS58"/>
    <mergeCell ref="BE57:BE58"/>
    <mergeCell ref="AD57:AD58"/>
    <mergeCell ref="AT57:AT58"/>
    <mergeCell ref="AU57:AU58"/>
    <mergeCell ref="AV57:AV58"/>
    <mergeCell ref="S63:S64"/>
    <mergeCell ref="T63:T64"/>
    <mergeCell ref="U63:U64"/>
    <mergeCell ref="V63:V64"/>
    <mergeCell ref="W63:W64"/>
    <mergeCell ref="X63:X64"/>
    <mergeCell ref="Y63:Y64"/>
    <mergeCell ref="Z63:Z64"/>
    <mergeCell ref="AA63:AA64"/>
    <mergeCell ref="AB63:AB64"/>
    <mergeCell ref="AC63:AC64"/>
    <mergeCell ref="AD63:AD64"/>
    <mergeCell ref="AE63:AE64"/>
    <mergeCell ref="AF63:AF64"/>
    <mergeCell ref="AG63:AG64"/>
    <mergeCell ref="AH63:AH64"/>
    <mergeCell ref="AI63:AI64"/>
    <mergeCell ref="AJ63:AJ64"/>
    <mergeCell ref="AK63:AK64"/>
    <mergeCell ref="AL63:AL64"/>
    <mergeCell ref="AM63:AM64"/>
    <mergeCell ref="AN63:AN64"/>
    <mergeCell ref="AO63:AO64"/>
    <mergeCell ref="AP63:AP64"/>
    <mergeCell ref="AQ63:AQ64"/>
    <mergeCell ref="AR63:AR64"/>
    <mergeCell ref="AS63:AS64"/>
    <mergeCell ref="AT63:AT64"/>
    <mergeCell ref="AU63:AU64"/>
    <mergeCell ref="AV63:AV64"/>
    <mergeCell ref="AW63:AW64"/>
    <mergeCell ref="AX63:AX64"/>
    <mergeCell ref="AY63:AY64"/>
    <mergeCell ref="AZ63:AZ64"/>
    <mergeCell ref="BA63:BA64"/>
    <mergeCell ref="BB63:BB64"/>
    <mergeCell ref="BC63:BC64"/>
    <mergeCell ref="BD63:BD64"/>
    <mergeCell ref="BE63:BE64"/>
    <mergeCell ref="BF63:BF64"/>
    <mergeCell ref="BG63:BG64"/>
    <mergeCell ref="A65:A66"/>
    <mergeCell ref="B65:B66"/>
    <mergeCell ref="C65:C66"/>
    <mergeCell ref="D65:D66"/>
    <mergeCell ref="E65:E66"/>
    <mergeCell ref="AK65:AK66"/>
    <mergeCell ref="AL65:AL66"/>
    <mergeCell ref="F65:F66"/>
    <mergeCell ref="G65:G66"/>
    <mergeCell ref="H65:H66"/>
    <mergeCell ref="I65:I66"/>
    <mergeCell ref="J65:J66"/>
    <mergeCell ref="N65:N66"/>
    <mergeCell ref="Q65:Q66"/>
    <mergeCell ref="R65:R66"/>
    <mergeCell ref="S65:S66"/>
    <mergeCell ref="T65:T66"/>
    <mergeCell ref="U65:U66"/>
    <mergeCell ref="V65:V66"/>
    <mergeCell ref="W65:W66"/>
    <mergeCell ref="X65:X66"/>
    <mergeCell ref="Y65:Y66"/>
    <mergeCell ref="Z65:Z66"/>
    <mergeCell ref="AA65:AA66"/>
    <mergeCell ref="AB65:AB66"/>
    <mergeCell ref="AN65:AN66"/>
    <mergeCell ref="AC65:AC66"/>
    <mergeCell ref="AD65:AD66"/>
    <mergeCell ref="AE65:AE66"/>
    <mergeCell ref="AF65:AF66"/>
    <mergeCell ref="AG65:AG66"/>
    <mergeCell ref="AH65:AH66"/>
    <mergeCell ref="AI65:AI66"/>
    <mergeCell ref="AJ65:AJ66"/>
    <mergeCell ref="AW65:AW66"/>
    <mergeCell ref="AX65:AX66"/>
    <mergeCell ref="AY65:AY66"/>
    <mergeCell ref="AZ65:AZ66"/>
    <mergeCell ref="AO65:AO66"/>
    <mergeCell ref="AP65:AP66"/>
    <mergeCell ref="AQ65:AQ66"/>
    <mergeCell ref="AR65:AR66"/>
    <mergeCell ref="AS65:AS66"/>
    <mergeCell ref="AT65:AT66"/>
    <mergeCell ref="BG65:BG66"/>
    <mergeCell ref="BA65:BA66"/>
    <mergeCell ref="BB65:BB66"/>
    <mergeCell ref="BC65:BC66"/>
    <mergeCell ref="BD65:BD66"/>
    <mergeCell ref="BE65:BE66"/>
    <mergeCell ref="BF65:BF66"/>
    <mergeCell ref="AU65:AU66"/>
    <mergeCell ref="AV65:AV66"/>
    <mergeCell ref="T67:T68"/>
    <mergeCell ref="U67:U68"/>
    <mergeCell ref="V67:V68"/>
    <mergeCell ref="W67:W68"/>
    <mergeCell ref="X67:X68"/>
    <mergeCell ref="H67:H68"/>
    <mergeCell ref="I67:I68"/>
    <mergeCell ref="J67:J68"/>
    <mergeCell ref="N67:N68"/>
    <mergeCell ref="Q67:Q68"/>
    <mergeCell ref="AK67:AK68"/>
    <mergeCell ref="AL67:AL68"/>
    <mergeCell ref="AM67:AM68"/>
    <mergeCell ref="AN67:AN68"/>
    <mergeCell ref="AO67:AO68"/>
    <mergeCell ref="AP67:AP68"/>
    <mergeCell ref="AQ67:AQ68"/>
    <mergeCell ref="AR67:AR68"/>
    <mergeCell ref="AS67:AS68"/>
    <mergeCell ref="AT67:AT68"/>
    <mergeCell ref="AU67:AU68"/>
    <mergeCell ref="AV67:AV68"/>
    <mergeCell ref="AM65:AM66"/>
    <mergeCell ref="Y69:Y70"/>
    <mergeCell ref="Z69:Z70"/>
    <mergeCell ref="G67:G68"/>
    <mergeCell ref="AI67:AI68"/>
    <mergeCell ref="AJ67:AJ68"/>
    <mergeCell ref="Y67:Y68"/>
    <mergeCell ref="Z67:Z68"/>
    <mergeCell ref="AA67:AA68"/>
    <mergeCell ref="AB67:AB68"/>
    <mergeCell ref="AC67:AC68"/>
    <mergeCell ref="AD67:AD68"/>
    <mergeCell ref="S67:S68"/>
    <mergeCell ref="AE67:AE68"/>
    <mergeCell ref="AF67:AF68"/>
    <mergeCell ref="AG67:AG68"/>
    <mergeCell ref="AH67:AH68"/>
    <mergeCell ref="A67:A68"/>
    <mergeCell ref="B67:B68"/>
    <mergeCell ref="C67:C68"/>
    <mergeCell ref="D67:D68"/>
    <mergeCell ref="E67:E68"/>
    <mergeCell ref="F67:F68"/>
    <mergeCell ref="R67:R68"/>
    <mergeCell ref="AP69:AP70"/>
    <mergeCell ref="AQ69:AQ70"/>
    <mergeCell ref="AW67:AW68"/>
    <mergeCell ref="AX67:AX68"/>
    <mergeCell ref="AY67:AY68"/>
    <mergeCell ref="AZ67:AZ68"/>
    <mergeCell ref="BA67:BA68"/>
    <mergeCell ref="BB67:BB68"/>
    <mergeCell ref="BC67:BC68"/>
    <mergeCell ref="BD67:BD68"/>
    <mergeCell ref="BE67:BE68"/>
    <mergeCell ref="BF67:BF68"/>
    <mergeCell ref="BG67:BG68"/>
    <mergeCell ref="A69:A70"/>
    <mergeCell ref="B69:B70"/>
    <mergeCell ref="C69:C70"/>
    <mergeCell ref="D69:D70"/>
    <mergeCell ref="E69:E70"/>
    <mergeCell ref="F69:F70"/>
    <mergeCell ref="G69:G70"/>
    <mergeCell ref="H69:H70"/>
    <mergeCell ref="I69:I70"/>
    <mergeCell ref="J69:J70"/>
    <mergeCell ref="N69:N70"/>
    <mergeCell ref="Q69:Q70"/>
    <mergeCell ref="R69:R70"/>
    <mergeCell ref="S69:S70"/>
    <mergeCell ref="T69:T70"/>
    <mergeCell ref="U69:U70"/>
    <mergeCell ref="V69:V70"/>
    <mergeCell ref="W69:W70"/>
    <mergeCell ref="X69:X70"/>
    <mergeCell ref="AR69:AR70"/>
    <mergeCell ref="AS69:AS70"/>
    <mergeCell ref="AT69:AT70"/>
    <mergeCell ref="AU69:AU70"/>
    <mergeCell ref="AV69:AV70"/>
    <mergeCell ref="AW69:AW70"/>
    <mergeCell ref="AX69:AX70"/>
    <mergeCell ref="AY69:AY70"/>
    <mergeCell ref="AZ69:AZ70"/>
    <mergeCell ref="BA69:BA70"/>
    <mergeCell ref="BB69:BB70"/>
    <mergeCell ref="BC69:BC70"/>
    <mergeCell ref="BD69:BD70"/>
    <mergeCell ref="BE69:BE70"/>
    <mergeCell ref="BF69:BF70"/>
    <mergeCell ref="BG69:BG70"/>
    <mergeCell ref="A71:I71"/>
    <mergeCell ref="AA69:AA70"/>
    <mergeCell ref="AB69:AB70"/>
    <mergeCell ref="AC69:AC70"/>
    <mergeCell ref="AD69:AD70"/>
    <mergeCell ref="AE69:AE70"/>
    <mergeCell ref="AF69:AF70"/>
    <mergeCell ref="AG69:AG70"/>
    <mergeCell ref="AH69:AH70"/>
    <mergeCell ref="AI69:AI70"/>
    <mergeCell ref="AJ69:AJ70"/>
    <mergeCell ref="AK69:AK70"/>
    <mergeCell ref="AL69:AL70"/>
    <mergeCell ref="AM69:AM70"/>
    <mergeCell ref="AN69:AN70"/>
    <mergeCell ref="AO69:AO70"/>
    <mergeCell ref="A72:A73"/>
    <mergeCell ref="B72:B73"/>
    <mergeCell ref="C72:C73"/>
    <mergeCell ref="D72:D73"/>
    <mergeCell ref="E72:E73"/>
    <mergeCell ref="F72:F73"/>
    <mergeCell ref="G72:G73"/>
    <mergeCell ref="H72:H73"/>
    <mergeCell ref="I72:I73"/>
    <mergeCell ref="J72:J73"/>
    <mergeCell ref="N72:N73"/>
    <mergeCell ref="Q72:Q73"/>
    <mergeCell ref="R72:R73"/>
    <mergeCell ref="S72:S73"/>
    <mergeCell ref="T72:T73"/>
    <mergeCell ref="U72:U73"/>
    <mergeCell ref="V72:V73"/>
    <mergeCell ref="W72:W73"/>
    <mergeCell ref="X72:X73"/>
    <mergeCell ref="Y72:Y73"/>
    <mergeCell ref="Z72:Z73"/>
    <mergeCell ref="AA72:AA73"/>
    <mergeCell ref="AB72:AB73"/>
    <mergeCell ref="AC72:AC73"/>
    <mergeCell ref="AD72:AD73"/>
    <mergeCell ref="AE72:AE73"/>
    <mergeCell ref="AF72:AF73"/>
    <mergeCell ref="AG72:AG73"/>
    <mergeCell ref="AH72:AH73"/>
    <mergeCell ref="AI72:AI73"/>
    <mergeCell ref="AJ72:AJ73"/>
    <mergeCell ref="AK72:AK73"/>
    <mergeCell ref="AL72:AL73"/>
    <mergeCell ref="AM72:AM73"/>
    <mergeCell ref="AN72:AN73"/>
    <mergeCell ref="AO72:AO73"/>
    <mergeCell ref="AP72:AP73"/>
    <mergeCell ref="AQ72:AQ73"/>
    <mergeCell ref="AR72:AR73"/>
    <mergeCell ref="AS72:AS73"/>
    <mergeCell ref="AT72:AT73"/>
    <mergeCell ref="AU72:AU73"/>
    <mergeCell ref="AV72:AV73"/>
    <mergeCell ref="AW72:AW73"/>
    <mergeCell ref="AX72:AX73"/>
    <mergeCell ref="AY72:AY73"/>
    <mergeCell ref="AZ72:AZ73"/>
    <mergeCell ref="BA72:BA73"/>
    <mergeCell ref="BB72:BB73"/>
    <mergeCell ref="BC72:BC73"/>
    <mergeCell ref="BD72:BD73"/>
    <mergeCell ref="BE72:BE73"/>
    <mergeCell ref="BF72:BF73"/>
    <mergeCell ref="BG72:BG73"/>
    <mergeCell ref="A74:A75"/>
    <mergeCell ref="B74:B75"/>
    <mergeCell ref="C74:C75"/>
    <mergeCell ref="D74:D75"/>
    <mergeCell ref="E74:E75"/>
    <mergeCell ref="F74:F75"/>
    <mergeCell ref="G74:G75"/>
    <mergeCell ref="H74:H75"/>
    <mergeCell ref="I74:I75"/>
    <mergeCell ref="J74:J75"/>
    <mergeCell ref="N74:N75"/>
    <mergeCell ref="Q74:Q75"/>
    <mergeCell ref="R74:R75"/>
    <mergeCell ref="S74:S75"/>
    <mergeCell ref="T74:T75"/>
    <mergeCell ref="U74:U75"/>
    <mergeCell ref="V74:V75"/>
    <mergeCell ref="W74:W75"/>
    <mergeCell ref="X74:X75"/>
    <mergeCell ref="Y74:Y75"/>
    <mergeCell ref="Z74:Z75"/>
    <mergeCell ref="AA74:AA75"/>
    <mergeCell ref="AB74:AB75"/>
    <mergeCell ref="AC74:AC75"/>
    <mergeCell ref="AD74:AD75"/>
    <mergeCell ref="AE74:AE75"/>
    <mergeCell ref="AF74:AF75"/>
    <mergeCell ref="AG74:AG75"/>
    <mergeCell ref="AH74:AH75"/>
    <mergeCell ref="AI74:AI75"/>
    <mergeCell ref="AJ74:AJ75"/>
    <mergeCell ref="AK74:AK75"/>
    <mergeCell ref="AL74:AL75"/>
    <mergeCell ref="AM74:AM75"/>
    <mergeCell ref="AN74:AN75"/>
    <mergeCell ref="AO74:AO75"/>
    <mergeCell ref="AP74:AP75"/>
    <mergeCell ref="AQ74:AQ75"/>
    <mergeCell ref="AR74:AR75"/>
    <mergeCell ref="AS74:AS75"/>
    <mergeCell ref="AT74:AT75"/>
    <mergeCell ref="AU74:AU75"/>
    <mergeCell ref="AV74:AV75"/>
    <mergeCell ref="AW74:AW75"/>
    <mergeCell ref="AX74:AX75"/>
    <mergeCell ref="AY74:AY75"/>
    <mergeCell ref="AZ74:AZ75"/>
    <mergeCell ref="BA74:BA75"/>
    <mergeCell ref="BB74:BB75"/>
    <mergeCell ref="BC74:BC75"/>
    <mergeCell ref="BD74:BD75"/>
    <mergeCell ref="BE74:BE75"/>
    <mergeCell ref="BF74:BF75"/>
    <mergeCell ref="BG74:BG75"/>
    <mergeCell ref="A76:A77"/>
    <mergeCell ref="B76:B77"/>
    <mergeCell ref="C76:C77"/>
    <mergeCell ref="D76:D77"/>
    <mergeCell ref="E76:E77"/>
    <mergeCell ref="F76:F77"/>
    <mergeCell ref="G76:G77"/>
    <mergeCell ref="H76:H77"/>
    <mergeCell ref="I76:I77"/>
    <mergeCell ref="J76:J77"/>
    <mergeCell ref="N76:N77"/>
    <mergeCell ref="Q76:Q77"/>
    <mergeCell ref="R76:R77"/>
    <mergeCell ref="S76:S77"/>
    <mergeCell ref="T76:T77"/>
    <mergeCell ref="U76:U77"/>
    <mergeCell ref="V76:V77"/>
    <mergeCell ref="W76:W77"/>
    <mergeCell ref="X76:X77"/>
    <mergeCell ref="Y76:Y77"/>
    <mergeCell ref="Z76:Z77"/>
    <mergeCell ref="AA76:AA77"/>
    <mergeCell ref="AB76:AB77"/>
    <mergeCell ref="AC76:AC77"/>
    <mergeCell ref="AD76:AD77"/>
    <mergeCell ref="AE76:AE77"/>
    <mergeCell ref="AF76:AF77"/>
    <mergeCell ref="AG76:AG77"/>
    <mergeCell ref="AH76:AH77"/>
    <mergeCell ref="AI76:AI77"/>
    <mergeCell ref="AJ76:AJ77"/>
    <mergeCell ref="AK76:AK77"/>
    <mergeCell ref="AL76:AL77"/>
    <mergeCell ref="AM76:AM77"/>
    <mergeCell ref="AN76:AN77"/>
    <mergeCell ref="AO76:AO77"/>
    <mergeCell ref="AP76:AP77"/>
    <mergeCell ref="AQ76:AQ77"/>
    <mergeCell ref="AR76:AR77"/>
    <mergeCell ref="AS76:AS77"/>
    <mergeCell ref="AT76:AT77"/>
    <mergeCell ref="AU76:AU77"/>
    <mergeCell ref="AV76:AV77"/>
    <mergeCell ref="AW76:AW77"/>
    <mergeCell ref="AX76:AX77"/>
    <mergeCell ref="AY76:AY77"/>
    <mergeCell ref="AZ76:AZ77"/>
    <mergeCell ref="BA76:BA77"/>
    <mergeCell ref="BB76:BB77"/>
    <mergeCell ref="BC76:BC77"/>
    <mergeCell ref="BD76:BD77"/>
    <mergeCell ref="BE76:BE77"/>
    <mergeCell ref="BF76:BF77"/>
    <mergeCell ref="BG76:BG77"/>
    <mergeCell ref="A78:A79"/>
    <mergeCell ref="B78:B79"/>
    <mergeCell ref="C78:C79"/>
    <mergeCell ref="D78:D79"/>
    <mergeCell ref="E78:E79"/>
    <mergeCell ref="F78:F79"/>
    <mergeCell ref="G78:G79"/>
    <mergeCell ref="H78:H79"/>
    <mergeCell ref="I78:I79"/>
    <mergeCell ref="J78:J79"/>
    <mergeCell ref="N78:N79"/>
    <mergeCell ref="Q78:Q79"/>
    <mergeCell ref="R78:R79"/>
    <mergeCell ref="S78:S79"/>
    <mergeCell ref="T78:T79"/>
    <mergeCell ref="U78:U79"/>
    <mergeCell ref="V78:V79"/>
    <mergeCell ref="W78:W79"/>
    <mergeCell ref="X78:X79"/>
    <mergeCell ref="Y78:Y79"/>
    <mergeCell ref="Z78:Z79"/>
    <mergeCell ref="AA78:AA79"/>
    <mergeCell ref="AB78:AB79"/>
    <mergeCell ref="AC78:AC79"/>
    <mergeCell ref="AD78:AD79"/>
    <mergeCell ref="AE78:AE79"/>
    <mergeCell ref="AF78:AF79"/>
    <mergeCell ref="AG78:AG79"/>
    <mergeCell ref="AH78:AH79"/>
    <mergeCell ref="AI78:AI79"/>
    <mergeCell ref="AJ78:AJ79"/>
    <mergeCell ref="AK78:AK79"/>
    <mergeCell ref="AL78:AL79"/>
    <mergeCell ref="AM78:AM79"/>
    <mergeCell ref="AN78:AN79"/>
    <mergeCell ref="AO78:AO79"/>
    <mergeCell ref="AP78:AP79"/>
    <mergeCell ref="AQ78:AQ79"/>
    <mergeCell ref="AR78:AR79"/>
    <mergeCell ref="AS78:AS79"/>
    <mergeCell ref="AT78:AT79"/>
    <mergeCell ref="AU78:AU79"/>
    <mergeCell ref="AV78:AV79"/>
    <mergeCell ref="AW78:AW79"/>
    <mergeCell ref="AX78:AX79"/>
    <mergeCell ref="AY78:AY79"/>
    <mergeCell ref="AZ78:AZ79"/>
    <mergeCell ref="BA78:BA79"/>
    <mergeCell ref="BB78:BB79"/>
    <mergeCell ref="BC78:BC79"/>
    <mergeCell ref="BD78:BD79"/>
    <mergeCell ref="BE78:BE79"/>
    <mergeCell ref="BF78:BF79"/>
    <mergeCell ref="BG78:BG79"/>
    <mergeCell ref="A80:A81"/>
    <mergeCell ref="B80:B81"/>
    <mergeCell ref="C80:C81"/>
    <mergeCell ref="D80:D81"/>
    <mergeCell ref="E80:E81"/>
    <mergeCell ref="F80:F81"/>
    <mergeCell ref="G80:G81"/>
    <mergeCell ref="H80:H81"/>
    <mergeCell ref="I80:I81"/>
    <mergeCell ref="J80:J81"/>
    <mergeCell ref="N80:N81"/>
    <mergeCell ref="Q80:Q81"/>
    <mergeCell ref="AA80:AA81"/>
    <mergeCell ref="AB80:AB81"/>
    <mergeCell ref="AC80:AC81"/>
    <mergeCell ref="R80:R81"/>
    <mergeCell ref="S80:S81"/>
    <mergeCell ref="T80:T81"/>
    <mergeCell ref="U80:U81"/>
    <mergeCell ref="V80:V81"/>
    <mergeCell ref="W80:W81"/>
    <mergeCell ref="BF80:BF81"/>
    <mergeCell ref="BG80:BG81"/>
    <mergeCell ref="AV80:AV81"/>
    <mergeCell ref="AW80:AW81"/>
    <mergeCell ref="AX80:AX81"/>
    <mergeCell ref="AY80:AY81"/>
    <mergeCell ref="AZ80:AZ81"/>
    <mergeCell ref="BA80:BA81"/>
    <mergeCell ref="X80:X81"/>
    <mergeCell ref="Y80:Y81"/>
    <mergeCell ref="Z80:Z81"/>
    <mergeCell ref="BC80:BC81"/>
    <mergeCell ref="BD80:BD81"/>
    <mergeCell ref="BE80:BE81"/>
    <mergeCell ref="AP80:AP81"/>
    <mergeCell ref="AQ80:AQ81"/>
    <mergeCell ref="AR80:AR81"/>
    <mergeCell ref="AS80:AS81"/>
    <mergeCell ref="AD80:AD81"/>
    <mergeCell ref="AE80:AE81"/>
    <mergeCell ref="AF80:AF81"/>
    <mergeCell ref="AG80:AG81"/>
    <mergeCell ref="AH80:AH81"/>
    <mergeCell ref="AI80:AI81"/>
    <mergeCell ref="BB80:BB81"/>
    <mergeCell ref="AJ80:AJ81"/>
    <mergeCell ref="AK80:AK81"/>
    <mergeCell ref="AL80:AL81"/>
    <mergeCell ref="AM80:AM81"/>
    <mergeCell ref="AN80:AN81"/>
    <mergeCell ref="AO80:AO81"/>
    <mergeCell ref="AT80:AT81"/>
    <mergeCell ref="AU80:AU81"/>
    <mergeCell ref="A82:I82"/>
    <mergeCell ref="A83:A84"/>
    <mergeCell ref="B83:B84"/>
    <mergeCell ref="C83:C84"/>
    <mergeCell ref="D83:D84"/>
    <mergeCell ref="E83:E84"/>
    <mergeCell ref="F83:F84"/>
    <mergeCell ref="G83:G84"/>
    <mergeCell ref="H83:H84"/>
    <mergeCell ref="I83:I84"/>
    <mergeCell ref="J83:J84"/>
    <mergeCell ref="N83:N84"/>
    <mergeCell ref="Q83:Q84"/>
    <mergeCell ref="R83:R84"/>
    <mergeCell ref="S83:S84"/>
    <mergeCell ref="T83:T84"/>
    <mergeCell ref="U83:U84"/>
    <mergeCell ref="V83:V84"/>
    <mergeCell ref="W83:W84"/>
    <mergeCell ref="X83:X84"/>
    <mergeCell ref="Y83:Y84"/>
    <mergeCell ref="Z83:Z84"/>
    <mergeCell ref="AA83:AA84"/>
    <mergeCell ref="AB83:AB84"/>
    <mergeCell ref="AC83:AC84"/>
    <mergeCell ref="AD83:AD84"/>
    <mergeCell ref="AE83:AE84"/>
    <mergeCell ref="AF83:AF84"/>
    <mergeCell ref="AG83:AG84"/>
    <mergeCell ref="AH83:AH84"/>
    <mergeCell ref="AI83:AI84"/>
    <mergeCell ref="AJ83:AJ84"/>
    <mergeCell ref="AK83:AK84"/>
    <mergeCell ref="AL83:AL84"/>
    <mergeCell ref="AM83:AM84"/>
    <mergeCell ref="AN83:AN84"/>
    <mergeCell ref="AO83:AO84"/>
    <mergeCell ref="AP83:AP84"/>
    <mergeCell ref="AQ83:AQ84"/>
    <mergeCell ref="AR83:AR84"/>
    <mergeCell ref="AS83:AS84"/>
    <mergeCell ref="AT83:AT84"/>
    <mergeCell ref="AU83:AU84"/>
    <mergeCell ref="AV83:AV84"/>
    <mergeCell ref="AW83:AW84"/>
    <mergeCell ref="AX83:AX84"/>
    <mergeCell ref="AY83:AY84"/>
    <mergeCell ref="AZ83:AZ84"/>
    <mergeCell ref="BA83:BA84"/>
    <mergeCell ref="BB83:BB84"/>
    <mergeCell ref="BC83:BC84"/>
    <mergeCell ref="BD83:BD84"/>
    <mergeCell ref="BE83:BE84"/>
    <mergeCell ref="BF83:BF84"/>
    <mergeCell ref="BG83:BG84"/>
    <mergeCell ref="A85:A86"/>
    <mergeCell ref="B85:B86"/>
    <mergeCell ref="C85:C86"/>
    <mergeCell ref="D85:D86"/>
    <mergeCell ref="E85:E86"/>
    <mergeCell ref="F85:F86"/>
    <mergeCell ref="G85:G86"/>
    <mergeCell ref="H85:H86"/>
    <mergeCell ref="I85:I86"/>
    <mergeCell ref="J85:J86"/>
    <mergeCell ref="N85:N86"/>
    <mergeCell ref="Q85:Q86"/>
    <mergeCell ref="R85:R86"/>
    <mergeCell ref="S85:S86"/>
    <mergeCell ref="T85:T86"/>
    <mergeCell ref="U85:U86"/>
    <mergeCell ref="V85:V86"/>
    <mergeCell ref="W85:W86"/>
    <mergeCell ref="X85:X86"/>
    <mergeCell ref="Y85:Y86"/>
    <mergeCell ref="Z85:Z86"/>
    <mergeCell ref="AA85:AA86"/>
    <mergeCell ref="AB85:AB86"/>
    <mergeCell ref="AC85:AC86"/>
    <mergeCell ref="AD85:AD86"/>
    <mergeCell ref="AE85:AE86"/>
    <mergeCell ref="AF85:AF86"/>
    <mergeCell ref="AG85:AG86"/>
    <mergeCell ref="AH85:AH86"/>
    <mergeCell ref="AI85:AI86"/>
    <mergeCell ref="AJ85:AJ86"/>
    <mergeCell ref="AK85:AK86"/>
    <mergeCell ref="AL85:AL86"/>
    <mergeCell ref="AM85:AM86"/>
    <mergeCell ref="AN85:AN86"/>
    <mergeCell ref="AO85:AO86"/>
    <mergeCell ref="AP85:AP86"/>
    <mergeCell ref="AQ85:AQ86"/>
    <mergeCell ref="AR85:AR86"/>
    <mergeCell ref="AS85:AS86"/>
    <mergeCell ref="AT85:AT86"/>
    <mergeCell ref="AU85:AU86"/>
    <mergeCell ref="AV85:AV86"/>
    <mergeCell ref="AW85:AW86"/>
    <mergeCell ref="AX85:AX86"/>
    <mergeCell ref="AY85:AY86"/>
    <mergeCell ref="AZ85:AZ86"/>
    <mergeCell ref="BA85:BA86"/>
    <mergeCell ref="BB85:BB86"/>
    <mergeCell ref="BC85:BC86"/>
    <mergeCell ref="BD85:BD86"/>
    <mergeCell ref="BE85:BE86"/>
    <mergeCell ref="BF85:BF86"/>
    <mergeCell ref="BG85:BG86"/>
    <mergeCell ref="A87:A88"/>
    <mergeCell ref="B87:B88"/>
    <mergeCell ref="C87:C88"/>
    <mergeCell ref="D87:D88"/>
    <mergeCell ref="E87:E88"/>
    <mergeCell ref="F87:F88"/>
    <mergeCell ref="G87:G88"/>
    <mergeCell ref="H87:H88"/>
    <mergeCell ref="I87:I88"/>
    <mergeCell ref="J87:J88"/>
    <mergeCell ref="N87:N88"/>
    <mergeCell ref="Q87:Q88"/>
    <mergeCell ref="R87:R88"/>
    <mergeCell ref="S87:S88"/>
    <mergeCell ref="T87:T88"/>
    <mergeCell ref="U87:U88"/>
    <mergeCell ref="V87:V88"/>
    <mergeCell ref="W87:W88"/>
    <mergeCell ref="X87:X88"/>
    <mergeCell ref="Y87:Y88"/>
    <mergeCell ref="Z87:Z88"/>
    <mergeCell ref="AA87:AA88"/>
    <mergeCell ref="AB87:AB88"/>
    <mergeCell ref="AC87:AC88"/>
    <mergeCell ref="AD87:AD88"/>
    <mergeCell ref="AE87:AE88"/>
    <mergeCell ref="AF87:AF88"/>
    <mergeCell ref="AG87:AG88"/>
    <mergeCell ref="AH87:AH88"/>
    <mergeCell ref="AI87:AI88"/>
    <mergeCell ref="AJ87:AJ88"/>
    <mergeCell ref="AK87:AK88"/>
    <mergeCell ref="AL87:AL88"/>
    <mergeCell ref="AM87:AM88"/>
    <mergeCell ref="AN87:AN88"/>
    <mergeCell ref="AO87:AO88"/>
    <mergeCell ref="AP87:AP88"/>
    <mergeCell ref="AQ87:AQ88"/>
    <mergeCell ref="AR87:AR88"/>
    <mergeCell ref="AS87:AS88"/>
    <mergeCell ref="AT87:AT88"/>
    <mergeCell ref="AU87:AU88"/>
    <mergeCell ref="AV87:AV88"/>
    <mergeCell ref="AW87:AW88"/>
    <mergeCell ref="AX87:AX88"/>
    <mergeCell ref="AY87:AY88"/>
    <mergeCell ref="AZ87:AZ88"/>
    <mergeCell ref="BA87:BA88"/>
    <mergeCell ref="BB87:BB88"/>
    <mergeCell ref="BC87:BC88"/>
    <mergeCell ref="BD87:BD88"/>
    <mergeCell ref="BE87:BE88"/>
    <mergeCell ref="BF87:BF88"/>
    <mergeCell ref="BG87:BG88"/>
    <mergeCell ref="A89:A90"/>
    <mergeCell ref="B89:B90"/>
    <mergeCell ref="C89:C90"/>
    <mergeCell ref="D89:D90"/>
    <mergeCell ref="E89:E90"/>
    <mergeCell ref="F89:F90"/>
    <mergeCell ref="G89:G90"/>
    <mergeCell ref="H89:H90"/>
    <mergeCell ref="I89:I90"/>
    <mergeCell ref="J89:J90"/>
    <mergeCell ref="N89:N90"/>
    <mergeCell ref="Q89:Q90"/>
    <mergeCell ref="R89:R90"/>
    <mergeCell ref="S89:S90"/>
    <mergeCell ref="T89:T90"/>
    <mergeCell ref="U89:U90"/>
    <mergeCell ref="V89:V90"/>
    <mergeCell ref="W89:W90"/>
    <mergeCell ref="X89:X90"/>
    <mergeCell ref="Y89:Y90"/>
    <mergeCell ref="Z89:Z90"/>
    <mergeCell ref="AA89:AA90"/>
    <mergeCell ref="AB89:AB90"/>
    <mergeCell ref="AC89:AC90"/>
    <mergeCell ref="AD89:AD90"/>
    <mergeCell ref="AE89:AE90"/>
    <mergeCell ref="AF89:AF90"/>
    <mergeCell ref="AG89:AG90"/>
    <mergeCell ref="AH89:AH90"/>
    <mergeCell ref="AI89:AI90"/>
    <mergeCell ref="AJ89:AJ90"/>
    <mergeCell ref="AK89:AK90"/>
    <mergeCell ref="AL89:AL90"/>
    <mergeCell ref="AM89:AM90"/>
    <mergeCell ref="AN89:AN90"/>
    <mergeCell ref="AO89:AO90"/>
    <mergeCell ref="AP89:AP90"/>
    <mergeCell ref="AQ89:AQ90"/>
    <mergeCell ref="AR89:AR90"/>
    <mergeCell ref="AS89:AS90"/>
    <mergeCell ref="AT89:AT90"/>
    <mergeCell ref="AU89:AU90"/>
    <mergeCell ref="AV89:AV90"/>
    <mergeCell ref="AW89:AW90"/>
    <mergeCell ref="AX89:AX90"/>
    <mergeCell ref="AY89:AY90"/>
    <mergeCell ref="AZ89:AZ90"/>
    <mergeCell ref="BA89:BA90"/>
    <mergeCell ref="BB89:BB90"/>
    <mergeCell ref="BC89:BC90"/>
    <mergeCell ref="BD89:BD90"/>
    <mergeCell ref="BE89:BE90"/>
    <mergeCell ref="BF89:BF90"/>
    <mergeCell ref="BG89:BG90"/>
    <mergeCell ref="A91:I91"/>
    <mergeCell ref="A92:A93"/>
    <mergeCell ref="B92:B93"/>
    <mergeCell ref="C92:C93"/>
    <mergeCell ref="D92:D93"/>
    <mergeCell ref="E92:E93"/>
    <mergeCell ref="F92:F93"/>
    <mergeCell ref="G92:G93"/>
    <mergeCell ref="H92:H93"/>
    <mergeCell ref="I92:I93"/>
    <mergeCell ref="J92:J93"/>
    <mergeCell ref="N92:N93"/>
    <mergeCell ref="Q92:Q93"/>
    <mergeCell ref="R92:R93"/>
    <mergeCell ref="S92:S93"/>
    <mergeCell ref="T92:T93"/>
    <mergeCell ref="U92:U93"/>
    <mergeCell ref="V92:V93"/>
    <mergeCell ref="W92:W93"/>
    <mergeCell ref="X92:X93"/>
    <mergeCell ref="Y92:Y93"/>
    <mergeCell ref="Z92:Z93"/>
    <mergeCell ref="AA92:AA93"/>
    <mergeCell ref="AB92:AB93"/>
    <mergeCell ref="AC92:AC93"/>
    <mergeCell ref="AD92:AD93"/>
    <mergeCell ref="AE92:AE93"/>
    <mergeCell ref="AF92:AF93"/>
    <mergeCell ref="AG92:AG93"/>
    <mergeCell ref="AH92:AH93"/>
    <mergeCell ref="AI92:AI93"/>
    <mergeCell ref="AJ92:AJ93"/>
    <mergeCell ref="AK92:AK93"/>
    <mergeCell ref="AL92:AL93"/>
    <mergeCell ref="AM92:AM93"/>
    <mergeCell ref="AN92:AN93"/>
    <mergeCell ref="AO92:AO93"/>
    <mergeCell ref="AP92:AP93"/>
    <mergeCell ref="AQ92:AQ93"/>
    <mergeCell ref="AR92:AR93"/>
    <mergeCell ref="AS92:AS93"/>
    <mergeCell ref="AT92:AT93"/>
    <mergeCell ref="AU92:AU93"/>
    <mergeCell ref="AV92:AV93"/>
    <mergeCell ref="AW92:AW93"/>
    <mergeCell ref="AX92:AX93"/>
    <mergeCell ref="AY92:AY93"/>
    <mergeCell ref="AZ92:AZ93"/>
    <mergeCell ref="BA92:BA93"/>
    <mergeCell ref="BB92:BB93"/>
    <mergeCell ref="BC92:BC93"/>
    <mergeCell ref="BD92:BD93"/>
    <mergeCell ref="BE92:BE93"/>
    <mergeCell ref="BF92:BF93"/>
    <mergeCell ref="BG92:BG93"/>
    <mergeCell ref="A94:A95"/>
    <mergeCell ref="B94:B95"/>
    <mergeCell ref="C94:C95"/>
    <mergeCell ref="D94:D95"/>
    <mergeCell ref="E94:E95"/>
    <mergeCell ref="F94:F95"/>
    <mergeCell ref="G94:G95"/>
    <mergeCell ref="H94:H95"/>
    <mergeCell ref="I94:I95"/>
    <mergeCell ref="J94:J95"/>
    <mergeCell ref="N94:N95"/>
    <mergeCell ref="Q94:Q95"/>
    <mergeCell ref="R94:R95"/>
    <mergeCell ref="S94:S95"/>
    <mergeCell ref="T94:T95"/>
    <mergeCell ref="U94:U95"/>
    <mergeCell ref="V94:V95"/>
    <mergeCell ref="W94:W95"/>
    <mergeCell ref="X94:X95"/>
    <mergeCell ref="Y94:Y95"/>
    <mergeCell ref="Z94:Z95"/>
    <mergeCell ref="AA94:AA95"/>
    <mergeCell ref="AB94:AB95"/>
    <mergeCell ref="AC94:AC95"/>
    <mergeCell ref="AD94:AD95"/>
    <mergeCell ref="AE94:AE95"/>
    <mergeCell ref="AF94:AF95"/>
    <mergeCell ref="AG94:AG95"/>
    <mergeCell ref="AH94:AH95"/>
    <mergeCell ref="AI94:AI95"/>
    <mergeCell ref="AJ94:AJ95"/>
    <mergeCell ref="AK94:AK95"/>
    <mergeCell ref="AL94:AL95"/>
    <mergeCell ref="AM94:AM95"/>
    <mergeCell ref="AN94:AN95"/>
    <mergeCell ref="AO94:AO95"/>
    <mergeCell ref="AP94:AP95"/>
    <mergeCell ref="AQ94:AQ95"/>
    <mergeCell ref="AR94:AR95"/>
    <mergeCell ref="AS94:AS95"/>
    <mergeCell ref="AT94:AT95"/>
    <mergeCell ref="AU94:AU95"/>
    <mergeCell ref="AV94:AV95"/>
    <mergeCell ref="AW94:AW95"/>
    <mergeCell ref="AX94:AX95"/>
    <mergeCell ref="AY94:AY95"/>
    <mergeCell ref="AZ94:AZ95"/>
    <mergeCell ref="BA94:BA95"/>
    <mergeCell ref="BB94:BB95"/>
    <mergeCell ref="BC94:BC95"/>
    <mergeCell ref="BD94:BD95"/>
    <mergeCell ref="BE94:BE95"/>
    <mergeCell ref="BF94:BF95"/>
    <mergeCell ref="BG94:BG95"/>
    <mergeCell ref="A96:A97"/>
    <mergeCell ref="B96:B97"/>
    <mergeCell ref="C96:C97"/>
    <mergeCell ref="D96:D97"/>
    <mergeCell ref="E96:E97"/>
    <mergeCell ref="F96:F97"/>
    <mergeCell ref="G96:G97"/>
    <mergeCell ref="H96:H97"/>
    <mergeCell ref="I96:I97"/>
    <mergeCell ref="J96:J97"/>
    <mergeCell ref="N96:N97"/>
    <mergeCell ref="Q96:Q97"/>
    <mergeCell ref="R96:R97"/>
    <mergeCell ref="S96:S97"/>
    <mergeCell ref="T96:T97"/>
    <mergeCell ref="U96:U97"/>
    <mergeCell ref="V96:V97"/>
    <mergeCell ref="W96:W97"/>
    <mergeCell ref="X96:X97"/>
    <mergeCell ref="Y96:Y97"/>
    <mergeCell ref="Z96:Z97"/>
    <mergeCell ref="AA96:AA97"/>
    <mergeCell ref="AB96:AB97"/>
    <mergeCell ref="AC96:AC97"/>
    <mergeCell ref="AD96:AD97"/>
    <mergeCell ref="AE96:AE97"/>
    <mergeCell ref="AF96:AF97"/>
    <mergeCell ref="AG96:AG97"/>
    <mergeCell ref="AH96:AH97"/>
    <mergeCell ref="AI96:AI97"/>
    <mergeCell ref="AJ96:AJ97"/>
    <mergeCell ref="AK96:AK97"/>
    <mergeCell ref="AL96:AL97"/>
    <mergeCell ref="AM96:AM97"/>
    <mergeCell ref="AN96:AN97"/>
    <mergeCell ref="AO96:AO97"/>
    <mergeCell ref="AP96:AP97"/>
    <mergeCell ref="AQ96:AQ97"/>
    <mergeCell ref="AR96:AR97"/>
    <mergeCell ref="AS96:AS97"/>
    <mergeCell ref="AT96:AT97"/>
    <mergeCell ref="AU96:AU97"/>
    <mergeCell ref="AV96:AV97"/>
    <mergeCell ref="AW96:AW97"/>
    <mergeCell ref="AX96:AX97"/>
    <mergeCell ref="AY96:AY97"/>
    <mergeCell ref="AZ96:AZ97"/>
    <mergeCell ref="BA96:BA97"/>
    <mergeCell ref="BB96:BB97"/>
    <mergeCell ref="BC96:BC97"/>
    <mergeCell ref="BD96:BD97"/>
    <mergeCell ref="BE96:BE97"/>
    <mergeCell ref="BF96:BF97"/>
    <mergeCell ref="BG96:BG97"/>
    <mergeCell ref="A98:A99"/>
    <mergeCell ref="B98:B99"/>
    <mergeCell ref="C98:C99"/>
    <mergeCell ref="D98:D99"/>
    <mergeCell ref="E98:E99"/>
    <mergeCell ref="F98:F99"/>
    <mergeCell ref="G98:G99"/>
    <mergeCell ref="H98:H99"/>
    <mergeCell ref="I98:I99"/>
    <mergeCell ref="J98:J99"/>
    <mergeCell ref="N98:N99"/>
    <mergeCell ref="Q98:Q99"/>
    <mergeCell ref="R98:R99"/>
    <mergeCell ref="S98:S99"/>
    <mergeCell ref="T98:T99"/>
    <mergeCell ref="U98:U99"/>
    <mergeCell ref="V98:V99"/>
    <mergeCell ref="W98:W99"/>
    <mergeCell ref="X98:X99"/>
    <mergeCell ref="Y98:Y99"/>
    <mergeCell ref="Z98:Z99"/>
    <mergeCell ref="AA98:AA99"/>
    <mergeCell ref="AB98:AB99"/>
    <mergeCell ref="AC98:AC99"/>
    <mergeCell ref="AD98:AD99"/>
    <mergeCell ref="AE98:AE99"/>
    <mergeCell ref="AF98:AF99"/>
    <mergeCell ref="AG98:AG99"/>
    <mergeCell ref="AH98:AH99"/>
    <mergeCell ref="AI98:AI99"/>
    <mergeCell ref="AT98:AT99"/>
    <mergeCell ref="AU98:AU99"/>
    <mergeCell ref="AJ98:AJ99"/>
    <mergeCell ref="AK98:AK99"/>
    <mergeCell ref="AL98:AL99"/>
    <mergeCell ref="AM98:AM99"/>
    <mergeCell ref="AN98:AN99"/>
    <mergeCell ref="AO98:AO99"/>
    <mergeCell ref="BF98:BF99"/>
    <mergeCell ref="BG98:BG99"/>
    <mergeCell ref="AV98:AV99"/>
    <mergeCell ref="AW98:AW99"/>
    <mergeCell ref="AX98:AX99"/>
    <mergeCell ref="AY98:AY99"/>
    <mergeCell ref="AZ98:AZ99"/>
    <mergeCell ref="BA98:BA99"/>
    <mergeCell ref="A100:I100"/>
    <mergeCell ref="A101:I101"/>
    <mergeCell ref="BB98:BB99"/>
    <mergeCell ref="BC98:BC99"/>
    <mergeCell ref="BD98:BD99"/>
    <mergeCell ref="BE98:BE99"/>
    <mergeCell ref="AP98:AP99"/>
    <mergeCell ref="AQ98:AQ99"/>
    <mergeCell ref="AR98:AR99"/>
    <mergeCell ref="AS98:AS99"/>
  </mergeCells>
  <phoneticPr fontId="61" type="noConversion"/>
  <pageMargins left="0" right="0" top="0" bottom="0" header="0" footer="0"/>
  <pageSetup paperSize="9" scale="65"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8"/>
  <sheetViews>
    <sheetView tabSelected="1" zoomScale="70" zoomScaleNormal="70" workbookViewId="0">
      <pane xSplit="10" ySplit="4" topLeftCell="K71" activePane="bottomRight" state="frozen"/>
      <selection activeCell="R1" sqref="R1"/>
      <selection pane="topRight" activeCell="R1" sqref="R1"/>
      <selection pane="bottomLeft" activeCell="R1" sqref="R1"/>
      <selection pane="bottomRight" activeCell="P121" sqref="P121"/>
    </sheetView>
  </sheetViews>
  <sheetFormatPr defaultColWidth="9.125" defaultRowHeight="13.8"/>
  <cols>
    <col min="1" max="1" width="15.625" style="2" customWidth="1"/>
    <col min="2" max="2" width="15.125" style="2" customWidth="1"/>
    <col min="3" max="3" width="14.125" style="2" customWidth="1"/>
    <col min="4" max="4" width="14.75" style="1" customWidth="1"/>
    <col min="5" max="5" width="12.75" style="1" customWidth="1"/>
    <col min="6" max="6" width="10.75" style="1" customWidth="1"/>
    <col min="7" max="8" width="10.625" style="1" customWidth="1"/>
    <col min="9" max="9" width="11.125" style="1" customWidth="1"/>
    <col min="10" max="10" width="16" style="1" customWidth="1"/>
    <col min="11" max="11" width="13.875" style="1" customWidth="1"/>
    <col min="12" max="12" width="14.125" style="1" customWidth="1"/>
    <col min="13" max="13" width="14.375" style="1" customWidth="1"/>
    <col min="14" max="14" width="13.375" style="1" customWidth="1"/>
    <col min="15" max="15" width="13.875" style="1" customWidth="1"/>
    <col min="16" max="16" width="14.375" style="25" customWidth="1"/>
    <col min="17" max="17" width="18" style="25" customWidth="1"/>
    <col min="18" max="18" width="39.875" style="25" customWidth="1"/>
    <col min="19" max="19" width="9.125" style="8" customWidth="1"/>
    <col min="20" max="60" width="9.125" style="1" customWidth="1"/>
    <col min="61" max="16384" width="9.125" style="1"/>
  </cols>
  <sheetData>
    <row r="1" spans="1:59" ht="31.8">
      <c r="A1" s="81" t="s">
        <v>35</v>
      </c>
      <c r="B1" s="81"/>
      <c r="C1" s="81"/>
      <c r="D1" s="81"/>
      <c r="E1" s="81"/>
      <c r="F1" s="81"/>
      <c r="G1" s="81"/>
      <c r="H1" s="81"/>
      <c r="I1" s="81"/>
      <c r="J1" s="81"/>
      <c r="K1" s="81"/>
      <c r="L1" s="81"/>
      <c r="M1" s="81"/>
      <c r="N1" s="81"/>
      <c r="O1" s="81"/>
      <c r="P1" s="41"/>
      <c r="Q1" s="41"/>
      <c r="R1" s="41"/>
    </row>
    <row r="2" spans="1:59" ht="31.8">
      <c r="A2" s="82" t="s">
        <v>13</v>
      </c>
      <c r="B2" s="82"/>
      <c r="C2" s="82"/>
      <c r="D2" s="82"/>
      <c r="E2" s="82"/>
      <c r="F2" s="82"/>
      <c r="G2" s="82"/>
      <c r="H2" s="82"/>
      <c r="I2" s="82"/>
      <c r="J2" s="82"/>
      <c r="K2" s="82"/>
      <c r="L2" s="82"/>
      <c r="M2" s="82"/>
      <c r="N2" s="82"/>
      <c r="O2" s="82"/>
      <c r="T2" s="25"/>
    </row>
    <row r="3" spans="1:59" ht="62.4">
      <c r="A3" s="9" t="s">
        <v>0</v>
      </c>
      <c r="B3" s="10" t="s">
        <v>34</v>
      </c>
      <c r="C3" s="11" t="s">
        <v>7</v>
      </c>
      <c r="D3" s="12" t="s">
        <v>1</v>
      </c>
      <c r="E3" s="13" t="s">
        <v>4</v>
      </c>
      <c r="F3" s="13" t="s">
        <v>2</v>
      </c>
      <c r="G3" s="13" t="s">
        <v>3</v>
      </c>
      <c r="H3" s="11" t="s">
        <v>6</v>
      </c>
      <c r="I3" s="14" t="s">
        <v>8</v>
      </c>
      <c r="J3" s="14" t="s">
        <v>17</v>
      </c>
      <c r="K3" s="12" t="s">
        <v>9</v>
      </c>
      <c r="L3" s="15" t="s">
        <v>10</v>
      </c>
      <c r="M3" s="15" t="s">
        <v>11</v>
      </c>
      <c r="N3" s="15" t="s">
        <v>12</v>
      </c>
      <c r="O3" s="15" t="s">
        <v>14</v>
      </c>
      <c r="P3" s="26" t="s">
        <v>16</v>
      </c>
      <c r="Q3" s="15" t="s">
        <v>42</v>
      </c>
      <c r="R3" s="15" t="s">
        <v>44</v>
      </c>
      <c r="S3" s="83">
        <v>101</v>
      </c>
      <c r="T3" s="83">
        <v>102</v>
      </c>
      <c r="U3" s="80">
        <v>106</v>
      </c>
      <c r="V3" s="80">
        <v>108</v>
      </c>
      <c r="W3" s="80">
        <v>109</v>
      </c>
      <c r="X3" s="80">
        <v>113</v>
      </c>
      <c r="Y3" s="80">
        <v>114</v>
      </c>
      <c r="Z3" s="80">
        <v>115</v>
      </c>
      <c r="AA3" s="80">
        <v>116</v>
      </c>
      <c r="AB3" s="80">
        <v>199</v>
      </c>
      <c r="AC3" s="80">
        <v>201</v>
      </c>
      <c r="AD3" s="80">
        <v>202</v>
      </c>
      <c r="AE3" s="80">
        <v>203</v>
      </c>
      <c r="AF3" s="80">
        <v>205</v>
      </c>
      <c r="AG3" s="80">
        <v>206</v>
      </c>
      <c r="AH3" s="79">
        <v>209</v>
      </c>
      <c r="AI3" s="79">
        <v>212</v>
      </c>
      <c r="AJ3" s="79">
        <v>216</v>
      </c>
      <c r="AK3" s="79">
        <v>217</v>
      </c>
      <c r="AL3" s="79">
        <v>299</v>
      </c>
      <c r="AM3" s="79">
        <v>301</v>
      </c>
      <c r="AN3" s="79">
        <v>302</v>
      </c>
      <c r="AO3" s="79">
        <v>399</v>
      </c>
      <c r="AP3" s="79">
        <v>401</v>
      </c>
      <c r="AQ3" s="80">
        <v>402</v>
      </c>
      <c r="AR3" s="80">
        <v>411</v>
      </c>
      <c r="AS3" s="80">
        <v>412</v>
      </c>
      <c r="AT3" s="80">
        <v>413</v>
      </c>
      <c r="AU3" s="80">
        <v>499</v>
      </c>
      <c r="AV3" s="80">
        <v>501</v>
      </c>
      <c r="AW3" s="80">
        <v>502</v>
      </c>
      <c r="AX3" s="80">
        <v>599</v>
      </c>
      <c r="AY3" s="79">
        <v>604</v>
      </c>
      <c r="AZ3" s="79">
        <v>605</v>
      </c>
      <c r="BA3" s="79">
        <v>699</v>
      </c>
      <c r="BB3" s="79">
        <v>701</v>
      </c>
      <c r="BC3" s="79">
        <v>702</v>
      </c>
      <c r="BD3" s="79">
        <v>703</v>
      </c>
      <c r="BE3" s="79">
        <v>704</v>
      </c>
      <c r="BF3" s="79">
        <v>799</v>
      </c>
      <c r="BG3" s="84">
        <v>999</v>
      </c>
    </row>
    <row r="4" spans="1:59" ht="57" customHeight="1">
      <c r="A4" s="10" t="s">
        <v>18</v>
      </c>
      <c r="B4" s="10" t="s">
        <v>19</v>
      </c>
      <c r="C4" s="13" t="s">
        <v>20</v>
      </c>
      <c r="D4" s="12" t="s">
        <v>21</v>
      </c>
      <c r="E4" s="13" t="s">
        <v>22</v>
      </c>
      <c r="F4" s="13" t="s">
        <v>23</v>
      </c>
      <c r="G4" s="13" t="s">
        <v>25</v>
      </c>
      <c r="H4" s="13" t="s">
        <v>24</v>
      </c>
      <c r="I4" s="14" t="s">
        <v>26</v>
      </c>
      <c r="J4" s="14" t="s">
        <v>27</v>
      </c>
      <c r="K4" s="15" t="s">
        <v>28</v>
      </c>
      <c r="L4" s="15" t="s">
        <v>29</v>
      </c>
      <c r="M4" s="15" t="s">
        <v>89</v>
      </c>
      <c r="N4" s="15" t="s">
        <v>32</v>
      </c>
      <c r="O4" s="16" t="s">
        <v>31</v>
      </c>
      <c r="P4" s="26" t="s">
        <v>33</v>
      </c>
      <c r="Q4" s="15" t="s">
        <v>43</v>
      </c>
      <c r="R4" s="15" t="s">
        <v>45</v>
      </c>
      <c r="S4" s="83"/>
      <c r="T4" s="83"/>
      <c r="U4" s="80"/>
      <c r="V4" s="80"/>
      <c r="W4" s="80"/>
      <c r="X4" s="80"/>
      <c r="Y4" s="80"/>
      <c r="Z4" s="80"/>
      <c r="AA4" s="80"/>
      <c r="AB4" s="80"/>
      <c r="AC4" s="80"/>
      <c r="AD4" s="80"/>
      <c r="AE4" s="80"/>
      <c r="AF4" s="80"/>
      <c r="AG4" s="80"/>
      <c r="AH4" s="79"/>
      <c r="AI4" s="79"/>
      <c r="AJ4" s="79"/>
      <c r="AK4" s="79"/>
      <c r="AL4" s="79"/>
      <c r="AM4" s="79"/>
      <c r="AN4" s="79"/>
      <c r="AO4" s="79"/>
      <c r="AP4" s="79"/>
      <c r="AQ4" s="80"/>
      <c r="AR4" s="80"/>
      <c r="AS4" s="80"/>
      <c r="AT4" s="80"/>
      <c r="AU4" s="80"/>
      <c r="AV4" s="80"/>
      <c r="AW4" s="80"/>
      <c r="AX4" s="80"/>
      <c r="AY4" s="79"/>
      <c r="AZ4" s="79"/>
      <c r="BA4" s="79"/>
      <c r="BB4" s="79"/>
      <c r="BC4" s="79"/>
      <c r="BD4" s="79"/>
      <c r="BE4" s="79"/>
      <c r="BF4" s="79"/>
      <c r="BG4" s="84"/>
    </row>
    <row r="5" spans="1:59" s="17" customFormat="1" ht="15.75" customHeight="1">
      <c r="A5" s="108">
        <v>45288</v>
      </c>
      <c r="B5" s="87" t="s">
        <v>37</v>
      </c>
      <c r="C5" s="89">
        <v>1</v>
      </c>
      <c r="D5" s="91" t="s">
        <v>38</v>
      </c>
      <c r="E5" s="89">
        <v>84217</v>
      </c>
      <c r="F5" s="89" t="s">
        <v>49</v>
      </c>
      <c r="G5" s="93" t="s">
        <v>55</v>
      </c>
      <c r="H5" s="90" t="s">
        <v>39</v>
      </c>
      <c r="I5" s="90">
        <v>4918</v>
      </c>
      <c r="J5" s="90">
        <v>2258</v>
      </c>
      <c r="K5" s="20">
        <v>0</v>
      </c>
      <c r="L5" s="20">
        <v>0</v>
      </c>
      <c r="M5" s="20">
        <v>0</v>
      </c>
      <c r="N5" s="97" t="e">
        <f>O5/L5</f>
        <v>#DIV/0!</v>
      </c>
      <c r="O5" s="21">
        <f>L5-M5</f>
        <v>0</v>
      </c>
      <c r="P5" s="27">
        <v>0</v>
      </c>
      <c r="Q5" s="99">
        <f>+L6-P6</f>
        <v>1</v>
      </c>
      <c r="R5" s="85" t="s">
        <v>87</v>
      </c>
      <c r="S5" s="96"/>
      <c r="T5" s="96"/>
      <c r="U5" s="96"/>
      <c r="V5" s="96"/>
      <c r="W5" s="96"/>
      <c r="X5" s="96"/>
      <c r="Y5" s="96"/>
      <c r="Z5" s="96"/>
      <c r="AA5" s="96"/>
      <c r="AB5" s="96"/>
      <c r="AC5" s="96"/>
      <c r="AD5" s="96"/>
      <c r="AE5" s="96"/>
      <c r="AF5" s="96"/>
      <c r="AG5" s="96"/>
      <c r="AH5" s="96"/>
      <c r="AI5" s="96"/>
      <c r="AJ5" s="96"/>
      <c r="AK5" s="96"/>
      <c r="AL5" s="96"/>
      <c r="AM5" s="103"/>
      <c r="AN5" s="103"/>
      <c r="AO5" s="103"/>
      <c r="AP5" s="103"/>
      <c r="AQ5" s="103"/>
      <c r="AR5" s="103"/>
      <c r="AS5" s="103"/>
      <c r="AT5" s="103"/>
      <c r="AU5" s="103"/>
      <c r="AV5" s="103"/>
      <c r="AW5" s="103"/>
      <c r="AX5" s="103"/>
      <c r="AY5" s="106"/>
      <c r="AZ5" s="106"/>
      <c r="BA5" s="106"/>
      <c r="BB5" s="106"/>
      <c r="BC5" s="106"/>
      <c r="BD5" s="106"/>
      <c r="BE5" s="103"/>
      <c r="BF5" s="104"/>
      <c r="BG5" s="104"/>
    </row>
    <row r="6" spans="1:59" s="17" customFormat="1" ht="15.75" customHeight="1">
      <c r="A6" s="85"/>
      <c r="B6" s="88"/>
      <c r="C6" s="90"/>
      <c r="D6" s="92"/>
      <c r="E6" s="90"/>
      <c r="F6" s="90"/>
      <c r="G6" s="94"/>
      <c r="H6" s="95"/>
      <c r="I6" s="95"/>
      <c r="J6" s="95"/>
      <c r="K6" s="22">
        <f>2230</f>
        <v>2230</v>
      </c>
      <c r="L6" s="18">
        <f>2230</f>
        <v>2230</v>
      </c>
      <c r="M6" s="18">
        <f>768</f>
        <v>768</v>
      </c>
      <c r="N6" s="98"/>
      <c r="O6" s="19">
        <f t="shared" ref="O6:O38" si="0">L6-M6</f>
        <v>1462</v>
      </c>
      <c r="P6" s="22">
        <f>2194+35</f>
        <v>2229</v>
      </c>
      <c r="Q6" s="100"/>
      <c r="R6" s="86"/>
      <c r="S6" s="96"/>
      <c r="T6" s="96"/>
      <c r="U6" s="96"/>
      <c r="V6" s="96"/>
      <c r="W6" s="96"/>
      <c r="X6" s="96"/>
      <c r="Y6" s="96"/>
      <c r="Z6" s="96"/>
      <c r="AA6" s="96"/>
      <c r="AB6" s="96"/>
      <c r="AC6" s="96"/>
      <c r="AD6" s="96"/>
      <c r="AE6" s="96"/>
      <c r="AF6" s="96"/>
      <c r="AG6" s="96"/>
      <c r="AH6" s="96"/>
      <c r="AI6" s="96"/>
      <c r="AJ6" s="96"/>
      <c r="AK6" s="96"/>
      <c r="AL6" s="96"/>
      <c r="AM6" s="103"/>
      <c r="AN6" s="103"/>
      <c r="AO6" s="103"/>
      <c r="AP6" s="103"/>
      <c r="AQ6" s="103"/>
      <c r="AR6" s="103"/>
      <c r="AS6" s="103"/>
      <c r="AT6" s="103"/>
      <c r="AU6" s="103"/>
      <c r="AV6" s="103"/>
      <c r="AW6" s="103"/>
      <c r="AX6" s="103"/>
      <c r="AY6" s="107"/>
      <c r="AZ6" s="107"/>
      <c r="BA6" s="107"/>
      <c r="BB6" s="107"/>
      <c r="BC6" s="107"/>
      <c r="BD6" s="107"/>
      <c r="BE6" s="103"/>
      <c r="BF6" s="105"/>
      <c r="BG6" s="105"/>
    </row>
    <row r="7" spans="1:59" s="17" customFormat="1" ht="16.5" customHeight="1">
      <c r="A7" s="108">
        <v>45288</v>
      </c>
      <c r="B7" s="87" t="s">
        <v>37</v>
      </c>
      <c r="C7" s="89">
        <v>1</v>
      </c>
      <c r="D7" s="91" t="s">
        <v>38</v>
      </c>
      <c r="E7" s="89">
        <v>84217</v>
      </c>
      <c r="F7" s="89" t="s">
        <v>76</v>
      </c>
      <c r="G7" s="93" t="s">
        <v>71</v>
      </c>
      <c r="H7" s="90" t="s">
        <v>80</v>
      </c>
      <c r="I7" s="90">
        <v>1452</v>
      </c>
      <c r="J7" s="90">
        <v>1452</v>
      </c>
      <c r="K7" s="20">
        <v>0</v>
      </c>
      <c r="L7" s="20">
        <v>30</v>
      </c>
      <c r="M7" s="20">
        <v>10</v>
      </c>
      <c r="N7" s="97">
        <f>O7/L7</f>
        <v>0.66666666666666663</v>
      </c>
      <c r="O7" s="21">
        <f t="shared" si="0"/>
        <v>20</v>
      </c>
      <c r="P7" s="27">
        <v>40</v>
      </c>
      <c r="Q7" s="99">
        <f>+L8-P8</f>
        <v>56</v>
      </c>
      <c r="R7" s="85"/>
      <c r="S7" s="96"/>
      <c r="T7" s="96">
        <v>3</v>
      </c>
      <c r="U7" s="96">
        <v>4</v>
      </c>
      <c r="V7" s="96"/>
      <c r="W7" s="96"/>
      <c r="X7" s="96"/>
      <c r="Y7" s="96"/>
      <c r="Z7" s="96"/>
      <c r="AA7" s="96"/>
      <c r="AB7" s="96"/>
      <c r="AC7" s="96">
        <v>5</v>
      </c>
      <c r="AD7" s="96"/>
      <c r="AE7" s="96"/>
      <c r="AF7" s="96">
        <v>3</v>
      </c>
      <c r="AG7" s="96"/>
      <c r="AH7" s="96">
        <v>5</v>
      </c>
      <c r="AI7" s="96"/>
      <c r="AJ7" s="96"/>
      <c r="AK7" s="96"/>
      <c r="AL7" s="96"/>
      <c r="AM7" s="103"/>
      <c r="AN7" s="103"/>
      <c r="AO7" s="103"/>
      <c r="AP7" s="103"/>
      <c r="AQ7" s="103"/>
      <c r="AR7" s="103"/>
      <c r="AS7" s="103"/>
      <c r="AT7" s="103"/>
      <c r="AU7" s="103"/>
      <c r="AV7" s="103"/>
      <c r="AW7" s="103"/>
      <c r="AX7" s="103"/>
      <c r="AY7" s="106"/>
      <c r="AZ7" s="106"/>
      <c r="BA7" s="106"/>
      <c r="BB7" s="106"/>
      <c r="BC7" s="106"/>
      <c r="BD7" s="106"/>
      <c r="BE7" s="103"/>
      <c r="BF7" s="104"/>
      <c r="BG7" s="104"/>
    </row>
    <row r="8" spans="1:59" s="17" customFormat="1" ht="15.75" customHeight="1">
      <c r="A8" s="85"/>
      <c r="B8" s="88"/>
      <c r="C8" s="90"/>
      <c r="D8" s="92"/>
      <c r="E8" s="90"/>
      <c r="F8" s="90"/>
      <c r="G8" s="94"/>
      <c r="H8" s="95"/>
      <c r="I8" s="95"/>
      <c r="J8" s="95"/>
      <c r="K8" s="22">
        <f>53+88+29+47+80+98+101+49+27+50+52</f>
        <v>674</v>
      </c>
      <c r="L8" s="18">
        <f>10+44+80+80+83+80+94+74+27+30+42+30</f>
        <v>674</v>
      </c>
      <c r="M8" s="18">
        <f>10+30+20+23+20+20+24+10+20+20+10</f>
        <v>207</v>
      </c>
      <c r="N8" s="98"/>
      <c r="O8" s="19">
        <f t="shared" si="0"/>
        <v>467</v>
      </c>
      <c r="P8" s="22">
        <f>10+74+20+37+30+186+43+137+21+20+40</f>
        <v>618</v>
      </c>
      <c r="Q8" s="100"/>
      <c r="R8" s="86"/>
      <c r="S8" s="96"/>
      <c r="T8" s="96"/>
      <c r="U8" s="96"/>
      <c r="V8" s="96"/>
      <c r="W8" s="96"/>
      <c r="X8" s="96"/>
      <c r="Y8" s="96"/>
      <c r="Z8" s="96"/>
      <c r="AA8" s="96"/>
      <c r="AB8" s="96"/>
      <c r="AC8" s="96"/>
      <c r="AD8" s="96"/>
      <c r="AE8" s="96"/>
      <c r="AF8" s="96"/>
      <c r="AG8" s="96"/>
      <c r="AH8" s="96"/>
      <c r="AI8" s="96"/>
      <c r="AJ8" s="96"/>
      <c r="AK8" s="96"/>
      <c r="AL8" s="96"/>
      <c r="AM8" s="103"/>
      <c r="AN8" s="103"/>
      <c r="AO8" s="103"/>
      <c r="AP8" s="103"/>
      <c r="AQ8" s="103"/>
      <c r="AR8" s="103"/>
      <c r="AS8" s="103"/>
      <c r="AT8" s="103"/>
      <c r="AU8" s="103"/>
      <c r="AV8" s="103"/>
      <c r="AW8" s="103"/>
      <c r="AX8" s="103"/>
      <c r="AY8" s="107"/>
      <c r="AZ8" s="107"/>
      <c r="BA8" s="107"/>
      <c r="BB8" s="107"/>
      <c r="BC8" s="107"/>
      <c r="BD8" s="107"/>
      <c r="BE8" s="103"/>
      <c r="BF8" s="105"/>
      <c r="BG8" s="105"/>
    </row>
    <row r="9" spans="1:59" s="17" customFormat="1" ht="16.5" customHeight="1">
      <c r="A9" s="108">
        <v>45288</v>
      </c>
      <c r="B9" s="87" t="s">
        <v>37</v>
      </c>
      <c r="C9" s="89">
        <v>1</v>
      </c>
      <c r="D9" s="91" t="s">
        <v>38</v>
      </c>
      <c r="E9" s="89">
        <v>84217</v>
      </c>
      <c r="F9" s="89" t="s">
        <v>76</v>
      </c>
      <c r="G9" s="93" t="s">
        <v>71</v>
      </c>
      <c r="H9" s="90" t="s">
        <v>75</v>
      </c>
      <c r="I9" s="90">
        <v>2615</v>
      </c>
      <c r="J9" s="90">
        <v>2615</v>
      </c>
      <c r="K9" s="20">
        <f>242+60</f>
        <v>302</v>
      </c>
      <c r="L9" s="20">
        <f>282+60</f>
        <v>342</v>
      </c>
      <c r="M9" s="20">
        <f>142+22</f>
        <v>164</v>
      </c>
      <c r="N9" s="97">
        <f>O9/L9</f>
        <v>0.52046783625730997</v>
      </c>
      <c r="O9" s="21">
        <f t="shared" si="0"/>
        <v>178</v>
      </c>
      <c r="P9" s="27">
        <f>390+90</f>
        <v>480</v>
      </c>
      <c r="Q9" s="99">
        <f>+L10-P10</f>
        <v>247</v>
      </c>
      <c r="R9" s="85"/>
      <c r="S9" s="96">
        <v>4</v>
      </c>
      <c r="T9" s="96">
        <v>70</v>
      </c>
      <c r="U9" s="96">
        <v>3</v>
      </c>
      <c r="V9" s="96"/>
      <c r="W9" s="96"/>
      <c r="X9" s="96">
        <v>1</v>
      </c>
      <c r="Y9" s="96">
        <v>1</v>
      </c>
      <c r="Z9" s="96"/>
      <c r="AA9" s="96"/>
      <c r="AB9" s="96"/>
      <c r="AC9" s="96">
        <v>25</v>
      </c>
      <c r="AD9" s="96"/>
      <c r="AE9" s="96">
        <v>5</v>
      </c>
      <c r="AF9" s="96">
        <v>25</v>
      </c>
      <c r="AG9" s="96">
        <v>17</v>
      </c>
      <c r="AH9" s="96">
        <f>17+8</f>
        <v>25</v>
      </c>
      <c r="AI9" s="96"/>
      <c r="AJ9" s="96"/>
      <c r="AK9" s="96"/>
      <c r="AL9" s="96">
        <v>2</v>
      </c>
      <c r="AM9" s="103"/>
      <c r="AN9" s="103"/>
      <c r="AO9" s="103"/>
      <c r="AP9" s="103"/>
      <c r="AQ9" s="103"/>
      <c r="AR9" s="103"/>
      <c r="AS9" s="103"/>
      <c r="AT9" s="103"/>
      <c r="AU9" s="103"/>
      <c r="AV9" s="103"/>
      <c r="AW9" s="103"/>
      <c r="AX9" s="103"/>
      <c r="AY9" s="106"/>
      <c r="AZ9" s="106"/>
      <c r="BA9" s="106"/>
      <c r="BB9" s="106"/>
      <c r="BC9" s="106"/>
      <c r="BD9" s="106"/>
      <c r="BE9" s="103"/>
      <c r="BF9" s="104"/>
      <c r="BG9" s="104"/>
    </row>
    <row r="10" spans="1:59" s="17" customFormat="1" ht="15.75" customHeight="1">
      <c r="A10" s="85"/>
      <c r="B10" s="88"/>
      <c r="C10" s="90"/>
      <c r="D10" s="92"/>
      <c r="E10" s="90"/>
      <c r="F10" s="90"/>
      <c r="G10" s="94"/>
      <c r="H10" s="95"/>
      <c r="I10" s="95"/>
      <c r="J10" s="95"/>
      <c r="K10" s="22">
        <f>111+127+62+63+122+58+130+215+63+407+320+242+60</f>
        <v>1980</v>
      </c>
      <c r="L10" s="18">
        <f>10+198+92+63+122+58+90+255+63+242+445+282+60</f>
        <v>1980</v>
      </c>
      <c r="M10" s="18">
        <f>70+33+11+39+20+51+131+15+115+211+142+22</f>
        <v>860</v>
      </c>
      <c r="N10" s="98"/>
      <c r="O10" s="19">
        <f t="shared" si="0"/>
        <v>1120</v>
      </c>
      <c r="P10" s="22">
        <f>80+47+182+62+68+51+131+117+225+290+390+90</f>
        <v>1733</v>
      </c>
      <c r="Q10" s="100"/>
      <c r="R10" s="86"/>
      <c r="S10" s="96"/>
      <c r="T10" s="96"/>
      <c r="U10" s="96"/>
      <c r="V10" s="96"/>
      <c r="W10" s="96"/>
      <c r="X10" s="96"/>
      <c r="Y10" s="96"/>
      <c r="Z10" s="96"/>
      <c r="AA10" s="96"/>
      <c r="AB10" s="96"/>
      <c r="AC10" s="96"/>
      <c r="AD10" s="96"/>
      <c r="AE10" s="96"/>
      <c r="AF10" s="96"/>
      <c r="AG10" s="96"/>
      <c r="AH10" s="96"/>
      <c r="AI10" s="96"/>
      <c r="AJ10" s="96"/>
      <c r="AK10" s="96"/>
      <c r="AL10" s="96"/>
      <c r="AM10" s="103"/>
      <c r="AN10" s="103"/>
      <c r="AO10" s="103"/>
      <c r="AP10" s="103"/>
      <c r="AQ10" s="103"/>
      <c r="AR10" s="103"/>
      <c r="AS10" s="103"/>
      <c r="AT10" s="103"/>
      <c r="AU10" s="103"/>
      <c r="AV10" s="103"/>
      <c r="AW10" s="103"/>
      <c r="AX10" s="103"/>
      <c r="AY10" s="107"/>
      <c r="AZ10" s="107"/>
      <c r="BA10" s="107"/>
      <c r="BB10" s="107"/>
      <c r="BC10" s="107"/>
      <c r="BD10" s="107"/>
      <c r="BE10" s="103"/>
      <c r="BF10" s="105"/>
      <c r="BG10" s="105"/>
    </row>
    <row r="11" spans="1:59" s="17" customFormat="1" ht="15.75" customHeight="1">
      <c r="A11" s="108">
        <v>45288</v>
      </c>
      <c r="B11" s="87" t="s">
        <v>37</v>
      </c>
      <c r="C11" s="89">
        <v>1</v>
      </c>
      <c r="D11" s="91" t="s">
        <v>38</v>
      </c>
      <c r="E11" s="89">
        <v>84212</v>
      </c>
      <c r="F11" s="89" t="s">
        <v>49</v>
      </c>
      <c r="G11" s="93" t="s">
        <v>55</v>
      </c>
      <c r="H11" s="90" t="s">
        <v>67</v>
      </c>
      <c r="I11" s="90">
        <v>1813</v>
      </c>
      <c r="J11" s="90">
        <v>1813</v>
      </c>
      <c r="K11" s="20">
        <v>0</v>
      </c>
      <c r="L11" s="20">
        <v>0</v>
      </c>
      <c r="M11" s="20">
        <v>0</v>
      </c>
      <c r="N11" s="97" t="e">
        <f t="shared" ref="N11" si="1">O11/L11</f>
        <v>#DIV/0!</v>
      </c>
      <c r="O11" s="21">
        <f t="shared" si="0"/>
        <v>0</v>
      </c>
      <c r="P11" s="27">
        <v>0</v>
      </c>
      <c r="Q11" s="99">
        <f>+L12-P12</f>
        <v>0</v>
      </c>
      <c r="R11" s="85"/>
      <c r="S11" s="96"/>
      <c r="T11" s="96"/>
      <c r="U11" s="96"/>
      <c r="V11" s="96"/>
      <c r="W11" s="96"/>
      <c r="X11" s="96"/>
      <c r="Y11" s="96"/>
      <c r="Z11" s="96"/>
      <c r="AA11" s="96"/>
      <c r="AB11" s="96"/>
      <c r="AC11" s="96"/>
      <c r="AD11" s="96"/>
      <c r="AE11" s="96"/>
      <c r="AF11" s="96"/>
      <c r="AG11" s="96"/>
      <c r="AH11" s="96"/>
      <c r="AI11" s="96"/>
      <c r="AJ11" s="96"/>
      <c r="AK11" s="96"/>
      <c r="AL11" s="96"/>
      <c r="AM11" s="103"/>
      <c r="AN11" s="103"/>
      <c r="AO11" s="103"/>
      <c r="AP11" s="103"/>
      <c r="AQ11" s="103"/>
      <c r="AR11" s="103"/>
      <c r="AS11" s="103"/>
      <c r="AT11" s="103"/>
      <c r="AU11" s="103"/>
      <c r="AV11" s="103"/>
      <c r="AW11" s="103"/>
      <c r="AX11" s="103"/>
      <c r="AY11" s="106"/>
      <c r="AZ11" s="106"/>
      <c r="BA11" s="106"/>
      <c r="BB11" s="106"/>
      <c r="BC11" s="106"/>
      <c r="BD11" s="106"/>
      <c r="BE11" s="103"/>
      <c r="BF11" s="104"/>
      <c r="BG11" s="104"/>
    </row>
    <row r="12" spans="1:59" s="17" customFormat="1" ht="15.75" customHeight="1">
      <c r="A12" s="85"/>
      <c r="B12" s="88"/>
      <c r="C12" s="90"/>
      <c r="D12" s="92"/>
      <c r="E12" s="90"/>
      <c r="F12" s="90"/>
      <c r="G12" s="94"/>
      <c r="H12" s="95"/>
      <c r="I12" s="95"/>
      <c r="J12" s="95"/>
      <c r="K12" s="22">
        <f>272+145+148+175+345+259+198+95+65+82+13+11+4</f>
        <v>1812</v>
      </c>
      <c r="L12" s="18">
        <f>30+110+235+150+484+100+160+348+142+38+11+4</f>
        <v>1812</v>
      </c>
      <c r="M12" s="18">
        <f>5+10+50+40+110+10+55+118+27+11+4</f>
        <v>440</v>
      </c>
      <c r="N12" s="98"/>
      <c r="O12" s="19">
        <f t="shared" si="0"/>
        <v>1372</v>
      </c>
      <c r="P12" s="22">
        <f>5+10+65+80+262+130+217+170+330+32+171+120+146+59+11+4</f>
        <v>1812</v>
      </c>
      <c r="Q12" s="100"/>
      <c r="R12" s="86"/>
      <c r="S12" s="96"/>
      <c r="T12" s="96"/>
      <c r="U12" s="96"/>
      <c r="V12" s="96"/>
      <c r="W12" s="96"/>
      <c r="X12" s="96"/>
      <c r="Y12" s="96"/>
      <c r="Z12" s="96"/>
      <c r="AA12" s="96"/>
      <c r="AB12" s="96"/>
      <c r="AC12" s="96"/>
      <c r="AD12" s="96"/>
      <c r="AE12" s="96"/>
      <c r="AF12" s="96"/>
      <c r="AG12" s="96"/>
      <c r="AH12" s="96"/>
      <c r="AI12" s="96"/>
      <c r="AJ12" s="96"/>
      <c r="AK12" s="96"/>
      <c r="AL12" s="96"/>
      <c r="AM12" s="103"/>
      <c r="AN12" s="103"/>
      <c r="AO12" s="103"/>
      <c r="AP12" s="103"/>
      <c r="AQ12" s="103"/>
      <c r="AR12" s="103"/>
      <c r="AS12" s="103"/>
      <c r="AT12" s="103"/>
      <c r="AU12" s="103"/>
      <c r="AV12" s="103"/>
      <c r="AW12" s="103"/>
      <c r="AX12" s="103"/>
      <c r="AY12" s="107"/>
      <c r="AZ12" s="107"/>
      <c r="BA12" s="107"/>
      <c r="BB12" s="107"/>
      <c r="BC12" s="107"/>
      <c r="BD12" s="107"/>
      <c r="BE12" s="103"/>
      <c r="BF12" s="105"/>
      <c r="BG12" s="105"/>
    </row>
    <row r="13" spans="1:59" s="17" customFormat="1" ht="15.75" customHeight="1">
      <c r="A13" s="108">
        <v>45288</v>
      </c>
      <c r="B13" s="87" t="s">
        <v>37</v>
      </c>
      <c r="C13" s="89">
        <v>1</v>
      </c>
      <c r="D13" s="91" t="s">
        <v>38</v>
      </c>
      <c r="E13" s="89">
        <v>84212</v>
      </c>
      <c r="F13" s="89" t="s">
        <v>49</v>
      </c>
      <c r="G13" s="93" t="s">
        <v>61</v>
      </c>
      <c r="H13" s="89" t="s">
        <v>50</v>
      </c>
      <c r="I13" s="89">
        <v>925</v>
      </c>
      <c r="J13" s="89">
        <v>925</v>
      </c>
      <c r="K13" s="20">
        <v>146</v>
      </c>
      <c r="L13" s="20">
        <v>146</v>
      </c>
      <c r="M13" s="20">
        <v>61</v>
      </c>
      <c r="N13" s="97">
        <f t="shared" ref="N13" si="2">O13/L13</f>
        <v>0.5821917808219178</v>
      </c>
      <c r="O13" s="21">
        <f t="shared" si="0"/>
        <v>85</v>
      </c>
      <c r="P13" s="27">
        <v>132</v>
      </c>
      <c r="Q13" s="99">
        <f>+L14-P14</f>
        <v>116</v>
      </c>
      <c r="R13" s="108"/>
      <c r="S13" s="149">
        <v>3</v>
      </c>
      <c r="T13" s="149">
        <v>14</v>
      </c>
      <c r="U13" s="149">
        <v>4</v>
      </c>
      <c r="V13" s="149"/>
      <c r="W13" s="149"/>
      <c r="X13" s="149">
        <v>1</v>
      </c>
      <c r="Y13" s="149">
        <v>1</v>
      </c>
      <c r="Z13" s="149"/>
      <c r="AA13" s="149"/>
      <c r="AB13" s="149"/>
      <c r="AC13" s="149">
        <v>12</v>
      </c>
      <c r="AD13" s="149"/>
      <c r="AE13" s="149">
        <v>5</v>
      </c>
      <c r="AF13" s="149">
        <v>10</v>
      </c>
      <c r="AG13" s="149">
        <v>9</v>
      </c>
      <c r="AH13" s="149">
        <v>10</v>
      </c>
      <c r="AI13" s="149"/>
      <c r="AJ13" s="149"/>
      <c r="AK13" s="149"/>
      <c r="AL13" s="149">
        <v>16</v>
      </c>
      <c r="AM13" s="163"/>
      <c r="AN13" s="163"/>
      <c r="AO13" s="163"/>
      <c r="AP13" s="163"/>
      <c r="AQ13" s="163"/>
      <c r="AR13" s="163"/>
      <c r="AS13" s="163"/>
      <c r="AT13" s="163"/>
      <c r="AU13" s="163"/>
      <c r="AV13" s="163"/>
      <c r="AW13" s="163"/>
      <c r="AX13" s="163"/>
      <c r="AY13" s="167"/>
      <c r="AZ13" s="167"/>
      <c r="BA13" s="167"/>
      <c r="BB13" s="167"/>
      <c r="BC13" s="167"/>
      <c r="BD13" s="167"/>
      <c r="BE13" s="163"/>
      <c r="BF13" s="165"/>
      <c r="BG13" s="165"/>
    </row>
    <row r="14" spans="1:59" s="17" customFormat="1" ht="15.75" customHeight="1">
      <c r="A14" s="85"/>
      <c r="B14" s="88"/>
      <c r="C14" s="90"/>
      <c r="D14" s="92"/>
      <c r="E14" s="90"/>
      <c r="F14" s="90"/>
      <c r="G14" s="94"/>
      <c r="H14" s="90"/>
      <c r="I14" s="90"/>
      <c r="J14" s="90"/>
      <c r="K14" s="22">
        <f>53+10+70+60+125+105+146</f>
        <v>569</v>
      </c>
      <c r="L14" s="18">
        <f>63+70+60+125+105+146</f>
        <v>569</v>
      </c>
      <c r="M14" s="18">
        <f>24+18+15+42+29+61</f>
        <v>189</v>
      </c>
      <c r="N14" s="98"/>
      <c r="O14" s="19">
        <f t="shared" si="0"/>
        <v>380</v>
      </c>
      <c r="P14" s="22">
        <f>24+38+38+136+85+132</f>
        <v>453</v>
      </c>
      <c r="Q14" s="100"/>
      <c r="R14" s="85"/>
      <c r="S14" s="150"/>
      <c r="T14" s="150"/>
      <c r="U14" s="150"/>
      <c r="V14" s="150"/>
      <c r="W14" s="150"/>
      <c r="X14" s="150"/>
      <c r="Y14" s="150"/>
      <c r="Z14" s="150"/>
      <c r="AA14" s="150"/>
      <c r="AB14" s="150"/>
      <c r="AC14" s="150"/>
      <c r="AD14" s="150"/>
      <c r="AE14" s="150"/>
      <c r="AF14" s="150"/>
      <c r="AG14" s="150"/>
      <c r="AH14" s="150"/>
      <c r="AI14" s="150"/>
      <c r="AJ14" s="150"/>
      <c r="AK14" s="150"/>
      <c r="AL14" s="150"/>
      <c r="AM14" s="164"/>
      <c r="AN14" s="164"/>
      <c r="AO14" s="164"/>
      <c r="AP14" s="164"/>
      <c r="AQ14" s="164"/>
      <c r="AR14" s="164"/>
      <c r="AS14" s="164"/>
      <c r="AT14" s="164"/>
      <c r="AU14" s="164"/>
      <c r="AV14" s="164"/>
      <c r="AW14" s="164"/>
      <c r="AX14" s="164"/>
      <c r="AY14" s="168"/>
      <c r="AZ14" s="168"/>
      <c r="BA14" s="168"/>
      <c r="BB14" s="168"/>
      <c r="BC14" s="168"/>
      <c r="BD14" s="168"/>
      <c r="BE14" s="164"/>
      <c r="BF14" s="166"/>
      <c r="BG14" s="166"/>
    </row>
    <row r="15" spans="1:59" s="17" customFormat="1" ht="15.75" customHeight="1">
      <c r="A15" s="108">
        <v>45288</v>
      </c>
      <c r="B15" s="87" t="s">
        <v>37</v>
      </c>
      <c r="C15" s="89">
        <v>1</v>
      </c>
      <c r="D15" s="91" t="s">
        <v>38</v>
      </c>
      <c r="E15" s="89">
        <v>84212</v>
      </c>
      <c r="F15" s="89" t="s">
        <v>49</v>
      </c>
      <c r="G15" s="93" t="s">
        <v>61</v>
      </c>
      <c r="H15" s="89" t="s">
        <v>62</v>
      </c>
      <c r="I15" s="89">
        <v>1327</v>
      </c>
      <c r="J15" s="89">
        <v>1327</v>
      </c>
      <c r="K15" s="20">
        <v>60</v>
      </c>
      <c r="L15" s="20">
        <v>60</v>
      </c>
      <c r="M15" s="20">
        <v>10</v>
      </c>
      <c r="N15" s="97">
        <f t="shared" ref="N15" si="3">O15/L15</f>
        <v>0.83333333333333337</v>
      </c>
      <c r="O15" s="21">
        <f t="shared" si="0"/>
        <v>50</v>
      </c>
      <c r="P15" s="27">
        <v>98</v>
      </c>
      <c r="Q15" s="99">
        <f>+L16-P16</f>
        <v>92</v>
      </c>
      <c r="R15" s="108"/>
      <c r="S15" s="149">
        <v>2</v>
      </c>
      <c r="T15" s="149">
        <v>4</v>
      </c>
      <c r="U15" s="149"/>
      <c r="V15" s="149"/>
      <c r="W15" s="149"/>
      <c r="X15" s="149"/>
      <c r="Y15" s="149"/>
      <c r="Z15" s="149">
        <v>10</v>
      </c>
      <c r="AA15" s="149"/>
      <c r="AB15" s="149"/>
      <c r="AC15" s="149">
        <v>7</v>
      </c>
      <c r="AD15" s="149"/>
      <c r="AE15" s="149"/>
      <c r="AF15" s="149">
        <v>8</v>
      </c>
      <c r="AG15" s="149"/>
      <c r="AH15" s="149">
        <v>9</v>
      </c>
      <c r="AI15" s="149"/>
      <c r="AJ15" s="149"/>
      <c r="AK15" s="149"/>
      <c r="AL15" s="149">
        <v>10</v>
      </c>
      <c r="AM15" s="163"/>
      <c r="AN15" s="163"/>
      <c r="AO15" s="163"/>
      <c r="AP15" s="163"/>
      <c r="AQ15" s="163"/>
      <c r="AR15" s="163"/>
      <c r="AS15" s="163"/>
      <c r="AT15" s="163"/>
      <c r="AU15" s="163"/>
      <c r="AV15" s="163"/>
      <c r="AW15" s="163"/>
      <c r="AX15" s="163"/>
      <c r="AY15" s="167"/>
      <c r="AZ15" s="167"/>
      <c r="BA15" s="167"/>
      <c r="BB15" s="167"/>
      <c r="BC15" s="167"/>
      <c r="BD15" s="167"/>
      <c r="BE15" s="163"/>
      <c r="BF15" s="165"/>
      <c r="BG15" s="165"/>
    </row>
    <row r="16" spans="1:59" s="17" customFormat="1" ht="15.75" customHeight="1">
      <c r="A16" s="85"/>
      <c r="B16" s="88"/>
      <c r="C16" s="90"/>
      <c r="D16" s="92"/>
      <c r="E16" s="90"/>
      <c r="F16" s="90"/>
      <c r="G16" s="94"/>
      <c r="H16" s="90"/>
      <c r="I16" s="90"/>
      <c r="J16" s="90"/>
      <c r="K16" s="22">
        <f>49+35+106+30+103+56+60</f>
        <v>439</v>
      </c>
      <c r="L16" s="18">
        <f>49+35+106+30+103+56+60</f>
        <v>439</v>
      </c>
      <c r="M16" s="18">
        <f>5+5+26+11+10</f>
        <v>57</v>
      </c>
      <c r="N16" s="98"/>
      <c r="O16" s="19">
        <f t="shared" si="0"/>
        <v>382</v>
      </c>
      <c r="P16" s="22">
        <f>5+25+30+60+53+76+98</f>
        <v>347</v>
      </c>
      <c r="Q16" s="100"/>
      <c r="R16" s="85"/>
      <c r="S16" s="150"/>
      <c r="T16" s="150"/>
      <c r="U16" s="150"/>
      <c r="V16" s="150"/>
      <c r="W16" s="150"/>
      <c r="X16" s="150"/>
      <c r="Y16" s="150"/>
      <c r="Z16" s="150"/>
      <c r="AA16" s="150"/>
      <c r="AB16" s="150"/>
      <c r="AC16" s="150"/>
      <c r="AD16" s="150"/>
      <c r="AE16" s="150"/>
      <c r="AF16" s="150"/>
      <c r="AG16" s="150"/>
      <c r="AH16" s="150"/>
      <c r="AI16" s="150"/>
      <c r="AJ16" s="150"/>
      <c r="AK16" s="150"/>
      <c r="AL16" s="150"/>
      <c r="AM16" s="164"/>
      <c r="AN16" s="164"/>
      <c r="AO16" s="164"/>
      <c r="AP16" s="164"/>
      <c r="AQ16" s="164"/>
      <c r="AR16" s="164"/>
      <c r="AS16" s="164"/>
      <c r="AT16" s="164"/>
      <c r="AU16" s="164"/>
      <c r="AV16" s="164"/>
      <c r="AW16" s="164"/>
      <c r="AX16" s="164"/>
      <c r="AY16" s="168"/>
      <c r="AZ16" s="168"/>
      <c r="BA16" s="168"/>
      <c r="BB16" s="168"/>
      <c r="BC16" s="168"/>
      <c r="BD16" s="168"/>
      <c r="BE16" s="164"/>
      <c r="BF16" s="166"/>
      <c r="BG16" s="166"/>
    </row>
    <row r="17" spans="1:59" s="17" customFormat="1" ht="15.75" customHeight="1">
      <c r="A17" s="108">
        <v>45288</v>
      </c>
      <c r="B17" s="87" t="s">
        <v>37</v>
      </c>
      <c r="C17" s="89">
        <v>1</v>
      </c>
      <c r="D17" s="91" t="s">
        <v>38</v>
      </c>
      <c r="E17" s="89">
        <v>84212</v>
      </c>
      <c r="F17" s="89" t="s">
        <v>49</v>
      </c>
      <c r="G17" s="93" t="s">
        <v>63</v>
      </c>
      <c r="H17" s="89" t="s">
        <v>62</v>
      </c>
      <c r="I17" s="89">
        <v>2344</v>
      </c>
      <c r="J17" s="89">
        <v>2344</v>
      </c>
      <c r="K17" s="20">
        <v>84</v>
      </c>
      <c r="L17" s="20">
        <v>84</v>
      </c>
      <c r="M17" s="20">
        <v>24</v>
      </c>
      <c r="N17" s="97">
        <f t="shared" ref="N17" si="4">O17/L17</f>
        <v>0.7142857142857143</v>
      </c>
      <c r="O17" s="21">
        <f t="shared" si="0"/>
        <v>60</v>
      </c>
      <c r="P17" s="27">
        <v>121</v>
      </c>
      <c r="Q17" s="99">
        <f>+L18-P18</f>
        <v>75</v>
      </c>
      <c r="R17" s="108"/>
      <c r="S17" s="149"/>
      <c r="T17" s="149">
        <v>15</v>
      </c>
      <c r="U17" s="149"/>
      <c r="V17" s="149"/>
      <c r="W17" s="149"/>
      <c r="X17" s="149"/>
      <c r="Y17" s="149">
        <v>2</v>
      </c>
      <c r="Z17" s="149"/>
      <c r="AA17" s="149"/>
      <c r="AB17" s="149"/>
      <c r="AC17" s="149">
        <v>8</v>
      </c>
      <c r="AD17" s="149"/>
      <c r="AE17" s="149"/>
      <c r="AF17" s="149">
        <v>12</v>
      </c>
      <c r="AG17" s="149"/>
      <c r="AH17" s="149">
        <v>13</v>
      </c>
      <c r="AI17" s="149"/>
      <c r="AJ17" s="149"/>
      <c r="AK17" s="149"/>
      <c r="AL17" s="149">
        <v>10</v>
      </c>
      <c r="AM17" s="163"/>
      <c r="AN17" s="163"/>
      <c r="AO17" s="163"/>
      <c r="AP17" s="163"/>
      <c r="AQ17" s="163"/>
      <c r="AR17" s="163"/>
      <c r="AS17" s="163"/>
      <c r="AT17" s="163"/>
      <c r="AU17" s="163"/>
      <c r="AV17" s="163"/>
      <c r="AW17" s="163"/>
      <c r="AX17" s="163"/>
      <c r="AY17" s="167"/>
      <c r="AZ17" s="167"/>
      <c r="BA17" s="167"/>
      <c r="BB17" s="167"/>
      <c r="BC17" s="167"/>
      <c r="BD17" s="167"/>
      <c r="BE17" s="163"/>
      <c r="BF17" s="165"/>
      <c r="BG17" s="165"/>
    </row>
    <row r="18" spans="1:59" s="17" customFormat="1" ht="15.75" customHeight="1">
      <c r="A18" s="85"/>
      <c r="B18" s="88"/>
      <c r="C18" s="90"/>
      <c r="D18" s="92"/>
      <c r="E18" s="90"/>
      <c r="F18" s="90"/>
      <c r="G18" s="94"/>
      <c r="H18" s="90"/>
      <c r="I18" s="90"/>
      <c r="J18" s="90"/>
      <c r="K18" s="22">
        <f>102+90+70+80+97+60+84+71+80+84</f>
        <v>818</v>
      </c>
      <c r="L18" s="18">
        <f>32+110+120+80+97+60+84+71+80+84</f>
        <v>818</v>
      </c>
      <c r="M18" s="18">
        <f>20+20+10+17+24+21+20+24</f>
        <v>156</v>
      </c>
      <c r="N18" s="98"/>
      <c r="O18" s="19">
        <f t="shared" si="0"/>
        <v>662</v>
      </c>
      <c r="P18" s="22">
        <f>20+80+126+76+73+105+79+63+121</f>
        <v>743</v>
      </c>
      <c r="Q18" s="100"/>
      <c r="R18" s="85"/>
      <c r="S18" s="150"/>
      <c r="T18" s="150"/>
      <c r="U18" s="150"/>
      <c r="V18" s="150"/>
      <c r="W18" s="150"/>
      <c r="X18" s="150"/>
      <c r="Y18" s="150"/>
      <c r="Z18" s="150"/>
      <c r="AA18" s="150"/>
      <c r="AB18" s="150"/>
      <c r="AC18" s="150"/>
      <c r="AD18" s="150"/>
      <c r="AE18" s="150"/>
      <c r="AF18" s="150"/>
      <c r="AG18" s="150"/>
      <c r="AH18" s="150"/>
      <c r="AI18" s="150"/>
      <c r="AJ18" s="150"/>
      <c r="AK18" s="150"/>
      <c r="AL18" s="150"/>
      <c r="AM18" s="164"/>
      <c r="AN18" s="164"/>
      <c r="AO18" s="164"/>
      <c r="AP18" s="164"/>
      <c r="AQ18" s="164"/>
      <c r="AR18" s="164"/>
      <c r="AS18" s="164"/>
      <c r="AT18" s="164"/>
      <c r="AU18" s="164"/>
      <c r="AV18" s="164"/>
      <c r="AW18" s="164"/>
      <c r="AX18" s="164"/>
      <c r="AY18" s="168"/>
      <c r="AZ18" s="168"/>
      <c r="BA18" s="168"/>
      <c r="BB18" s="168"/>
      <c r="BC18" s="168"/>
      <c r="BD18" s="168"/>
      <c r="BE18" s="164"/>
      <c r="BF18" s="166"/>
      <c r="BG18" s="166"/>
    </row>
    <row r="19" spans="1:59" s="17" customFormat="1" ht="15.75" customHeight="1">
      <c r="A19" s="108">
        <v>45288</v>
      </c>
      <c r="B19" s="87" t="s">
        <v>37</v>
      </c>
      <c r="C19" s="89">
        <v>1</v>
      </c>
      <c r="D19" s="91" t="s">
        <v>38</v>
      </c>
      <c r="E19" s="89">
        <v>84212</v>
      </c>
      <c r="F19" s="89" t="s">
        <v>49</v>
      </c>
      <c r="G19" s="93" t="s">
        <v>63</v>
      </c>
      <c r="H19" s="89" t="s">
        <v>41</v>
      </c>
      <c r="I19" s="89">
        <v>1732</v>
      </c>
      <c r="J19" s="89">
        <v>1732</v>
      </c>
      <c r="K19" s="20">
        <v>230</v>
      </c>
      <c r="L19" s="20">
        <v>260</v>
      </c>
      <c r="M19" s="20">
        <v>120</v>
      </c>
      <c r="N19" s="97">
        <f t="shared" ref="N19" si="5">O19/L19</f>
        <v>0.53846153846153844</v>
      </c>
      <c r="O19" s="21">
        <f>L19-M19</f>
        <v>140</v>
      </c>
      <c r="P19" s="27">
        <v>230</v>
      </c>
      <c r="Q19" s="99">
        <f>+L20-P20</f>
        <v>240</v>
      </c>
      <c r="R19" s="108"/>
      <c r="S19" s="149">
        <v>10</v>
      </c>
      <c r="T19" s="149">
        <v>29</v>
      </c>
      <c r="U19" s="149">
        <v>5</v>
      </c>
      <c r="V19" s="149"/>
      <c r="W19" s="149"/>
      <c r="X19" s="149">
        <v>3</v>
      </c>
      <c r="Y19" s="149">
        <v>8</v>
      </c>
      <c r="Z19" s="149"/>
      <c r="AA19" s="149"/>
      <c r="AB19" s="149"/>
      <c r="AC19" s="149">
        <v>16</v>
      </c>
      <c r="AD19" s="149"/>
      <c r="AE19" s="149">
        <v>4</v>
      </c>
      <c r="AF19" s="149">
        <v>8</v>
      </c>
      <c r="AG19" s="149">
        <v>20</v>
      </c>
      <c r="AH19" s="149">
        <v>18</v>
      </c>
      <c r="AI19" s="149"/>
      <c r="AJ19" s="149"/>
      <c r="AK19" s="149"/>
      <c r="AL19" s="149">
        <v>19</v>
      </c>
      <c r="AM19" s="163"/>
      <c r="AN19" s="163"/>
      <c r="AO19" s="163"/>
      <c r="AP19" s="163"/>
      <c r="AQ19" s="163"/>
      <c r="AR19" s="163"/>
      <c r="AS19" s="163"/>
      <c r="AT19" s="163"/>
      <c r="AU19" s="163"/>
      <c r="AV19" s="163"/>
      <c r="AW19" s="163"/>
      <c r="AX19" s="163"/>
      <c r="AY19" s="167"/>
      <c r="AZ19" s="167"/>
      <c r="BA19" s="167"/>
      <c r="BB19" s="167"/>
      <c r="BC19" s="167"/>
      <c r="BD19" s="167"/>
      <c r="BE19" s="163"/>
      <c r="BF19" s="165"/>
      <c r="BG19" s="165"/>
    </row>
    <row r="20" spans="1:59" s="17" customFormat="1" ht="15.75" customHeight="1">
      <c r="A20" s="85"/>
      <c r="B20" s="88"/>
      <c r="C20" s="90"/>
      <c r="D20" s="92"/>
      <c r="E20" s="90"/>
      <c r="F20" s="90"/>
      <c r="G20" s="94"/>
      <c r="H20" s="90"/>
      <c r="I20" s="90"/>
      <c r="J20" s="90"/>
      <c r="K20" s="22">
        <f>120+210+73+220+230+230</f>
        <v>1083</v>
      </c>
      <c r="L20" s="18">
        <f>40+160+140+170+130+260</f>
        <v>900</v>
      </c>
      <c r="M20" s="18">
        <f>10+70+70+80+60+120</f>
        <v>410</v>
      </c>
      <c r="N20" s="98"/>
      <c r="O20" s="19">
        <f t="shared" si="0"/>
        <v>490</v>
      </c>
      <c r="P20" s="22">
        <f>10+70+70+124+156+230</f>
        <v>660</v>
      </c>
      <c r="Q20" s="100"/>
      <c r="R20" s="85"/>
      <c r="S20" s="150"/>
      <c r="T20" s="150"/>
      <c r="U20" s="150"/>
      <c r="V20" s="150"/>
      <c r="W20" s="150"/>
      <c r="X20" s="150"/>
      <c r="Y20" s="150"/>
      <c r="Z20" s="150"/>
      <c r="AA20" s="150"/>
      <c r="AB20" s="150"/>
      <c r="AC20" s="150"/>
      <c r="AD20" s="150"/>
      <c r="AE20" s="150"/>
      <c r="AF20" s="150"/>
      <c r="AG20" s="150"/>
      <c r="AH20" s="150"/>
      <c r="AI20" s="150"/>
      <c r="AJ20" s="150"/>
      <c r="AK20" s="150"/>
      <c r="AL20" s="150"/>
      <c r="AM20" s="164"/>
      <c r="AN20" s="164"/>
      <c r="AO20" s="164"/>
      <c r="AP20" s="164"/>
      <c r="AQ20" s="164"/>
      <c r="AR20" s="164"/>
      <c r="AS20" s="164"/>
      <c r="AT20" s="164"/>
      <c r="AU20" s="164"/>
      <c r="AV20" s="164"/>
      <c r="AW20" s="164"/>
      <c r="AX20" s="164"/>
      <c r="AY20" s="168"/>
      <c r="AZ20" s="168"/>
      <c r="BA20" s="168"/>
      <c r="BB20" s="168"/>
      <c r="BC20" s="168"/>
      <c r="BD20" s="168"/>
      <c r="BE20" s="164"/>
      <c r="BF20" s="166"/>
      <c r="BG20" s="166"/>
    </row>
    <row r="21" spans="1:59" s="17" customFormat="1" ht="15.75" customHeight="1">
      <c r="A21" s="108">
        <v>45288</v>
      </c>
      <c r="B21" s="87" t="s">
        <v>37</v>
      </c>
      <c r="C21" s="89">
        <v>1</v>
      </c>
      <c r="D21" s="91" t="s">
        <v>38</v>
      </c>
      <c r="E21" s="89">
        <v>84212</v>
      </c>
      <c r="F21" s="89" t="s">
        <v>49</v>
      </c>
      <c r="G21" s="93" t="s">
        <v>63</v>
      </c>
      <c r="H21" s="89" t="s">
        <v>65</v>
      </c>
      <c r="I21" s="89">
        <v>532</v>
      </c>
      <c r="J21" s="89">
        <v>532</v>
      </c>
      <c r="K21" s="20">
        <v>81</v>
      </c>
      <c r="L21" s="20">
        <v>85</v>
      </c>
      <c r="M21" s="20">
        <v>55</v>
      </c>
      <c r="N21" s="97">
        <f t="shared" ref="N21" si="6">O21/L21</f>
        <v>0.35294117647058826</v>
      </c>
      <c r="O21" s="21">
        <f t="shared" si="0"/>
        <v>30</v>
      </c>
      <c r="P21" s="27">
        <v>120</v>
      </c>
      <c r="Q21" s="99">
        <f>+L22-P22</f>
        <v>25</v>
      </c>
      <c r="R21" s="108"/>
      <c r="S21" s="149"/>
      <c r="T21" s="149">
        <v>12</v>
      </c>
      <c r="U21" s="149">
        <v>2</v>
      </c>
      <c r="V21" s="149"/>
      <c r="W21" s="149"/>
      <c r="X21" s="149"/>
      <c r="Y21" s="149"/>
      <c r="Z21" s="149"/>
      <c r="AA21" s="149"/>
      <c r="AB21" s="149"/>
      <c r="AC21" s="149">
        <v>6</v>
      </c>
      <c r="AD21" s="149"/>
      <c r="AE21" s="149"/>
      <c r="AF21" s="149"/>
      <c r="AG21" s="149"/>
      <c r="AH21" s="149">
        <v>10</v>
      </c>
      <c r="AI21" s="149"/>
      <c r="AJ21" s="149"/>
      <c r="AK21" s="149"/>
      <c r="AL21" s="149"/>
      <c r="AM21" s="163"/>
      <c r="AN21" s="163"/>
      <c r="AO21" s="163"/>
      <c r="AP21" s="163"/>
      <c r="AQ21" s="163"/>
      <c r="AR21" s="163"/>
      <c r="AS21" s="163"/>
      <c r="AT21" s="163"/>
      <c r="AU21" s="163"/>
      <c r="AV21" s="163"/>
      <c r="AW21" s="163"/>
      <c r="AX21" s="163"/>
      <c r="AY21" s="167"/>
      <c r="AZ21" s="167"/>
      <c r="BA21" s="167"/>
      <c r="BB21" s="167"/>
      <c r="BC21" s="167"/>
      <c r="BD21" s="167"/>
      <c r="BE21" s="163"/>
      <c r="BF21" s="165"/>
      <c r="BG21" s="165"/>
    </row>
    <row r="22" spans="1:59" s="17" customFormat="1" ht="15.75" customHeight="1">
      <c r="A22" s="85"/>
      <c r="B22" s="88"/>
      <c r="C22" s="90"/>
      <c r="D22" s="92"/>
      <c r="E22" s="90"/>
      <c r="F22" s="90"/>
      <c r="G22" s="94"/>
      <c r="H22" s="90"/>
      <c r="I22" s="90"/>
      <c r="J22" s="90"/>
      <c r="K22" s="22">
        <f>60+92+68+81</f>
        <v>301</v>
      </c>
      <c r="L22" s="18">
        <f>40+75+55+85</f>
        <v>255</v>
      </c>
      <c r="M22" s="18">
        <f>30+35+25+55</f>
        <v>145</v>
      </c>
      <c r="N22" s="98"/>
      <c r="O22" s="19">
        <f t="shared" si="0"/>
        <v>110</v>
      </c>
      <c r="P22" s="22">
        <f>30+35+45+120</f>
        <v>230</v>
      </c>
      <c r="Q22" s="100"/>
      <c r="R22" s="85"/>
      <c r="S22" s="150"/>
      <c r="T22" s="150"/>
      <c r="U22" s="150"/>
      <c r="V22" s="150"/>
      <c r="W22" s="150"/>
      <c r="X22" s="150"/>
      <c r="Y22" s="150"/>
      <c r="Z22" s="150"/>
      <c r="AA22" s="150"/>
      <c r="AB22" s="150"/>
      <c r="AC22" s="150"/>
      <c r="AD22" s="150"/>
      <c r="AE22" s="150"/>
      <c r="AF22" s="150"/>
      <c r="AG22" s="150"/>
      <c r="AH22" s="150"/>
      <c r="AI22" s="150"/>
      <c r="AJ22" s="150"/>
      <c r="AK22" s="150"/>
      <c r="AL22" s="150"/>
      <c r="AM22" s="164"/>
      <c r="AN22" s="164"/>
      <c r="AO22" s="164"/>
      <c r="AP22" s="164"/>
      <c r="AQ22" s="164"/>
      <c r="AR22" s="164"/>
      <c r="AS22" s="164"/>
      <c r="AT22" s="164"/>
      <c r="AU22" s="164"/>
      <c r="AV22" s="164"/>
      <c r="AW22" s="164"/>
      <c r="AX22" s="164"/>
      <c r="AY22" s="168"/>
      <c r="AZ22" s="168"/>
      <c r="BA22" s="168"/>
      <c r="BB22" s="168"/>
      <c r="BC22" s="168"/>
      <c r="BD22" s="168"/>
      <c r="BE22" s="164"/>
      <c r="BF22" s="166"/>
      <c r="BG22" s="166"/>
    </row>
    <row r="23" spans="1:59" s="17" customFormat="1" ht="15.75" customHeight="1">
      <c r="A23" s="108">
        <v>45288</v>
      </c>
      <c r="B23" s="87" t="s">
        <v>37</v>
      </c>
      <c r="C23" s="89">
        <v>1</v>
      </c>
      <c r="D23" s="91" t="s">
        <v>38</v>
      </c>
      <c r="E23" s="89">
        <v>84426</v>
      </c>
      <c r="F23" s="89" t="s">
        <v>49</v>
      </c>
      <c r="G23" s="93" t="s">
        <v>55</v>
      </c>
      <c r="H23" s="90" t="s">
        <v>58</v>
      </c>
      <c r="I23" s="90">
        <v>549</v>
      </c>
      <c r="J23" s="90">
        <v>549</v>
      </c>
      <c r="K23" s="20">
        <v>0</v>
      </c>
      <c r="L23" s="20">
        <v>0</v>
      </c>
      <c r="M23" s="20">
        <v>0</v>
      </c>
      <c r="N23" s="97" t="e">
        <f t="shared" ref="N23" si="7">O23/L23</f>
        <v>#DIV/0!</v>
      </c>
      <c r="O23" s="21">
        <f t="shared" si="0"/>
        <v>0</v>
      </c>
      <c r="P23" s="27">
        <v>0</v>
      </c>
      <c r="Q23" s="99">
        <f>+L24-P24</f>
        <v>3</v>
      </c>
      <c r="R23" s="108"/>
      <c r="S23" s="96"/>
      <c r="T23" s="96"/>
      <c r="U23" s="96"/>
      <c r="V23" s="96"/>
      <c r="W23" s="96"/>
      <c r="X23" s="96"/>
      <c r="Y23" s="96"/>
      <c r="Z23" s="96"/>
      <c r="AA23" s="96"/>
      <c r="AB23" s="96"/>
      <c r="AC23" s="96"/>
      <c r="AD23" s="96"/>
      <c r="AE23" s="96"/>
      <c r="AF23" s="96"/>
      <c r="AG23" s="96"/>
      <c r="AH23" s="96"/>
      <c r="AI23" s="96"/>
      <c r="AJ23" s="96"/>
      <c r="AK23" s="96"/>
      <c r="AL23" s="96"/>
      <c r="AM23" s="103"/>
      <c r="AN23" s="103"/>
      <c r="AO23" s="103"/>
      <c r="AP23" s="103"/>
      <c r="AQ23" s="103"/>
      <c r="AR23" s="103"/>
      <c r="AS23" s="103"/>
      <c r="AT23" s="103"/>
      <c r="AU23" s="103"/>
      <c r="AV23" s="103"/>
      <c r="AW23" s="103"/>
      <c r="AX23" s="103"/>
      <c r="AY23" s="106"/>
      <c r="AZ23" s="106"/>
      <c r="BA23" s="106"/>
      <c r="BB23" s="106"/>
      <c r="BC23" s="106"/>
      <c r="BD23" s="106"/>
      <c r="BE23" s="103"/>
      <c r="BF23" s="104"/>
      <c r="BG23" s="104"/>
    </row>
    <row r="24" spans="1:59" s="17" customFormat="1" ht="15.75" customHeight="1">
      <c r="A24" s="85"/>
      <c r="B24" s="88"/>
      <c r="C24" s="90"/>
      <c r="D24" s="92"/>
      <c r="E24" s="90"/>
      <c r="F24" s="90"/>
      <c r="G24" s="94"/>
      <c r="H24" s="95"/>
      <c r="I24" s="95"/>
      <c r="J24" s="95"/>
      <c r="K24" s="49">
        <f>483+66</f>
        <v>549</v>
      </c>
      <c r="L24" s="18">
        <f>483+66</f>
        <v>549</v>
      </c>
      <c r="M24" s="18">
        <f>86+17</f>
        <v>103</v>
      </c>
      <c r="N24" s="98"/>
      <c r="O24" s="19">
        <f t="shared" si="0"/>
        <v>446</v>
      </c>
      <c r="P24" s="22">
        <f>453+80+11+2</f>
        <v>546</v>
      </c>
      <c r="Q24" s="100"/>
      <c r="R24" s="85"/>
      <c r="S24" s="96"/>
      <c r="T24" s="96"/>
      <c r="U24" s="96"/>
      <c r="V24" s="96"/>
      <c r="W24" s="96"/>
      <c r="X24" s="96"/>
      <c r="Y24" s="96"/>
      <c r="Z24" s="96"/>
      <c r="AA24" s="96"/>
      <c r="AB24" s="96"/>
      <c r="AC24" s="96"/>
      <c r="AD24" s="96"/>
      <c r="AE24" s="96"/>
      <c r="AF24" s="96"/>
      <c r="AG24" s="96"/>
      <c r="AH24" s="96"/>
      <c r="AI24" s="96"/>
      <c r="AJ24" s="96"/>
      <c r="AK24" s="96"/>
      <c r="AL24" s="96"/>
      <c r="AM24" s="103"/>
      <c r="AN24" s="103"/>
      <c r="AO24" s="103"/>
      <c r="AP24" s="103"/>
      <c r="AQ24" s="103"/>
      <c r="AR24" s="103"/>
      <c r="AS24" s="103"/>
      <c r="AT24" s="103"/>
      <c r="AU24" s="103"/>
      <c r="AV24" s="103"/>
      <c r="AW24" s="103"/>
      <c r="AX24" s="103"/>
      <c r="AY24" s="107"/>
      <c r="AZ24" s="107"/>
      <c r="BA24" s="107"/>
      <c r="BB24" s="107"/>
      <c r="BC24" s="107"/>
      <c r="BD24" s="107"/>
      <c r="BE24" s="103"/>
      <c r="BF24" s="105"/>
      <c r="BG24" s="105"/>
    </row>
    <row r="25" spans="1:59" s="17" customFormat="1" ht="15.75" customHeight="1">
      <c r="A25" s="108">
        <v>45288</v>
      </c>
      <c r="B25" s="87" t="s">
        <v>37</v>
      </c>
      <c r="C25" s="89">
        <v>1</v>
      </c>
      <c r="D25" s="91" t="s">
        <v>38</v>
      </c>
      <c r="E25" s="89">
        <v>84352</v>
      </c>
      <c r="F25" s="89" t="s">
        <v>49</v>
      </c>
      <c r="G25" s="93" t="s">
        <v>55</v>
      </c>
      <c r="H25" s="109" t="s">
        <v>39</v>
      </c>
      <c r="I25" s="90">
        <v>1050</v>
      </c>
      <c r="J25" s="170">
        <v>1053</v>
      </c>
      <c r="K25" s="43">
        <v>0</v>
      </c>
      <c r="L25" s="48">
        <v>0</v>
      </c>
      <c r="M25" s="20">
        <v>0</v>
      </c>
      <c r="N25" s="97" t="e">
        <f t="shared" ref="N25" si="8">O25/L25</f>
        <v>#DIV/0!</v>
      </c>
      <c r="O25" s="21">
        <f t="shared" si="0"/>
        <v>0</v>
      </c>
      <c r="P25" s="27">
        <v>0</v>
      </c>
      <c r="Q25" s="99">
        <f>+L26-P26</f>
        <v>0</v>
      </c>
      <c r="R25" s="85"/>
      <c r="S25" s="96"/>
      <c r="T25" s="96"/>
      <c r="U25" s="96"/>
      <c r="V25" s="96"/>
      <c r="W25" s="96"/>
      <c r="X25" s="96"/>
      <c r="Y25" s="96"/>
      <c r="Z25" s="96"/>
      <c r="AA25" s="96"/>
      <c r="AB25" s="96"/>
      <c r="AC25" s="96"/>
      <c r="AD25" s="96"/>
      <c r="AE25" s="96"/>
      <c r="AF25" s="96"/>
      <c r="AG25" s="96"/>
      <c r="AH25" s="96"/>
      <c r="AI25" s="96"/>
      <c r="AJ25" s="96"/>
      <c r="AK25" s="96"/>
      <c r="AL25" s="96"/>
      <c r="AM25" s="103"/>
      <c r="AN25" s="103"/>
      <c r="AO25" s="103"/>
      <c r="AP25" s="103"/>
      <c r="AQ25" s="103"/>
      <c r="AR25" s="103"/>
      <c r="AS25" s="103"/>
      <c r="AT25" s="103"/>
      <c r="AU25" s="103"/>
      <c r="AV25" s="103"/>
      <c r="AW25" s="103"/>
      <c r="AX25" s="103"/>
      <c r="AY25" s="106"/>
      <c r="AZ25" s="106"/>
      <c r="BA25" s="106"/>
      <c r="BB25" s="106"/>
      <c r="BC25" s="106"/>
      <c r="BD25" s="106"/>
      <c r="BE25" s="103"/>
      <c r="BF25" s="104"/>
      <c r="BG25" s="104"/>
    </row>
    <row r="26" spans="1:59" s="17" customFormat="1" ht="15.75" customHeight="1">
      <c r="A26" s="85"/>
      <c r="B26" s="88"/>
      <c r="C26" s="90"/>
      <c r="D26" s="92"/>
      <c r="E26" s="90"/>
      <c r="F26" s="90"/>
      <c r="G26" s="94"/>
      <c r="H26" s="95"/>
      <c r="I26" s="95"/>
      <c r="J26" s="171"/>
      <c r="K26" s="47">
        <f>320+108+237+109+43+100+35+68+20</f>
        <v>1040</v>
      </c>
      <c r="L26" s="46">
        <f>10+10+10+235+60+10+150+85+185+102+40+95+28+20</f>
        <v>1040</v>
      </c>
      <c r="M26" s="18">
        <f>75+30+45+42+80+30+8+40+13+9</f>
        <v>372</v>
      </c>
      <c r="N26" s="98"/>
      <c r="O26" s="19">
        <f t="shared" si="0"/>
        <v>668</v>
      </c>
      <c r="P26" s="22">
        <f>105+70+80+92+96+70+74+165+91+21+40+50+46+20+9+11</f>
        <v>1040</v>
      </c>
      <c r="Q26" s="100"/>
      <c r="R26" s="86"/>
      <c r="S26" s="96"/>
      <c r="T26" s="96"/>
      <c r="U26" s="96"/>
      <c r="V26" s="96"/>
      <c r="W26" s="96"/>
      <c r="X26" s="96"/>
      <c r="Y26" s="96"/>
      <c r="Z26" s="96"/>
      <c r="AA26" s="96"/>
      <c r="AB26" s="96"/>
      <c r="AC26" s="96"/>
      <c r="AD26" s="96"/>
      <c r="AE26" s="96"/>
      <c r="AF26" s="96"/>
      <c r="AG26" s="96"/>
      <c r="AH26" s="96"/>
      <c r="AI26" s="96"/>
      <c r="AJ26" s="96"/>
      <c r="AK26" s="96"/>
      <c r="AL26" s="96"/>
      <c r="AM26" s="103"/>
      <c r="AN26" s="103"/>
      <c r="AO26" s="103"/>
      <c r="AP26" s="103"/>
      <c r="AQ26" s="103"/>
      <c r="AR26" s="103"/>
      <c r="AS26" s="103"/>
      <c r="AT26" s="103"/>
      <c r="AU26" s="103"/>
      <c r="AV26" s="103"/>
      <c r="AW26" s="103"/>
      <c r="AX26" s="103"/>
      <c r="AY26" s="107"/>
      <c r="AZ26" s="107"/>
      <c r="BA26" s="107"/>
      <c r="BB26" s="107"/>
      <c r="BC26" s="107"/>
      <c r="BD26" s="107"/>
      <c r="BE26" s="103"/>
      <c r="BF26" s="105"/>
      <c r="BG26" s="105"/>
    </row>
    <row r="27" spans="1:59" s="17" customFormat="1" ht="15.75" customHeight="1">
      <c r="A27" s="108">
        <v>45288</v>
      </c>
      <c r="B27" s="87" t="s">
        <v>37</v>
      </c>
      <c r="C27" s="89">
        <v>1</v>
      </c>
      <c r="D27" s="91" t="s">
        <v>38</v>
      </c>
      <c r="E27" s="89">
        <v>84031</v>
      </c>
      <c r="F27" s="89" t="s">
        <v>49</v>
      </c>
      <c r="G27" s="93" t="s">
        <v>53</v>
      </c>
      <c r="H27" s="90" t="s">
        <v>57</v>
      </c>
      <c r="I27" s="90">
        <v>563</v>
      </c>
      <c r="J27" s="90">
        <v>563</v>
      </c>
      <c r="K27" s="43">
        <v>0</v>
      </c>
      <c r="L27" s="20">
        <v>0</v>
      </c>
      <c r="M27" s="20">
        <v>0</v>
      </c>
      <c r="N27" s="97" t="e">
        <f t="shared" ref="N27" si="9">O27/L27</f>
        <v>#DIV/0!</v>
      </c>
      <c r="O27" s="21">
        <f t="shared" si="0"/>
        <v>0</v>
      </c>
      <c r="P27" s="27">
        <v>0</v>
      </c>
      <c r="Q27" s="99">
        <f>+L28-P28</f>
        <v>0</v>
      </c>
      <c r="R27" s="85"/>
      <c r="S27" s="96"/>
      <c r="T27" s="96"/>
      <c r="U27" s="96"/>
      <c r="V27" s="96"/>
      <c r="W27" s="96"/>
      <c r="X27" s="96"/>
      <c r="Y27" s="96"/>
      <c r="Z27" s="96"/>
      <c r="AA27" s="96"/>
      <c r="AB27" s="96"/>
      <c r="AC27" s="96"/>
      <c r="AD27" s="96"/>
      <c r="AE27" s="96"/>
      <c r="AF27" s="96"/>
      <c r="AG27" s="96"/>
      <c r="AH27" s="96"/>
      <c r="AI27" s="96"/>
      <c r="AJ27" s="96"/>
      <c r="AK27" s="96"/>
      <c r="AL27" s="96"/>
      <c r="AM27" s="103"/>
      <c r="AN27" s="103"/>
      <c r="AO27" s="103"/>
      <c r="AP27" s="103"/>
      <c r="AQ27" s="103"/>
      <c r="AR27" s="103"/>
      <c r="AS27" s="103"/>
      <c r="AT27" s="103"/>
      <c r="AU27" s="103"/>
      <c r="AV27" s="103"/>
      <c r="AW27" s="103"/>
      <c r="AX27" s="103"/>
      <c r="AY27" s="106"/>
      <c r="AZ27" s="106"/>
      <c r="BA27" s="106"/>
      <c r="BB27" s="106"/>
      <c r="BC27" s="106"/>
      <c r="BD27" s="106"/>
      <c r="BE27" s="103"/>
      <c r="BF27" s="104"/>
      <c r="BG27" s="104"/>
    </row>
    <row r="28" spans="1:59" s="17" customFormat="1" ht="15.75" customHeight="1">
      <c r="A28" s="85"/>
      <c r="B28" s="88"/>
      <c r="C28" s="90"/>
      <c r="D28" s="92"/>
      <c r="E28" s="90"/>
      <c r="F28" s="90"/>
      <c r="G28" s="94"/>
      <c r="H28" s="95"/>
      <c r="I28" s="95"/>
      <c r="J28" s="95"/>
      <c r="K28" s="22">
        <f>516+20+3</f>
        <v>539</v>
      </c>
      <c r="L28" s="18">
        <f>516+20+3</f>
        <v>539</v>
      </c>
      <c r="M28" s="18">
        <f>74+2+3</f>
        <v>79</v>
      </c>
      <c r="N28" s="98"/>
      <c r="O28" s="19">
        <f t="shared" si="0"/>
        <v>460</v>
      </c>
      <c r="P28" s="22">
        <f>516+20+3</f>
        <v>539</v>
      </c>
      <c r="Q28" s="100"/>
      <c r="R28" s="86"/>
      <c r="S28" s="96"/>
      <c r="T28" s="96"/>
      <c r="U28" s="96"/>
      <c r="V28" s="96"/>
      <c r="W28" s="96"/>
      <c r="X28" s="96"/>
      <c r="Y28" s="96"/>
      <c r="Z28" s="96"/>
      <c r="AA28" s="96"/>
      <c r="AB28" s="96"/>
      <c r="AC28" s="96"/>
      <c r="AD28" s="96"/>
      <c r="AE28" s="96"/>
      <c r="AF28" s="96"/>
      <c r="AG28" s="96"/>
      <c r="AH28" s="96"/>
      <c r="AI28" s="96"/>
      <c r="AJ28" s="96"/>
      <c r="AK28" s="96"/>
      <c r="AL28" s="96"/>
      <c r="AM28" s="103"/>
      <c r="AN28" s="103"/>
      <c r="AO28" s="103"/>
      <c r="AP28" s="103"/>
      <c r="AQ28" s="103"/>
      <c r="AR28" s="103"/>
      <c r="AS28" s="103"/>
      <c r="AT28" s="103"/>
      <c r="AU28" s="103"/>
      <c r="AV28" s="103"/>
      <c r="AW28" s="103"/>
      <c r="AX28" s="103"/>
      <c r="AY28" s="107"/>
      <c r="AZ28" s="107"/>
      <c r="BA28" s="107"/>
      <c r="BB28" s="107"/>
      <c r="BC28" s="107"/>
      <c r="BD28" s="107"/>
      <c r="BE28" s="103"/>
      <c r="BF28" s="105"/>
      <c r="BG28" s="105"/>
    </row>
    <row r="29" spans="1:59" s="17" customFormat="1" ht="15.75" customHeight="1">
      <c r="A29" s="108">
        <v>45288</v>
      </c>
      <c r="B29" s="87" t="s">
        <v>37</v>
      </c>
      <c r="C29" s="89">
        <v>1</v>
      </c>
      <c r="D29" s="91" t="s">
        <v>38</v>
      </c>
      <c r="E29" s="89">
        <v>84031</v>
      </c>
      <c r="F29" s="89" t="s">
        <v>49</v>
      </c>
      <c r="G29" s="93" t="s">
        <v>53</v>
      </c>
      <c r="H29" s="90" t="s">
        <v>39</v>
      </c>
      <c r="I29" s="90">
        <v>623</v>
      </c>
      <c r="J29" s="90">
        <v>623</v>
      </c>
      <c r="K29" s="20">
        <v>0</v>
      </c>
      <c r="L29" s="20">
        <v>0</v>
      </c>
      <c r="M29" s="20">
        <v>0</v>
      </c>
      <c r="N29" s="97" t="e">
        <f t="shared" ref="N29" si="10">O29/L29</f>
        <v>#DIV/0!</v>
      </c>
      <c r="O29" s="21">
        <f t="shared" si="0"/>
        <v>0</v>
      </c>
      <c r="P29" s="27">
        <v>0</v>
      </c>
      <c r="Q29" s="99">
        <f>+L30-P30</f>
        <v>0</v>
      </c>
      <c r="R29" s="85"/>
      <c r="S29" s="96"/>
      <c r="T29" s="96"/>
      <c r="U29" s="96"/>
      <c r="V29" s="96"/>
      <c r="W29" s="96"/>
      <c r="X29" s="96"/>
      <c r="Y29" s="96"/>
      <c r="Z29" s="96"/>
      <c r="AA29" s="96"/>
      <c r="AB29" s="96"/>
      <c r="AC29" s="96"/>
      <c r="AD29" s="96"/>
      <c r="AE29" s="96"/>
      <c r="AF29" s="96"/>
      <c r="AG29" s="96"/>
      <c r="AH29" s="96"/>
      <c r="AI29" s="96"/>
      <c r="AJ29" s="96"/>
      <c r="AK29" s="96"/>
      <c r="AL29" s="96"/>
      <c r="AM29" s="103"/>
      <c r="AN29" s="103"/>
      <c r="AO29" s="103"/>
      <c r="AP29" s="103"/>
      <c r="AQ29" s="103"/>
      <c r="AR29" s="103"/>
      <c r="AS29" s="103"/>
      <c r="AT29" s="103"/>
      <c r="AU29" s="103"/>
      <c r="AV29" s="103"/>
      <c r="AW29" s="103"/>
      <c r="AX29" s="103"/>
      <c r="AY29" s="106"/>
      <c r="AZ29" s="106"/>
      <c r="BA29" s="106"/>
      <c r="BB29" s="106"/>
      <c r="BC29" s="106"/>
      <c r="BD29" s="106"/>
      <c r="BE29" s="103"/>
      <c r="BF29" s="104"/>
      <c r="BG29" s="104"/>
    </row>
    <row r="30" spans="1:59" s="17" customFormat="1" ht="15.75" customHeight="1">
      <c r="A30" s="85"/>
      <c r="B30" s="88"/>
      <c r="C30" s="90"/>
      <c r="D30" s="92"/>
      <c r="E30" s="90"/>
      <c r="F30" s="90"/>
      <c r="G30" s="94"/>
      <c r="H30" s="95"/>
      <c r="I30" s="95"/>
      <c r="J30" s="95"/>
      <c r="K30" s="22">
        <f>574+9+30+5+3</f>
        <v>621</v>
      </c>
      <c r="L30" s="18">
        <f>574+9+30+5+3</f>
        <v>621</v>
      </c>
      <c r="M30" s="18">
        <f>109+9+5+3</f>
        <v>126</v>
      </c>
      <c r="N30" s="98"/>
      <c r="O30" s="19">
        <f t="shared" si="0"/>
        <v>495</v>
      </c>
      <c r="P30" s="22">
        <f>574+9+30+5+3</f>
        <v>621</v>
      </c>
      <c r="Q30" s="100"/>
      <c r="R30" s="86"/>
      <c r="S30" s="96"/>
      <c r="T30" s="96"/>
      <c r="U30" s="96"/>
      <c r="V30" s="96"/>
      <c r="W30" s="96"/>
      <c r="X30" s="96"/>
      <c r="Y30" s="96"/>
      <c r="Z30" s="96"/>
      <c r="AA30" s="96"/>
      <c r="AB30" s="96"/>
      <c r="AC30" s="96"/>
      <c r="AD30" s="96"/>
      <c r="AE30" s="96"/>
      <c r="AF30" s="96"/>
      <c r="AG30" s="96"/>
      <c r="AH30" s="96"/>
      <c r="AI30" s="96"/>
      <c r="AJ30" s="96"/>
      <c r="AK30" s="96"/>
      <c r="AL30" s="96"/>
      <c r="AM30" s="103"/>
      <c r="AN30" s="103"/>
      <c r="AO30" s="103"/>
      <c r="AP30" s="103"/>
      <c r="AQ30" s="103"/>
      <c r="AR30" s="103"/>
      <c r="AS30" s="103"/>
      <c r="AT30" s="103"/>
      <c r="AU30" s="103"/>
      <c r="AV30" s="103"/>
      <c r="AW30" s="103"/>
      <c r="AX30" s="103"/>
      <c r="AY30" s="107"/>
      <c r="AZ30" s="107"/>
      <c r="BA30" s="107"/>
      <c r="BB30" s="107"/>
      <c r="BC30" s="107"/>
      <c r="BD30" s="107"/>
      <c r="BE30" s="103"/>
      <c r="BF30" s="105"/>
      <c r="BG30" s="105"/>
    </row>
    <row r="31" spans="1:59" s="17" customFormat="1" ht="15.75" customHeight="1">
      <c r="A31" s="108">
        <v>45288</v>
      </c>
      <c r="B31" s="87" t="s">
        <v>37</v>
      </c>
      <c r="C31" s="89">
        <v>1</v>
      </c>
      <c r="D31" s="91" t="s">
        <v>77</v>
      </c>
      <c r="E31" s="89">
        <v>20785</v>
      </c>
      <c r="F31" s="89" t="s">
        <v>76</v>
      </c>
      <c r="G31" s="93" t="s">
        <v>71</v>
      </c>
      <c r="H31" s="90" t="s">
        <v>70</v>
      </c>
      <c r="I31" s="90">
        <v>1475</v>
      </c>
      <c r="J31" s="90">
        <v>1475</v>
      </c>
      <c r="K31" s="20">
        <v>52</v>
      </c>
      <c r="L31" s="20">
        <v>52</v>
      </c>
      <c r="M31" s="20">
        <v>13</v>
      </c>
      <c r="N31" s="97">
        <f t="shared" ref="N31" si="11">O31/L31</f>
        <v>0.75</v>
      </c>
      <c r="O31" s="21">
        <f>L31-M31</f>
        <v>39</v>
      </c>
      <c r="P31" s="27">
        <v>70</v>
      </c>
      <c r="Q31" s="99">
        <f>+L32-P32</f>
        <v>60</v>
      </c>
      <c r="R31" s="85"/>
      <c r="S31" s="96">
        <v>2</v>
      </c>
      <c r="T31" s="96"/>
      <c r="U31" s="96">
        <v>7</v>
      </c>
      <c r="V31" s="96"/>
      <c r="W31" s="96"/>
      <c r="X31" s="96">
        <v>1</v>
      </c>
      <c r="Y31" s="96"/>
      <c r="Z31" s="96"/>
      <c r="AA31" s="96"/>
      <c r="AB31" s="96"/>
      <c r="AC31" s="96">
        <v>5</v>
      </c>
      <c r="AD31" s="96"/>
      <c r="AE31" s="96">
        <v>1</v>
      </c>
      <c r="AF31" s="96"/>
      <c r="AG31" s="96">
        <v>9</v>
      </c>
      <c r="AH31" s="96">
        <v>11</v>
      </c>
      <c r="AI31" s="96"/>
      <c r="AJ31" s="96"/>
      <c r="AK31" s="96"/>
      <c r="AL31" s="96">
        <v>3</v>
      </c>
      <c r="AM31" s="103"/>
      <c r="AN31" s="103"/>
      <c r="AO31" s="103"/>
      <c r="AP31" s="103"/>
      <c r="AQ31" s="103"/>
      <c r="AR31" s="103"/>
      <c r="AS31" s="103"/>
      <c r="AT31" s="103"/>
      <c r="AU31" s="103"/>
      <c r="AV31" s="103"/>
      <c r="AW31" s="103"/>
      <c r="AX31" s="103"/>
      <c r="AY31" s="106"/>
      <c r="AZ31" s="106"/>
      <c r="BA31" s="106"/>
      <c r="BB31" s="106"/>
      <c r="BC31" s="106"/>
      <c r="BD31" s="106"/>
      <c r="BE31" s="103"/>
      <c r="BF31" s="104"/>
      <c r="BG31" s="104"/>
    </row>
    <row r="32" spans="1:59" s="17" customFormat="1" ht="15.75" customHeight="1">
      <c r="A32" s="85"/>
      <c r="B32" s="88"/>
      <c r="C32" s="90"/>
      <c r="D32" s="92"/>
      <c r="E32" s="90"/>
      <c r="F32" s="90"/>
      <c r="G32" s="94"/>
      <c r="H32" s="95"/>
      <c r="I32" s="95"/>
      <c r="J32" s="95"/>
      <c r="K32" s="22">
        <f>26+20+20+15+15+29+64+22+41+75+22+66+52</f>
        <v>467</v>
      </c>
      <c r="L32" s="18">
        <f>26+10+30+15+15+29+64+22+41+75+22+66+52</f>
        <v>467</v>
      </c>
      <c r="M32" s="18">
        <f>9+14+6+4+23+16+13</f>
        <v>85</v>
      </c>
      <c r="N32" s="98"/>
      <c r="O32" s="19">
        <f t="shared" si="0"/>
        <v>382</v>
      </c>
      <c r="P32" s="22">
        <f>10+10+6+5+20+15+14+16+9+44+20+23+83+24+38+70</f>
        <v>407</v>
      </c>
      <c r="Q32" s="100"/>
      <c r="R32" s="86"/>
      <c r="S32" s="96"/>
      <c r="T32" s="96"/>
      <c r="U32" s="96"/>
      <c r="V32" s="96"/>
      <c r="W32" s="96"/>
      <c r="X32" s="96"/>
      <c r="Y32" s="96"/>
      <c r="Z32" s="96"/>
      <c r="AA32" s="96"/>
      <c r="AB32" s="96"/>
      <c r="AC32" s="96"/>
      <c r="AD32" s="96"/>
      <c r="AE32" s="96"/>
      <c r="AF32" s="96"/>
      <c r="AG32" s="96"/>
      <c r="AH32" s="96"/>
      <c r="AI32" s="96"/>
      <c r="AJ32" s="96"/>
      <c r="AK32" s="96"/>
      <c r="AL32" s="96"/>
      <c r="AM32" s="103"/>
      <c r="AN32" s="103"/>
      <c r="AO32" s="103"/>
      <c r="AP32" s="103"/>
      <c r="AQ32" s="103"/>
      <c r="AR32" s="103"/>
      <c r="AS32" s="103"/>
      <c r="AT32" s="103"/>
      <c r="AU32" s="103"/>
      <c r="AV32" s="103"/>
      <c r="AW32" s="103"/>
      <c r="AX32" s="103"/>
      <c r="AY32" s="107"/>
      <c r="AZ32" s="107"/>
      <c r="BA32" s="107"/>
      <c r="BB32" s="107"/>
      <c r="BC32" s="107"/>
      <c r="BD32" s="107"/>
      <c r="BE32" s="103"/>
      <c r="BF32" s="105"/>
      <c r="BG32" s="105"/>
    </row>
    <row r="33" spans="1:59" s="17" customFormat="1" ht="15.75" customHeight="1">
      <c r="A33" s="108">
        <v>45288</v>
      </c>
      <c r="B33" s="87" t="s">
        <v>37</v>
      </c>
      <c r="C33" s="89">
        <v>1</v>
      </c>
      <c r="D33" s="91" t="s">
        <v>77</v>
      </c>
      <c r="E33" s="89">
        <v>20785</v>
      </c>
      <c r="F33" s="89" t="s">
        <v>76</v>
      </c>
      <c r="G33" s="93" t="s">
        <v>71</v>
      </c>
      <c r="H33" s="90" t="s">
        <v>75</v>
      </c>
      <c r="I33" s="90">
        <v>501</v>
      </c>
      <c r="J33" s="90">
        <v>501</v>
      </c>
      <c r="K33" s="20">
        <v>0</v>
      </c>
      <c r="L33" s="20">
        <v>0</v>
      </c>
      <c r="M33" s="20">
        <v>0</v>
      </c>
      <c r="N33" s="97" t="e">
        <f t="shared" ref="N33" si="12">O33/L33</f>
        <v>#DIV/0!</v>
      </c>
      <c r="O33" s="21">
        <f t="shared" si="0"/>
        <v>0</v>
      </c>
      <c r="P33" s="27">
        <v>0</v>
      </c>
      <c r="Q33" s="99">
        <f>+L34-P34</f>
        <v>0</v>
      </c>
      <c r="R33" s="85"/>
      <c r="S33" s="96"/>
      <c r="T33" s="96"/>
      <c r="U33" s="96"/>
      <c r="V33" s="96"/>
      <c r="W33" s="96"/>
      <c r="X33" s="96"/>
      <c r="Y33" s="96"/>
      <c r="Z33" s="96"/>
      <c r="AA33" s="96"/>
      <c r="AB33" s="96"/>
      <c r="AC33" s="96"/>
      <c r="AD33" s="96"/>
      <c r="AE33" s="96"/>
      <c r="AF33" s="96"/>
      <c r="AG33" s="96"/>
      <c r="AH33" s="96"/>
      <c r="AI33" s="96"/>
      <c r="AJ33" s="96"/>
      <c r="AK33" s="96"/>
      <c r="AL33" s="96"/>
      <c r="AM33" s="103"/>
      <c r="AN33" s="103"/>
      <c r="AO33" s="103"/>
      <c r="AP33" s="103"/>
      <c r="AQ33" s="103"/>
      <c r="AR33" s="103"/>
      <c r="AS33" s="103"/>
      <c r="AT33" s="103"/>
      <c r="AU33" s="103"/>
      <c r="AV33" s="103"/>
      <c r="AW33" s="103"/>
      <c r="AX33" s="103"/>
      <c r="AY33" s="106"/>
      <c r="AZ33" s="106"/>
      <c r="BA33" s="106"/>
      <c r="BB33" s="106"/>
      <c r="BC33" s="106"/>
      <c r="BD33" s="106"/>
      <c r="BE33" s="103"/>
      <c r="BF33" s="104"/>
      <c r="BG33" s="104"/>
    </row>
    <row r="34" spans="1:59" s="17" customFormat="1" ht="15.75" customHeight="1">
      <c r="A34" s="85"/>
      <c r="B34" s="88"/>
      <c r="C34" s="90"/>
      <c r="D34" s="92"/>
      <c r="E34" s="90"/>
      <c r="F34" s="90"/>
      <c r="G34" s="94"/>
      <c r="H34" s="95"/>
      <c r="I34" s="95"/>
      <c r="J34" s="95"/>
      <c r="K34" s="22">
        <f>24+31+23</f>
        <v>78</v>
      </c>
      <c r="L34" s="18">
        <f>10+45+5+18</f>
        <v>78</v>
      </c>
      <c r="M34" s="18">
        <f>5</f>
        <v>5</v>
      </c>
      <c r="N34" s="98"/>
      <c r="O34" s="19">
        <f t="shared" si="0"/>
        <v>73</v>
      </c>
      <c r="P34" s="22">
        <f>5+15+58</f>
        <v>78</v>
      </c>
      <c r="Q34" s="100"/>
      <c r="R34" s="86"/>
      <c r="S34" s="96"/>
      <c r="T34" s="96"/>
      <c r="U34" s="96"/>
      <c r="V34" s="96"/>
      <c r="W34" s="96"/>
      <c r="X34" s="96"/>
      <c r="Y34" s="96"/>
      <c r="Z34" s="96"/>
      <c r="AA34" s="96"/>
      <c r="AB34" s="96"/>
      <c r="AC34" s="96"/>
      <c r="AD34" s="96"/>
      <c r="AE34" s="96"/>
      <c r="AF34" s="96"/>
      <c r="AG34" s="96"/>
      <c r="AH34" s="96"/>
      <c r="AI34" s="96"/>
      <c r="AJ34" s="96"/>
      <c r="AK34" s="96"/>
      <c r="AL34" s="96"/>
      <c r="AM34" s="103"/>
      <c r="AN34" s="103"/>
      <c r="AO34" s="103"/>
      <c r="AP34" s="103"/>
      <c r="AQ34" s="103"/>
      <c r="AR34" s="103"/>
      <c r="AS34" s="103"/>
      <c r="AT34" s="103"/>
      <c r="AU34" s="103"/>
      <c r="AV34" s="103"/>
      <c r="AW34" s="103"/>
      <c r="AX34" s="103"/>
      <c r="AY34" s="107"/>
      <c r="AZ34" s="107"/>
      <c r="BA34" s="107"/>
      <c r="BB34" s="107"/>
      <c r="BC34" s="107"/>
      <c r="BD34" s="107"/>
      <c r="BE34" s="103"/>
      <c r="BF34" s="105"/>
      <c r="BG34" s="105"/>
    </row>
    <row r="35" spans="1:59" s="17" customFormat="1" ht="15.75" customHeight="1">
      <c r="A35" s="108">
        <v>45288</v>
      </c>
      <c r="B35" s="87" t="s">
        <v>37</v>
      </c>
      <c r="C35" s="89">
        <v>1</v>
      </c>
      <c r="D35" s="91" t="s">
        <v>77</v>
      </c>
      <c r="E35" s="89">
        <v>20785</v>
      </c>
      <c r="F35" s="89" t="s">
        <v>76</v>
      </c>
      <c r="G35" s="93" t="s">
        <v>71</v>
      </c>
      <c r="H35" s="90" t="s">
        <v>79</v>
      </c>
      <c r="I35" s="90">
        <v>826</v>
      </c>
      <c r="J35" s="90">
        <v>826</v>
      </c>
      <c r="K35" s="20">
        <v>57</v>
      </c>
      <c r="L35" s="20">
        <v>57</v>
      </c>
      <c r="M35" s="20">
        <v>10</v>
      </c>
      <c r="N35" s="97">
        <f t="shared" ref="N35" si="13">O35/L35</f>
        <v>0.82456140350877194</v>
      </c>
      <c r="O35" s="21">
        <f t="shared" si="0"/>
        <v>47</v>
      </c>
      <c r="P35" s="27">
        <v>62</v>
      </c>
      <c r="Q35" s="99">
        <f>+L36-P36</f>
        <v>141</v>
      </c>
      <c r="R35" s="85"/>
      <c r="S35" s="96"/>
      <c r="T35" s="96">
        <v>10</v>
      </c>
      <c r="U35" s="96"/>
      <c r="V35" s="96"/>
      <c r="W35" s="96"/>
      <c r="X35" s="96"/>
      <c r="Y35" s="96"/>
      <c r="Z35" s="96"/>
      <c r="AA35" s="96"/>
      <c r="AB35" s="96"/>
      <c r="AC35" s="96">
        <v>6</v>
      </c>
      <c r="AD35" s="96"/>
      <c r="AE35" s="96">
        <v>4</v>
      </c>
      <c r="AF35" s="96"/>
      <c r="AG35" s="96">
        <v>4</v>
      </c>
      <c r="AH35" s="96">
        <v>13</v>
      </c>
      <c r="AI35" s="96"/>
      <c r="AJ35" s="96">
        <v>6</v>
      </c>
      <c r="AK35" s="96"/>
      <c r="AL35" s="96">
        <v>4</v>
      </c>
      <c r="AM35" s="103"/>
      <c r="AN35" s="103"/>
      <c r="AO35" s="103"/>
      <c r="AP35" s="103"/>
      <c r="AQ35" s="103"/>
      <c r="AR35" s="103"/>
      <c r="AS35" s="103"/>
      <c r="AT35" s="103"/>
      <c r="AU35" s="103"/>
      <c r="AV35" s="103"/>
      <c r="AW35" s="103"/>
      <c r="AX35" s="103"/>
      <c r="AY35" s="106"/>
      <c r="AZ35" s="106"/>
      <c r="BA35" s="106"/>
      <c r="BB35" s="106"/>
      <c r="BC35" s="106"/>
      <c r="BD35" s="106"/>
      <c r="BE35" s="103"/>
      <c r="BF35" s="104"/>
      <c r="BG35" s="104"/>
    </row>
    <row r="36" spans="1:59" s="17" customFormat="1" ht="15.75" customHeight="1">
      <c r="A36" s="85"/>
      <c r="B36" s="88"/>
      <c r="C36" s="90"/>
      <c r="D36" s="92"/>
      <c r="E36" s="90"/>
      <c r="F36" s="90"/>
      <c r="G36" s="94"/>
      <c r="H36" s="95"/>
      <c r="I36" s="95"/>
      <c r="J36" s="95"/>
      <c r="K36" s="22">
        <f>8+32+48+44+34+38+20+74+44+77+59+87+67+57+65+57</f>
        <v>811</v>
      </c>
      <c r="L36" s="18">
        <f>7+30+45+50+45+47+50+44+70+90+87+67+57+65+57</f>
        <v>811</v>
      </c>
      <c r="M36" s="18">
        <f>3+10+5+10+8+5+10+20+7+7+5+5+10</f>
        <v>105</v>
      </c>
      <c r="N36" s="98"/>
      <c r="O36" s="19">
        <f t="shared" si="0"/>
        <v>706</v>
      </c>
      <c r="P36" s="22">
        <f>3+10+12+30+25+114+20+37+30+84+25+32+97+89+62</f>
        <v>670</v>
      </c>
      <c r="Q36" s="100"/>
      <c r="R36" s="86"/>
      <c r="S36" s="96"/>
      <c r="T36" s="96"/>
      <c r="U36" s="96"/>
      <c r="V36" s="96"/>
      <c r="W36" s="96"/>
      <c r="X36" s="96"/>
      <c r="Y36" s="96"/>
      <c r="Z36" s="96"/>
      <c r="AA36" s="96"/>
      <c r="AB36" s="96"/>
      <c r="AC36" s="96"/>
      <c r="AD36" s="96"/>
      <c r="AE36" s="96"/>
      <c r="AF36" s="96"/>
      <c r="AG36" s="96"/>
      <c r="AH36" s="96"/>
      <c r="AI36" s="96"/>
      <c r="AJ36" s="96"/>
      <c r="AK36" s="96"/>
      <c r="AL36" s="96"/>
      <c r="AM36" s="103"/>
      <c r="AN36" s="103"/>
      <c r="AO36" s="103"/>
      <c r="AP36" s="103"/>
      <c r="AQ36" s="103"/>
      <c r="AR36" s="103"/>
      <c r="AS36" s="103"/>
      <c r="AT36" s="103"/>
      <c r="AU36" s="103"/>
      <c r="AV36" s="103"/>
      <c r="AW36" s="103"/>
      <c r="AX36" s="103"/>
      <c r="AY36" s="107"/>
      <c r="AZ36" s="107"/>
      <c r="BA36" s="107"/>
      <c r="BB36" s="107"/>
      <c r="BC36" s="107"/>
      <c r="BD36" s="107"/>
      <c r="BE36" s="103"/>
      <c r="BF36" s="105"/>
      <c r="BG36" s="105"/>
    </row>
    <row r="37" spans="1:59" s="17" customFormat="1" ht="15.75" customHeight="1">
      <c r="A37" s="108">
        <v>45288</v>
      </c>
      <c r="B37" s="87" t="s">
        <v>37</v>
      </c>
      <c r="C37" s="89">
        <v>1</v>
      </c>
      <c r="D37" s="91" t="s">
        <v>77</v>
      </c>
      <c r="E37" s="89">
        <v>20785</v>
      </c>
      <c r="F37" s="89" t="s">
        <v>76</v>
      </c>
      <c r="G37" s="93" t="s">
        <v>71</v>
      </c>
      <c r="H37" s="90" t="s">
        <v>88</v>
      </c>
      <c r="I37" s="90">
        <v>500</v>
      </c>
      <c r="J37" s="90">
        <v>500</v>
      </c>
      <c r="K37" s="20">
        <v>14</v>
      </c>
      <c r="L37" s="20">
        <v>56</v>
      </c>
      <c r="M37" s="20">
        <v>0</v>
      </c>
      <c r="N37" s="97">
        <f t="shared" ref="N37" si="14">O37/L37</f>
        <v>1</v>
      </c>
      <c r="O37" s="21">
        <f t="shared" si="0"/>
        <v>56</v>
      </c>
      <c r="P37" s="27">
        <v>0</v>
      </c>
      <c r="Q37" s="99">
        <f>+L38-P38</f>
        <v>56</v>
      </c>
      <c r="R37" s="85"/>
      <c r="S37" s="96"/>
      <c r="T37" s="96">
        <v>6</v>
      </c>
      <c r="U37" s="96"/>
      <c r="V37" s="96"/>
      <c r="W37" s="96"/>
      <c r="X37" s="96"/>
      <c r="Y37" s="96"/>
      <c r="Z37" s="96"/>
      <c r="AA37" s="96"/>
      <c r="AB37" s="96"/>
      <c r="AC37" s="96">
        <v>15</v>
      </c>
      <c r="AD37" s="96"/>
      <c r="AE37" s="96">
        <v>6</v>
      </c>
      <c r="AF37" s="96">
        <v>13</v>
      </c>
      <c r="AG37" s="96"/>
      <c r="AH37" s="96">
        <v>6</v>
      </c>
      <c r="AI37" s="96"/>
      <c r="AJ37" s="96">
        <v>6</v>
      </c>
      <c r="AK37" s="96"/>
      <c r="AL37" s="96">
        <v>4</v>
      </c>
      <c r="AM37" s="103"/>
      <c r="AN37" s="103"/>
      <c r="AO37" s="103"/>
      <c r="AP37" s="103"/>
      <c r="AQ37" s="103"/>
      <c r="AR37" s="103"/>
      <c r="AS37" s="103"/>
      <c r="AT37" s="103"/>
      <c r="AU37" s="103"/>
      <c r="AV37" s="103"/>
      <c r="AW37" s="103"/>
      <c r="AX37" s="103"/>
      <c r="AY37" s="106"/>
      <c r="AZ37" s="106"/>
      <c r="BA37" s="106"/>
      <c r="BB37" s="106"/>
      <c r="BC37" s="106"/>
      <c r="BD37" s="106"/>
      <c r="BE37" s="103"/>
      <c r="BF37" s="104"/>
      <c r="BG37" s="104"/>
    </row>
    <row r="38" spans="1:59" s="17" customFormat="1" ht="15.75" customHeight="1">
      <c r="A38" s="85"/>
      <c r="B38" s="88"/>
      <c r="C38" s="90"/>
      <c r="D38" s="92"/>
      <c r="E38" s="90"/>
      <c r="F38" s="90"/>
      <c r="G38" s="94"/>
      <c r="H38" s="95"/>
      <c r="I38" s="95"/>
      <c r="J38" s="95"/>
      <c r="K38" s="22">
        <f>42+14</f>
        <v>56</v>
      </c>
      <c r="L38" s="18">
        <f>56</f>
        <v>56</v>
      </c>
      <c r="M38" s="18">
        <v>0</v>
      </c>
      <c r="N38" s="98"/>
      <c r="O38" s="19">
        <f t="shared" si="0"/>
        <v>56</v>
      </c>
      <c r="P38" s="22">
        <v>0</v>
      </c>
      <c r="Q38" s="100"/>
      <c r="R38" s="86"/>
      <c r="S38" s="96"/>
      <c r="T38" s="96"/>
      <c r="U38" s="96"/>
      <c r="V38" s="96"/>
      <c r="W38" s="96"/>
      <c r="X38" s="96"/>
      <c r="Y38" s="96"/>
      <c r="Z38" s="96"/>
      <c r="AA38" s="96"/>
      <c r="AB38" s="96"/>
      <c r="AC38" s="96"/>
      <c r="AD38" s="96"/>
      <c r="AE38" s="96"/>
      <c r="AF38" s="96"/>
      <c r="AG38" s="96"/>
      <c r="AH38" s="96"/>
      <c r="AI38" s="96"/>
      <c r="AJ38" s="96"/>
      <c r="AK38" s="96"/>
      <c r="AL38" s="96"/>
      <c r="AM38" s="103"/>
      <c r="AN38" s="103"/>
      <c r="AO38" s="103"/>
      <c r="AP38" s="103"/>
      <c r="AQ38" s="103"/>
      <c r="AR38" s="103"/>
      <c r="AS38" s="103"/>
      <c r="AT38" s="103"/>
      <c r="AU38" s="103"/>
      <c r="AV38" s="103"/>
      <c r="AW38" s="103"/>
      <c r="AX38" s="103"/>
      <c r="AY38" s="107"/>
      <c r="AZ38" s="107"/>
      <c r="BA38" s="107"/>
      <c r="BB38" s="107"/>
      <c r="BC38" s="107"/>
      <c r="BD38" s="107"/>
      <c r="BE38" s="103"/>
      <c r="BF38" s="105"/>
      <c r="BG38" s="105"/>
    </row>
    <row r="39" spans="1:59" ht="24.75" customHeight="1">
      <c r="A39" s="111" t="s">
        <v>91</v>
      </c>
      <c r="B39" s="112"/>
      <c r="C39" s="112"/>
      <c r="D39" s="112"/>
      <c r="E39" s="112"/>
      <c r="F39" s="112"/>
      <c r="G39" s="112"/>
      <c r="H39" s="112"/>
      <c r="I39" s="113"/>
      <c r="J39" s="5">
        <f>SUM(J5:J38)</f>
        <v>21088</v>
      </c>
      <c r="K39" s="5">
        <f>+SUMPRODUCT(((MOD(ROW(K5:K38),2)=1)*(K5:K38)))</f>
        <v>1026</v>
      </c>
      <c r="L39" s="5">
        <f>+SUMPRODUCT(((MOD(ROW(L5:L38),2)=1)*(L5:L38)))</f>
        <v>1172</v>
      </c>
      <c r="M39" s="5">
        <f>+SUMPRODUCT(((MOD(ROW(M5:M38),2)=1)*(M5:M38)))</f>
        <v>467</v>
      </c>
      <c r="N39" s="23">
        <f>O39/L39</f>
        <v>0.60153583617747441</v>
      </c>
      <c r="O39" s="5">
        <f>+SUMPRODUCT(((MOD(ROW(O5:O38),2)=1)*(O5:O38)))</f>
        <v>705</v>
      </c>
      <c r="P39" s="5">
        <f>+SUMPRODUCT(((MOD(ROW(P5:P38),2)=1)*(P5:P38)))</f>
        <v>1353</v>
      </c>
      <c r="Q39" s="5">
        <f>+SUMPRODUCT(((MOD(ROW(Q5:Q38),2)=1)*(Q5:Q38)))</f>
        <v>1112</v>
      </c>
      <c r="R39" s="69"/>
      <c r="S39" s="68">
        <f t="shared" ref="S39:BG39" si="15">SUM(S5:S38)</f>
        <v>21</v>
      </c>
      <c r="T39" s="68">
        <f t="shared" si="15"/>
        <v>163</v>
      </c>
      <c r="U39" s="68">
        <f t="shared" si="15"/>
        <v>25</v>
      </c>
      <c r="V39" s="68">
        <f t="shared" si="15"/>
        <v>0</v>
      </c>
      <c r="W39" s="68">
        <f t="shared" si="15"/>
        <v>0</v>
      </c>
      <c r="X39" s="68">
        <f t="shared" si="15"/>
        <v>6</v>
      </c>
      <c r="Y39" s="5">
        <f t="shared" si="15"/>
        <v>12</v>
      </c>
      <c r="Z39" s="5">
        <f t="shared" si="15"/>
        <v>10</v>
      </c>
      <c r="AA39" s="5">
        <f t="shared" si="15"/>
        <v>0</v>
      </c>
      <c r="AB39" s="5">
        <f t="shared" si="15"/>
        <v>0</v>
      </c>
      <c r="AC39" s="5">
        <f t="shared" si="15"/>
        <v>105</v>
      </c>
      <c r="AD39" s="5">
        <f t="shared" si="15"/>
        <v>0</v>
      </c>
      <c r="AE39" s="5">
        <f t="shared" si="15"/>
        <v>25</v>
      </c>
      <c r="AF39" s="5">
        <f t="shared" si="15"/>
        <v>79</v>
      </c>
      <c r="AG39" s="5">
        <f t="shared" si="15"/>
        <v>59</v>
      </c>
      <c r="AH39" s="5">
        <f t="shared" si="15"/>
        <v>120</v>
      </c>
      <c r="AI39" s="5">
        <f t="shared" si="15"/>
        <v>0</v>
      </c>
      <c r="AJ39" s="5">
        <f t="shared" si="15"/>
        <v>12</v>
      </c>
      <c r="AK39" s="5">
        <f t="shared" si="15"/>
        <v>0</v>
      </c>
      <c r="AL39" s="5">
        <f t="shared" si="15"/>
        <v>68</v>
      </c>
      <c r="AM39" s="5">
        <f t="shared" si="15"/>
        <v>0</v>
      </c>
      <c r="AN39" s="5">
        <f t="shared" si="15"/>
        <v>0</v>
      </c>
      <c r="AO39" s="5">
        <f t="shared" si="15"/>
        <v>0</v>
      </c>
      <c r="AP39" s="5">
        <f t="shared" si="15"/>
        <v>0</v>
      </c>
      <c r="AQ39" s="5">
        <f t="shared" si="15"/>
        <v>0</v>
      </c>
      <c r="AR39" s="5">
        <f t="shared" si="15"/>
        <v>0</v>
      </c>
      <c r="AS39" s="5">
        <f t="shared" si="15"/>
        <v>0</v>
      </c>
      <c r="AT39" s="5">
        <f t="shared" si="15"/>
        <v>0</v>
      </c>
      <c r="AU39" s="5">
        <f t="shared" si="15"/>
        <v>0</v>
      </c>
      <c r="AV39" s="5">
        <f t="shared" si="15"/>
        <v>0</v>
      </c>
      <c r="AW39" s="5">
        <f t="shared" si="15"/>
        <v>0</v>
      </c>
      <c r="AX39" s="5">
        <f t="shared" si="15"/>
        <v>0</v>
      </c>
      <c r="AY39" s="5">
        <f t="shared" si="15"/>
        <v>0</v>
      </c>
      <c r="AZ39" s="5">
        <f t="shared" si="15"/>
        <v>0</v>
      </c>
      <c r="BA39" s="5">
        <f t="shared" si="15"/>
        <v>0</v>
      </c>
      <c r="BB39" s="5">
        <f t="shared" si="15"/>
        <v>0</v>
      </c>
      <c r="BC39" s="5">
        <f t="shared" si="15"/>
        <v>0</v>
      </c>
      <c r="BD39" s="5">
        <f t="shared" si="15"/>
        <v>0</v>
      </c>
      <c r="BE39" s="5">
        <f t="shared" si="15"/>
        <v>0</v>
      </c>
      <c r="BF39" s="5">
        <f t="shared" si="15"/>
        <v>0</v>
      </c>
      <c r="BG39" s="5">
        <f t="shared" si="15"/>
        <v>0</v>
      </c>
    </row>
    <row r="40" spans="1:59" s="17" customFormat="1" ht="12" hidden="1" customHeight="1">
      <c r="A40" s="108"/>
      <c r="B40" s="87"/>
      <c r="C40" s="89"/>
      <c r="D40" s="91"/>
      <c r="E40" s="91"/>
      <c r="F40" s="89"/>
      <c r="G40" s="93"/>
      <c r="H40" s="89"/>
      <c r="I40" s="89"/>
      <c r="J40" s="89"/>
      <c r="K40" s="20"/>
      <c r="L40" s="20"/>
      <c r="M40" s="20"/>
      <c r="N40" s="146"/>
      <c r="O40" s="21"/>
      <c r="P40" s="27"/>
      <c r="Q40" s="99"/>
      <c r="R40" s="175"/>
      <c r="S40" s="96"/>
      <c r="T40" s="96"/>
      <c r="U40" s="96"/>
      <c r="V40" s="96"/>
      <c r="W40" s="96"/>
      <c r="X40" s="96"/>
      <c r="Y40" s="149"/>
      <c r="Z40" s="149"/>
      <c r="AA40" s="149"/>
      <c r="AB40" s="149"/>
      <c r="AC40" s="149"/>
      <c r="AD40" s="149"/>
      <c r="AE40" s="149"/>
      <c r="AF40" s="149"/>
      <c r="AG40" s="149"/>
      <c r="AH40" s="149"/>
      <c r="AI40" s="149"/>
      <c r="AJ40" s="149"/>
      <c r="AK40" s="149"/>
      <c r="AL40" s="149"/>
      <c r="AM40" s="163"/>
      <c r="AN40" s="163"/>
      <c r="AO40" s="163"/>
      <c r="AP40" s="163"/>
      <c r="AQ40" s="163"/>
      <c r="AR40" s="163"/>
      <c r="AS40" s="163"/>
      <c r="AT40" s="163"/>
      <c r="AU40" s="163"/>
      <c r="AV40" s="163"/>
      <c r="AW40" s="163"/>
      <c r="AX40" s="163"/>
      <c r="AY40" s="167"/>
      <c r="AZ40" s="167"/>
      <c r="BA40" s="167"/>
      <c r="BB40" s="167"/>
      <c r="BC40" s="167"/>
      <c r="BD40" s="167"/>
      <c r="BE40" s="163"/>
      <c r="BF40" s="165"/>
      <c r="BG40" s="165"/>
    </row>
    <row r="41" spans="1:59" s="17" customFormat="1" ht="12" hidden="1" customHeight="1">
      <c r="A41" s="85"/>
      <c r="B41" s="88"/>
      <c r="C41" s="90"/>
      <c r="D41" s="92"/>
      <c r="E41" s="92"/>
      <c r="F41" s="90"/>
      <c r="G41" s="94"/>
      <c r="H41" s="90"/>
      <c r="I41" s="90"/>
      <c r="J41" s="90"/>
      <c r="K41" s="22"/>
      <c r="L41" s="18"/>
      <c r="M41" s="18"/>
      <c r="N41" s="147"/>
      <c r="O41" s="19"/>
      <c r="P41" s="22"/>
      <c r="Q41" s="100"/>
      <c r="R41" s="175"/>
      <c r="S41" s="96"/>
      <c r="T41" s="96"/>
      <c r="U41" s="96"/>
      <c r="V41" s="96"/>
      <c r="W41" s="96"/>
      <c r="X41" s="96"/>
      <c r="Y41" s="150"/>
      <c r="Z41" s="150"/>
      <c r="AA41" s="150"/>
      <c r="AB41" s="150"/>
      <c r="AC41" s="150"/>
      <c r="AD41" s="150"/>
      <c r="AE41" s="150"/>
      <c r="AF41" s="150"/>
      <c r="AG41" s="150"/>
      <c r="AH41" s="150"/>
      <c r="AI41" s="150"/>
      <c r="AJ41" s="150"/>
      <c r="AK41" s="150"/>
      <c r="AL41" s="150"/>
      <c r="AM41" s="164"/>
      <c r="AN41" s="164"/>
      <c r="AO41" s="164"/>
      <c r="AP41" s="164"/>
      <c r="AQ41" s="164"/>
      <c r="AR41" s="164"/>
      <c r="AS41" s="164"/>
      <c r="AT41" s="164"/>
      <c r="AU41" s="164"/>
      <c r="AV41" s="164"/>
      <c r="AW41" s="164"/>
      <c r="AX41" s="164"/>
      <c r="AY41" s="168"/>
      <c r="AZ41" s="168"/>
      <c r="BA41" s="168"/>
      <c r="BB41" s="168"/>
      <c r="BC41" s="168"/>
      <c r="BD41" s="168"/>
      <c r="BE41" s="164"/>
      <c r="BF41" s="166"/>
      <c r="BG41" s="166"/>
    </row>
    <row r="42" spans="1:59" s="17" customFormat="1" ht="12" hidden="1" customHeight="1">
      <c r="A42" s="154"/>
      <c r="B42" s="114"/>
      <c r="C42" s="116"/>
      <c r="D42" s="118"/>
      <c r="E42" s="116"/>
      <c r="F42" s="116"/>
      <c r="G42" s="120"/>
      <c r="H42" s="89"/>
      <c r="I42" s="89"/>
      <c r="J42" s="89"/>
      <c r="K42" s="20"/>
      <c r="L42" s="20"/>
      <c r="M42" s="20"/>
      <c r="N42" s="146"/>
      <c r="O42" s="21"/>
      <c r="P42" s="27"/>
      <c r="Q42" s="99"/>
      <c r="R42" s="174"/>
      <c r="S42" s="96"/>
      <c r="T42" s="96"/>
      <c r="U42" s="96"/>
      <c r="V42" s="96"/>
      <c r="W42" s="96"/>
      <c r="X42" s="96"/>
      <c r="Y42" s="149"/>
      <c r="Z42" s="149"/>
      <c r="AA42" s="149"/>
      <c r="AB42" s="149"/>
      <c r="AC42" s="149"/>
      <c r="AD42" s="149"/>
      <c r="AE42" s="149"/>
      <c r="AF42" s="149"/>
      <c r="AG42" s="149"/>
      <c r="AH42" s="149"/>
      <c r="AI42" s="149"/>
      <c r="AJ42" s="149"/>
      <c r="AK42" s="149"/>
      <c r="AL42" s="149"/>
      <c r="AM42" s="163"/>
      <c r="AN42" s="163"/>
      <c r="AO42" s="163"/>
      <c r="AP42" s="163"/>
      <c r="AQ42" s="163"/>
      <c r="AR42" s="163"/>
      <c r="AS42" s="163"/>
      <c r="AT42" s="163"/>
      <c r="AU42" s="163"/>
      <c r="AV42" s="163"/>
      <c r="AW42" s="163"/>
      <c r="AX42" s="163"/>
      <c r="AY42" s="167"/>
      <c r="AZ42" s="167"/>
      <c r="BA42" s="167"/>
      <c r="BB42" s="167"/>
      <c r="BC42" s="167"/>
      <c r="BD42" s="167"/>
      <c r="BE42" s="163"/>
      <c r="BF42" s="165"/>
      <c r="BG42" s="165"/>
    </row>
    <row r="43" spans="1:59" s="17" customFormat="1" ht="12" hidden="1" customHeight="1">
      <c r="A43" s="101"/>
      <c r="B43" s="115"/>
      <c r="C43" s="117"/>
      <c r="D43" s="119"/>
      <c r="E43" s="117"/>
      <c r="F43" s="117"/>
      <c r="G43" s="121"/>
      <c r="H43" s="90"/>
      <c r="I43" s="90"/>
      <c r="J43" s="90"/>
      <c r="K43" s="22"/>
      <c r="L43" s="18"/>
      <c r="M43" s="18"/>
      <c r="N43" s="147"/>
      <c r="O43" s="19"/>
      <c r="P43" s="22"/>
      <c r="Q43" s="100"/>
      <c r="R43" s="174"/>
      <c r="S43" s="96"/>
      <c r="T43" s="96"/>
      <c r="U43" s="96"/>
      <c r="V43" s="96"/>
      <c r="W43" s="96"/>
      <c r="X43" s="96"/>
      <c r="Y43" s="150"/>
      <c r="Z43" s="150"/>
      <c r="AA43" s="150"/>
      <c r="AB43" s="150"/>
      <c r="AC43" s="150"/>
      <c r="AD43" s="150"/>
      <c r="AE43" s="150"/>
      <c r="AF43" s="150"/>
      <c r="AG43" s="150"/>
      <c r="AH43" s="150"/>
      <c r="AI43" s="150"/>
      <c r="AJ43" s="150"/>
      <c r="AK43" s="150"/>
      <c r="AL43" s="150"/>
      <c r="AM43" s="164"/>
      <c r="AN43" s="164"/>
      <c r="AO43" s="164"/>
      <c r="AP43" s="164"/>
      <c r="AQ43" s="164"/>
      <c r="AR43" s="164"/>
      <c r="AS43" s="164"/>
      <c r="AT43" s="164"/>
      <c r="AU43" s="164"/>
      <c r="AV43" s="164"/>
      <c r="AW43" s="164"/>
      <c r="AX43" s="164"/>
      <c r="AY43" s="168"/>
      <c r="AZ43" s="168"/>
      <c r="BA43" s="168"/>
      <c r="BB43" s="168"/>
      <c r="BC43" s="168"/>
      <c r="BD43" s="168"/>
      <c r="BE43" s="164"/>
      <c r="BF43" s="166"/>
      <c r="BG43" s="166"/>
    </row>
    <row r="44" spans="1:59" s="17" customFormat="1" ht="12" hidden="1" customHeight="1">
      <c r="A44" s="154"/>
      <c r="B44" s="114"/>
      <c r="C44" s="116"/>
      <c r="D44" s="118"/>
      <c r="E44" s="116"/>
      <c r="F44" s="116"/>
      <c r="G44" s="120"/>
      <c r="H44" s="89"/>
      <c r="I44" s="89"/>
      <c r="J44" s="89"/>
      <c r="K44" s="20"/>
      <c r="L44" s="20"/>
      <c r="M44" s="20"/>
      <c r="N44" s="146"/>
      <c r="O44" s="21"/>
      <c r="P44" s="27"/>
      <c r="Q44" s="99"/>
      <c r="R44" s="174"/>
      <c r="S44" s="96"/>
      <c r="T44" s="96"/>
      <c r="U44" s="96"/>
      <c r="V44" s="96"/>
      <c r="W44" s="96"/>
      <c r="X44" s="96"/>
      <c r="Y44" s="149"/>
      <c r="Z44" s="149"/>
      <c r="AA44" s="149"/>
      <c r="AB44" s="149"/>
      <c r="AC44" s="149"/>
      <c r="AD44" s="149"/>
      <c r="AE44" s="149"/>
      <c r="AF44" s="149"/>
      <c r="AG44" s="149"/>
      <c r="AH44" s="149"/>
      <c r="AI44" s="149"/>
      <c r="AJ44" s="149"/>
      <c r="AK44" s="149"/>
      <c r="AL44" s="149"/>
      <c r="AM44" s="163"/>
      <c r="AN44" s="163"/>
      <c r="AO44" s="163"/>
      <c r="AP44" s="163"/>
      <c r="AQ44" s="163"/>
      <c r="AR44" s="163"/>
      <c r="AS44" s="163"/>
      <c r="AT44" s="163"/>
      <c r="AU44" s="163"/>
      <c r="AV44" s="163"/>
      <c r="AW44" s="163"/>
      <c r="AX44" s="163"/>
      <c r="AY44" s="167"/>
      <c r="AZ44" s="167"/>
      <c r="BA44" s="167"/>
      <c r="BB44" s="167"/>
      <c r="BC44" s="167"/>
      <c r="BD44" s="167"/>
      <c r="BE44" s="163"/>
      <c r="BF44" s="165"/>
      <c r="BG44" s="165"/>
    </row>
    <row r="45" spans="1:59" s="17" customFormat="1" ht="12" hidden="1" customHeight="1">
      <c r="A45" s="101"/>
      <c r="B45" s="115"/>
      <c r="C45" s="117"/>
      <c r="D45" s="119"/>
      <c r="E45" s="117"/>
      <c r="F45" s="117"/>
      <c r="G45" s="121"/>
      <c r="H45" s="90"/>
      <c r="I45" s="90"/>
      <c r="J45" s="90"/>
      <c r="K45" s="22"/>
      <c r="L45" s="18"/>
      <c r="M45" s="18"/>
      <c r="N45" s="147"/>
      <c r="O45" s="19"/>
      <c r="P45" s="22"/>
      <c r="Q45" s="100"/>
      <c r="R45" s="174"/>
      <c r="S45" s="96"/>
      <c r="T45" s="96"/>
      <c r="U45" s="96"/>
      <c r="V45" s="96"/>
      <c r="W45" s="96"/>
      <c r="X45" s="96"/>
      <c r="Y45" s="150"/>
      <c r="Z45" s="150"/>
      <c r="AA45" s="150"/>
      <c r="AB45" s="150"/>
      <c r="AC45" s="150"/>
      <c r="AD45" s="150"/>
      <c r="AE45" s="150"/>
      <c r="AF45" s="150"/>
      <c r="AG45" s="150"/>
      <c r="AH45" s="150"/>
      <c r="AI45" s="150"/>
      <c r="AJ45" s="150"/>
      <c r="AK45" s="150"/>
      <c r="AL45" s="150"/>
      <c r="AM45" s="164"/>
      <c r="AN45" s="164"/>
      <c r="AO45" s="164"/>
      <c r="AP45" s="164"/>
      <c r="AQ45" s="164"/>
      <c r="AR45" s="164"/>
      <c r="AS45" s="164"/>
      <c r="AT45" s="164"/>
      <c r="AU45" s="164"/>
      <c r="AV45" s="164"/>
      <c r="AW45" s="164"/>
      <c r="AX45" s="164"/>
      <c r="AY45" s="168"/>
      <c r="AZ45" s="168"/>
      <c r="BA45" s="168"/>
      <c r="BB45" s="168"/>
      <c r="BC45" s="168"/>
      <c r="BD45" s="168"/>
      <c r="BE45" s="164"/>
      <c r="BF45" s="166"/>
      <c r="BG45" s="166"/>
    </row>
    <row r="46" spans="1:59" ht="12" hidden="1" customHeight="1">
      <c r="A46" s="111" t="s">
        <v>46</v>
      </c>
      <c r="B46" s="112"/>
      <c r="C46" s="112"/>
      <c r="D46" s="112"/>
      <c r="E46" s="112"/>
      <c r="F46" s="112"/>
      <c r="G46" s="112"/>
      <c r="H46" s="112"/>
      <c r="I46" s="113"/>
      <c r="J46" s="5">
        <f>SUM(J40:J45)</f>
        <v>0</v>
      </c>
      <c r="K46" s="5">
        <f>+SUMPRODUCT(((MOD(ROW(K40:K45),2)=0)*(K40:K45)))</f>
        <v>0</v>
      </c>
      <c r="L46" s="5">
        <f>+SUMPRODUCT(((MOD(ROW(L40:L45),2)=0)*(L40:L45)))</f>
        <v>0</v>
      </c>
      <c r="M46" s="5">
        <f>+SUMPRODUCT(((MOD(ROW(M40:M45),2)=0)*(M40:M45)))</f>
        <v>0</v>
      </c>
      <c r="N46" s="23" t="e">
        <f>O46/L46</f>
        <v>#DIV/0!</v>
      </c>
      <c r="O46" s="5">
        <f>+SUMPRODUCT(((MOD(ROW(O40:O45),2)=0)*(O40:O45)))</f>
        <v>0</v>
      </c>
      <c r="P46" s="5">
        <f>+SUMPRODUCT(((MOD(ROW(P40:P45),2)=0)*(P40:P45)))</f>
        <v>0</v>
      </c>
      <c r="Q46" s="29">
        <f>SUM(Q40:Q45)</f>
        <v>0</v>
      </c>
      <c r="R46" s="69"/>
      <c r="S46" s="68">
        <f t="shared" ref="S46:BG46" si="16">SUM(S40:S45)</f>
        <v>0</v>
      </c>
      <c r="T46" s="68">
        <f t="shared" si="16"/>
        <v>0</v>
      </c>
      <c r="U46" s="68">
        <f t="shared" si="16"/>
        <v>0</v>
      </c>
      <c r="V46" s="68">
        <f t="shared" si="16"/>
        <v>0</v>
      </c>
      <c r="W46" s="68">
        <f t="shared" si="16"/>
        <v>0</v>
      </c>
      <c r="X46" s="68">
        <f t="shared" si="16"/>
        <v>0</v>
      </c>
      <c r="Y46" s="5">
        <f t="shared" si="16"/>
        <v>0</v>
      </c>
      <c r="Z46" s="5">
        <f t="shared" si="16"/>
        <v>0</v>
      </c>
      <c r="AA46" s="5">
        <f t="shared" si="16"/>
        <v>0</v>
      </c>
      <c r="AB46" s="5">
        <f t="shared" si="16"/>
        <v>0</v>
      </c>
      <c r="AC46" s="5">
        <f t="shared" si="16"/>
        <v>0</v>
      </c>
      <c r="AD46" s="5">
        <f t="shared" si="16"/>
        <v>0</v>
      </c>
      <c r="AE46" s="5">
        <f t="shared" si="16"/>
        <v>0</v>
      </c>
      <c r="AF46" s="5">
        <f t="shared" si="16"/>
        <v>0</v>
      </c>
      <c r="AG46" s="5">
        <f t="shared" si="16"/>
        <v>0</v>
      </c>
      <c r="AH46" s="5">
        <f t="shared" si="16"/>
        <v>0</v>
      </c>
      <c r="AI46" s="5">
        <f t="shared" si="16"/>
        <v>0</v>
      </c>
      <c r="AJ46" s="5">
        <f t="shared" si="16"/>
        <v>0</v>
      </c>
      <c r="AK46" s="5">
        <f t="shared" si="16"/>
        <v>0</v>
      </c>
      <c r="AL46" s="5">
        <f t="shared" si="16"/>
        <v>0</v>
      </c>
      <c r="AM46" s="5">
        <f t="shared" si="16"/>
        <v>0</v>
      </c>
      <c r="AN46" s="5">
        <f t="shared" si="16"/>
        <v>0</v>
      </c>
      <c r="AO46" s="5">
        <f t="shared" si="16"/>
        <v>0</v>
      </c>
      <c r="AP46" s="5">
        <f t="shared" si="16"/>
        <v>0</v>
      </c>
      <c r="AQ46" s="5">
        <f t="shared" si="16"/>
        <v>0</v>
      </c>
      <c r="AR46" s="5">
        <f t="shared" si="16"/>
        <v>0</v>
      </c>
      <c r="AS46" s="5">
        <f t="shared" si="16"/>
        <v>0</v>
      </c>
      <c r="AT46" s="5">
        <f t="shared" si="16"/>
        <v>0</v>
      </c>
      <c r="AU46" s="5">
        <f t="shared" si="16"/>
        <v>0</v>
      </c>
      <c r="AV46" s="5">
        <f t="shared" si="16"/>
        <v>0</v>
      </c>
      <c r="AW46" s="5">
        <f t="shared" si="16"/>
        <v>0</v>
      </c>
      <c r="AX46" s="5">
        <f t="shared" si="16"/>
        <v>0</v>
      </c>
      <c r="AY46" s="5">
        <f t="shared" si="16"/>
        <v>0</v>
      </c>
      <c r="AZ46" s="5">
        <f t="shared" si="16"/>
        <v>0</v>
      </c>
      <c r="BA46" s="5">
        <f t="shared" si="16"/>
        <v>0</v>
      </c>
      <c r="BB46" s="5">
        <f t="shared" si="16"/>
        <v>0</v>
      </c>
      <c r="BC46" s="5">
        <f t="shared" si="16"/>
        <v>0</v>
      </c>
      <c r="BD46" s="5">
        <f t="shared" si="16"/>
        <v>0</v>
      </c>
      <c r="BE46" s="5">
        <f t="shared" si="16"/>
        <v>0</v>
      </c>
      <c r="BF46" s="5">
        <f t="shared" si="16"/>
        <v>0</v>
      </c>
      <c r="BG46" s="5">
        <f t="shared" si="16"/>
        <v>0</v>
      </c>
    </row>
    <row r="47" spans="1:59" s="17" customFormat="1" ht="12" hidden="1" customHeight="1">
      <c r="A47" s="85"/>
      <c r="B47" s="87"/>
      <c r="C47" s="89"/>
      <c r="D47" s="91"/>
      <c r="E47" s="89"/>
      <c r="F47" s="89"/>
      <c r="G47" s="93"/>
      <c r="H47" s="90"/>
      <c r="I47" s="90"/>
      <c r="J47" s="90"/>
      <c r="K47" s="20"/>
      <c r="L47" s="20"/>
      <c r="M47" s="20"/>
      <c r="N47" s="97"/>
      <c r="O47" s="21"/>
      <c r="P47" s="27"/>
      <c r="Q47" s="99"/>
      <c r="R47" s="174"/>
      <c r="S47" s="96"/>
      <c r="T47" s="96"/>
      <c r="U47" s="96"/>
      <c r="V47" s="96"/>
      <c r="W47" s="96"/>
      <c r="X47" s="96"/>
      <c r="Y47" s="96"/>
      <c r="Z47" s="96"/>
      <c r="AA47" s="96"/>
      <c r="AB47" s="96"/>
      <c r="AC47" s="96"/>
      <c r="AD47" s="96"/>
      <c r="AE47" s="96"/>
      <c r="AF47" s="96"/>
      <c r="AG47" s="96"/>
      <c r="AH47" s="96"/>
      <c r="AI47" s="96"/>
      <c r="AJ47" s="96"/>
      <c r="AK47" s="96"/>
      <c r="AL47" s="96"/>
      <c r="AM47" s="103"/>
      <c r="AN47" s="103"/>
      <c r="AO47" s="103"/>
      <c r="AP47" s="103"/>
      <c r="AQ47" s="103"/>
      <c r="AR47" s="103"/>
      <c r="AS47" s="103"/>
      <c r="AT47" s="103"/>
      <c r="AU47" s="103"/>
      <c r="AV47" s="103"/>
      <c r="AW47" s="103"/>
      <c r="AX47" s="103"/>
      <c r="AY47" s="106"/>
      <c r="AZ47" s="106"/>
      <c r="BA47" s="106"/>
      <c r="BB47" s="106"/>
      <c r="BC47" s="106"/>
      <c r="BD47" s="106"/>
      <c r="BE47" s="103"/>
      <c r="BF47" s="104"/>
      <c r="BG47" s="104"/>
    </row>
    <row r="48" spans="1:59" s="17" customFormat="1" ht="12" hidden="1" customHeight="1">
      <c r="A48" s="86"/>
      <c r="B48" s="88"/>
      <c r="C48" s="90"/>
      <c r="D48" s="92"/>
      <c r="E48" s="90"/>
      <c r="F48" s="90"/>
      <c r="G48" s="94"/>
      <c r="H48" s="95"/>
      <c r="I48" s="95"/>
      <c r="J48" s="95"/>
      <c r="K48" s="22"/>
      <c r="L48" s="18"/>
      <c r="M48" s="18"/>
      <c r="N48" s="98"/>
      <c r="O48" s="19"/>
      <c r="P48" s="22"/>
      <c r="Q48" s="100"/>
      <c r="R48" s="102"/>
      <c r="S48" s="96"/>
      <c r="T48" s="96"/>
      <c r="U48" s="96"/>
      <c r="V48" s="96"/>
      <c r="W48" s="96"/>
      <c r="X48" s="96"/>
      <c r="Y48" s="96"/>
      <c r="Z48" s="96"/>
      <c r="AA48" s="96"/>
      <c r="AB48" s="96"/>
      <c r="AC48" s="96"/>
      <c r="AD48" s="96"/>
      <c r="AE48" s="96"/>
      <c r="AF48" s="96"/>
      <c r="AG48" s="96"/>
      <c r="AH48" s="96"/>
      <c r="AI48" s="96"/>
      <c r="AJ48" s="96"/>
      <c r="AK48" s="96"/>
      <c r="AL48" s="96"/>
      <c r="AM48" s="103"/>
      <c r="AN48" s="103"/>
      <c r="AO48" s="103"/>
      <c r="AP48" s="103"/>
      <c r="AQ48" s="103"/>
      <c r="AR48" s="103"/>
      <c r="AS48" s="103"/>
      <c r="AT48" s="103"/>
      <c r="AU48" s="103"/>
      <c r="AV48" s="103"/>
      <c r="AW48" s="103"/>
      <c r="AX48" s="103"/>
      <c r="AY48" s="107"/>
      <c r="AZ48" s="107"/>
      <c r="BA48" s="107"/>
      <c r="BB48" s="107"/>
      <c r="BC48" s="107"/>
      <c r="BD48" s="107"/>
      <c r="BE48" s="103"/>
      <c r="BF48" s="105"/>
      <c r="BG48" s="105"/>
    </row>
    <row r="49" spans="1:59" s="17" customFormat="1" ht="12" hidden="1" customHeight="1">
      <c r="A49" s="101"/>
      <c r="B49" s="114"/>
      <c r="C49" s="116"/>
      <c r="D49" s="118"/>
      <c r="E49" s="118"/>
      <c r="F49" s="116"/>
      <c r="G49" s="120"/>
      <c r="H49" s="90"/>
      <c r="I49" s="90"/>
      <c r="J49" s="90"/>
      <c r="K49" s="20"/>
      <c r="L49" s="20"/>
      <c r="M49" s="20"/>
      <c r="N49" s="97" t="e">
        <f>O50/L50</f>
        <v>#DIV/0!</v>
      </c>
      <c r="O49" s="21">
        <f t="shared" ref="O49:O56" si="17">L49-M49</f>
        <v>0</v>
      </c>
      <c r="P49" s="27"/>
      <c r="Q49" s="99">
        <f>+L50-P50</f>
        <v>0</v>
      </c>
      <c r="R49" s="174"/>
      <c r="S49" s="96"/>
      <c r="T49" s="96"/>
      <c r="U49" s="96"/>
      <c r="V49" s="96"/>
      <c r="W49" s="96"/>
      <c r="X49" s="96"/>
      <c r="Y49" s="96"/>
      <c r="Z49" s="96"/>
      <c r="AA49" s="96"/>
      <c r="AB49" s="96"/>
      <c r="AC49" s="96"/>
      <c r="AD49" s="96"/>
      <c r="AE49" s="96"/>
      <c r="AF49" s="96"/>
      <c r="AG49" s="96"/>
      <c r="AH49" s="96"/>
      <c r="AI49" s="96"/>
      <c r="AJ49" s="96"/>
      <c r="AK49" s="96"/>
      <c r="AL49" s="96"/>
      <c r="AM49" s="103"/>
      <c r="AN49" s="103"/>
      <c r="AO49" s="103"/>
      <c r="AP49" s="103"/>
      <c r="AQ49" s="103"/>
      <c r="AR49" s="103"/>
      <c r="AS49" s="103"/>
      <c r="AT49" s="103"/>
      <c r="AU49" s="103"/>
      <c r="AV49" s="103"/>
      <c r="AW49" s="103"/>
      <c r="AX49" s="103"/>
      <c r="AY49" s="106"/>
      <c r="AZ49" s="106"/>
      <c r="BA49" s="106"/>
      <c r="BB49" s="106"/>
      <c r="BC49" s="106"/>
      <c r="BD49" s="106"/>
      <c r="BE49" s="103"/>
      <c r="BF49" s="104"/>
      <c r="BG49" s="104"/>
    </row>
    <row r="50" spans="1:59" s="17" customFormat="1" ht="12" hidden="1" customHeight="1">
      <c r="A50" s="102"/>
      <c r="B50" s="115"/>
      <c r="C50" s="117"/>
      <c r="D50" s="119"/>
      <c r="E50" s="119"/>
      <c r="F50" s="117"/>
      <c r="G50" s="121"/>
      <c r="H50" s="95"/>
      <c r="I50" s="95"/>
      <c r="J50" s="95"/>
      <c r="K50" s="22"/>
      <c r="L50" s="18"/>
      <c r="M50" s="18"/>
      <c r="N50" s="98"/>
      <c r="O50" s="19">
        <f t="shared" si="17"/>
        <v>0</v>
      </c>
      <c r="P50" s="22"/>
      <c r="Q50" s="100"/>
      <c r="R50" s="102"/>
      <c r="S50" s="96"/>
      <c r="T50" s="96"/>
      <c r="U50" s="96"/>
      <c r="V50" s="96"/>
      <c r="W50" s="96"/>
      <c r="X50" s="96"/>
      <c r="Y50" s="96"/>
      <c r="Z50" s="96"/>
      <c r="AA50" s="96"/>
      <c r="AB50" s="96"/>
      <c r="AC50" s="96"/>
      <c r="AD50" s="96"/>
      <c r="AE50" s="96"/>
      <c r="AF50" s="96"/>
      <c r="AG50" s="96"/>
      <c r="AH50" s="96"/>
      <c r="AI50" s="96"/>
      <c r="AJ50" s="96"/>
      <c r="AK50" s="96"/>
      <c r="AL50" s="96"/>
      <c r="AM50" s="103"/>
      <c r="AN50" s="103"/>
      <c r="AO50" s="103"/>
      <c r="AP50" s="103"/>
      <c r="AQ50" s="103"/>
      <c r="AR50" s="103"/>
      <c r="AS50" s="103"/>
      <c r="AT50" s="103"/>
      <c r="AU50" s="103"/>
      <c r="AV50" s="103"/>
      <c r="AW50" s="103"/>
      <c r="AX50" s="103"/>
      <c r="AY50" s="107"/>
      <c r="AZ50" s="107"/>
      <c r="BA50" s="107"/>
      <c r="BB50" s="107"/>
      <c r="BC50" s="107"/>
      <c r="BD50" s="107"/>
      <c r="BE50" s="103"/>
      <c r="BF50" s="105"/>
      <c r="BG50" s="105"/>
    </row>
    <row r="51" spans="1:59" s="17" customFormat="1" ht="12" hidden="1" customHeight="1">
      <c r="A51" s="101"/>
      <c r="B51" s="114"/>
      <c r="C51" s="116"/>
      <c r="D51" s="118"/>
      <c r="E51" s="118"/>
      <c r="F51" s="116"/>
      <c r="G51" s="120"/>
      <c r="H51" s="90"/>
      <c r="I51" s="90"/>
      <c r="J51" s="90"/>
      <c r="K51" s="20"/>
      <c r="L51" s="20"/>
      <c r="M51" s="20"/>
      <c r="N51" s="97" t="e">
        <f>O52/L52</f>
        <v>#DIV/0!</v>
      </c>
      <c r="O51" s="21">
        <f t="shared" si="17"/>
        <v>0</v>
      </c>
      <c r="P51" s="27"/>
      <c r="Q51" s="99">
        <f>+L52-P52</f>
        <v>0</v>
      </c>
      <c r="R51" s="174"/>
      <c r="S51" s="96"/>
      <c r="T51" s="96"/>
      <c r="U51" s="96"/>
      <c r="V51" s="96"/>
      <c r="W51" s="96"/>
      <c r="X51" s="96"/>
      <c r="Y51" s="96"/>
      <c r="Z51" s="96"/>
      <c r="AA51" s="96"/>
      <c r="AB51" s="96"/>
      <c r="AC51" s="96"/>
      <c r="AD51" s="96"/>
      <c r="AE51" s="96"/>
      <c r="AF51" s="96"/>
      <c r="AG51" s="96"/>
      <c r="AH51" s="96"/>
      <c r="AI51" s="96"/>
      <c r="AJ51" s="96"/>
      <c r="AK51" s="96"/>
      <c r="AL51" s="96"/>
      <c r="AM51" s="103"/>
      <c r="AN51" s="103"/>
      <c r="AO51" s="103"/>
      <c r="AP51" s="103"/>
      <c r="AQ51" s="103"/>
      <c r="AR51" s="103"/>
      <c r="AS51" s="103"/>
      <c r="AT51" s="103"/>
      <c r="AU51" s="103"/>
      <c r="AV51" s="103"/>
      <c r="AW51" s="103"/>
      <c r="AX51" s="103"/>
      <c r="AY51" s="106"/>
      <c r="AZ51" s="106"/>
      <c r="BA51" s="106"/>
      <c r="BB51" s="106"/>
      <c r="BC51" s="106"/>
      <c r="BD51" s="106"/>
      <c r="BE51" s="103"/>
      <c r="BF51" s="104"/>
      <c r="BG51" s="104"/>
    </row>
    <row r="52" spans="1:59" s="17" customFormat="1" ht="12" hidden="1" customHeight="1">
      <c r="A52" s="102"/>
      <c r="B52" s="115"/>
      <c r="C52" s="117"/>
      <c r="D52" s="119"/>
      <c r="E52" s="119"/>
      <c r="F52" s="117"/>
      <c r="G52" s="121"/>
      <c r="H52" s="95"/>
      <c r="I52" s="95"/>
      <c r="J52" s="95"/>
      <c r="K52" s="22"/>
      <c r="L52" s="18"/>
      <c r="M52" s="18"/>
      <c r="N52" s="98"/>
      <c r="O52" s="19">
        <f t="shared" si="17"/>
        <v>0</v>
      </c>
      <c r="P52" s="22"/>
      <c r="Q52" s="100"/>
      <c r="R52" s="102"/>
      <c r="S52" s="96"/>
      <c r="T52" s="96"/>
      <c r="U52" s="96"/>
      <c r="V52" s="96"/>
      <c r="W52" s="96"/>
      <c r="X52" s="96"/>
      <c r="Y52" s="96"/>
      <c r="Z52" s="96"/>
      <c r="AA52" s="96"/>
      <c r="AB52" s="96"/>
      <c r="AC52" s="96"/>
      <c r="AD52" s="96"/>
      <c r="AE52" s="96"/>
      <c r="AF52" s="96"/>
      <c r="AG52" s="96"/>
      <c r="AH52" s="96"/>
      <c r="AI52" s="96"/>
      <c r="AJ52" s="96"/>
      <c r="AK52" s="96"/>
      <c r="AL52" s="96"/>
      <c r="AM52" s="103"/>
      <c r="AN52" s="103"/>
      <c r="AO52" s="103"/>
      <c r="AP52" s="103"/>
      <c r="AQ52" s="103"/>
      <c r="AR52" s="103"/>
      <c r="AS52" s="103"/>
      <c r="AT52" s="103"/>
      <c r="AU52" s="103"/>
      <c r="AV52" s="103"/>
      <c r="AW52" s="103"/>
      <c r="AX52" s="103"/>
      <c r="AY52" s="107"/>
      <c r="AZ52" s="107"/>
      <c r="BA52" s="107"/>
      <c r="BB52" s="107"/>
      <c r="BC52" s="107"/>
      <c r="BD52" s="107"/>
      <c r="BE52" s="103"/>
      <c r="BF52" s="105"/>
      <c r="BG52" s="105"/>
    </row>
    <row r="53" spans="1:59" s="17" customFormat="1" ht="12" hidden="1" customHeight="1">
      <c r="A53" s="101"/>
      <c r="B53" s="114"/>
      <c r="C53" s="116"/>
      <c r="D53" s="118"/>
      <c r="E53" s="118"/>
      <c r="F53" s="116"/>
      <c r="G53" s="120"/>
      <c r="H53" s="90"/>
      <c r="I53" s="90"/>
      <c r="J53" s="90"/>
      <c r="K53" s="20"/>
      <c r="L53" s="20"/>
      <c r="M53" s="20"/>
      <c r="N53" s="97" t="e">
        <f>O54/L54</f>
        <v>#DIV/0!</v>
      </c>
      <c r="O53" s="21">
        <f t="shared" si="17"/>
        <v>0</v>
      </c>
      <c r="P53" s="27"/>
      <c r="Q53" s="99">
        <f>+L54-P54</f>
        <v>0</v>
      </c>
      <c r="R53" s="174"/>
      <c r="S53" s="96"/>
      <c r="T53" s="96"/>
      <c r="U53" s="96"/>
      <c r="V53" s="96"/>
      <c r="W53" s="96"/>
      <c r="X53" s="96"/>
      <c r="Y53" s="96"/>
      <c r="Z53" s="96"/>
      <c r="AA53" s="96"/>
      <c r="AB53" s="96"/>
      <c r="AC53" s="96"/>
      <c r="AD53" s="96"/>
      <c r="AE53" s="96"/>
      <c r="AF53" s="96"/>
      <c r="AG53" s="96"/>
      <c r="AH53" s="96"/>
      <c r="AI53" s="96"/>
      <c r="AJ53" s="96"/>
      <c r="AK53" s="96"/>
      <c r="AL53" s="96"/>
      <c r="AM53" s="103"/>
      <c r="AN53" s="103"/>
      <c r="AO53" s="103"/>
      <c r="AP53" s="103"/>
      <c r="AQ53" s="103"/>
      <c r="AR53" s="103"/>
      <c r="AS53" s="103"/>
      <c r="AT53" s="103"/>
      <c r="AU53" s="103"/>
      <c r="AV53" s="103"/>
      <c r="AW53" s="103"/>
      <c r="AX53" s="103"/>
      <c r="AY53" s="106"/>
      <c r="AZ53" s="106"/>
      <c r="BA53" s="106"/>
      <c r="BB53" s="106"/>
      <c r="BC53" s="106"/>
      <c r="BD53" s="106"/>
      <c r="BE53" s="103"/>
      <c r="BF53" s="104"/>
      <c r="BG53" s="104"/>
    </row>
    <row r="54" spans="1:59" s="17" customFormat="1" ht="12" hidden="1" customHeight="1">
      <c r="A54" s="102"/>
      <c r="B54" s="115"/>
      <c r="C54" s="117"/>
      <c r="D54" s="119"/>
      <c r="E54" s="119"/>
      <c r="F54" s="117"/>
      <c r="G54" s="121"/>
      <c r="H54" s="95"/>
      <c r="I54" s="95"/>
      <c r="J54" s="95"/>
      <c r="K54" s="22"/>
      <c r="L54" s="18"/>
      <c r="M54" s="18"/>
      <c r="N54" s="98"/>
      <c r="O54" s="19">
        <f t="shared" si="17"/>
        <v>0</v>
      </c>
      <c r="P54" s="22"/>
      <c r="Q54" s="100"/>
      <c r="R54" s="102"/>
      <c r="S54" s="96"/>
      <c r="T54" s="96"/>
      <c r="U54" s="96"/>
      <c r="V54" s="96"/>
      <c r="W54" s="96"/>
      <c r="X54" s="96"/>
      <c r="Y54" s="96"/>
      <c r="Z54" s="96"/>
      <c r="AA54" s="96"/>
      <c r="AB54" s="96"/>
      <c r="AC54" s="96"/>
      <c r="AD54" s="96"/>
      <c r="AE54" s="96"/>
      <c r="AF54" s="96"/>
      <c r="AG54" s="96"/>
      <c r="AH54" s="96"/>
      <c r="AI54" s="96"/>
      <c r="AJ54" s="96"/>
      <c r="AK54" s="96"/>
      <c r="AL54" s="96"/>
      <c r="AM54" s="103"/>
      <c r="AN54" s="103"/>
      <c r="AO54" s="103"/>
      <c r="AP54" s="103"/>
      <c r="AQ54" s="103"/>
      <c r="AR54" s="103"/>
      <c r="AS54" s="103"/>
      <c r="AT54" s="103"/>
      <c r="AU54" s="103"/>
      <c r="AV54" s="103"/>
      <c r="AW54" s="103"/>
      <c r="AX54" s="103"/>
      <c r="AY54" s="107"/>
      <c r="AZ54" s="107"/>
      <c r="BA54" s="107"/>
      <c r="BB54" s="107"/>
      <c r="BC54" s="107"/>
      <c r="BD54" s="107"/>
      <c r="BE54" s="103"/>
      <c r="BF54" s="105"/>
      <c r="BG54" s="105"/>
    </row>
    <row r="55" spans="1:59" s="17" customFormat="1" ht="12" hidden="1" customHeight="1">
      <c r="A55" s="101"/>
      <c r="B55" s="114"/>
      <c r="C55" s="116"/>
      <c r="D55" s="118"/>
      <c r="E55" s="118"/>
      <c r="F55" s="116"/>
      <c r="G55" s="120"/>
      <c r="H55" s="109"/>
      <c r="I55" s="90"/>
      <c r="J55" s="90"/>
      <c r="K55" s="20"/>
      <c r="L55" s="20"/>
      <c r="M55" s="20"/>
      <c r="N55" s="97" t="e">
        <f>O56/L56</f>
        <v>#DIV/0!</v>
      </c>
      <c r="O55" s="21">
        <f t="shared" si="17"/>
        <v>0</v>
      </c>
      <c r="P55" s="27"/>
      <c r="Q55" s="99">
        <f>+L56-P56</f>
        <v>0</v>
      </c>
      <c r="R55" s="174"/>
      <c r="S55" s="96"/>
      <c r="T55" s="96"/>
      <c r="U55" s="96"/>
      <c r="V55" s="96"/>
      <c r="W55" s="96"/>
      <c r="X55" s="96"/>
      <c r="Y55" s="96"/>
      <c r="Z55" s="96"/>
      <c r="AA55" s="96"/>
      <c r="AB55" s="96"/>
      <c r="AC55" s="96"/>
      <c r="AD55" s="96"/>
      <c r="AE55" s="96"/>
      <c r="AF55" s="96"/>
      <c r="AG55" s="96"/>
      <c r="AH55" s="96"/>
      <c r="AI55" s="96"/>
      <c r="AJ55" s="96"/>
      <c r="AK55" s="96"/>
      <c r="AL55" s="96"/>
      <c r="AM55" s="103"/>
      <c r="AN55" s="103"/>
      <c r="AO55" s="103"/>
      <c r="AP55" s="103"/>
      <c r="AQ55" s="103"/>
      <c r="AR55" s="103"/>
      <c r="AS55" s="103"/>
      <c r="AT55" s="103"/>
      <c r="AU55" s="103"/>
      <c r="AV55" s="103"/>
      <c r="AW55" s="103"/>
      <c r="AX55" s="103"/>
      <c r="AY55" s="106"/>
      <c r="AZ55" s="106"/>
      <c r="BA55" s="106"/>
      <c r="BB55" s="106"/>
      <c r="BC55" s="106"/>
      <c r="BD55" s="106"/>
      <c r="BE55" s="103"/>
      <c r="BF55" s="104"/>
      <c r="BG55" s="104"/>
    </row>
    <row r="56" spans="1:59" s="17" customFormat="1" ht="12" hidden="1" customHeight="1">
      <c r="A56" s="102"/>
      <c r="B56" s="115"/>
      <c r="C56" s="117"/>
      <c r="D56" s="119"/>
      <c r="E56" s="119"/>
      <c r="F56" s="117"/>
      <c r="G56" s="121"/>
      <c r="H56" s="95"/>
      <c r="I56" s="95"/>
      <c r="J56" s="95"/>
      <c r="K56" s="22"/>
      <c r="L56" s="18"/>
      <c r="M56" s="18"/>
      <c r="N56" s="98"/>
      <c r="O56" s="19">
        <f t="shared" si="17"/>
        <v>0</v>
      </c>
      <c r="P56" s="22"/>
      <c r="Q56" s="100"/>
      <c r="R56" s="102"/>
      <c r="S56" s="96"/>
      <c r="T56" s="96"/>
      <c r="U56" s="96"/>
      <c r="V56" s="96"/>
      <c r="W56" s="96"/>
      <c r="X56" s="96"/>
      <c r="Y56" s="96"/>
      <c r="Z56" s="96"/>
      <c r="AA56" s="96"/>
      <c r="AB56" s="96"/>
      <c r="AC56" s="96"/>
      <c r="AD56" s="96"/>
      <c r="AE56" s="96"/>
      <c r="AF56" s="96"/>
      <c r="AG56" s="96"/>
      <c r="AH56" s="96"/>
      <c r="AI56" s="96"/>
      <c r="AJ56" s="96"/>
      <c r="AK56" s="96"/>
      <c r="AL56" s="96"/>
      <c r="AM56" s="103"/>
      <c r="AN56" s="103"/>
      <c r="AO56" s="103"/>
      <c r="AP56" s="103"/>
      <c r="AQ56" s="103"/>
      <c r="AR56" s="103"/>
      <c r="AS56" s="103"/>
      <c r="AT56" s="103"/>
      <c r="AU56" s="103"/>
      <c r="AV56" s="103"/>
      <c r="AW56" s="103"/>
      <c r="AX56" s="103"/>
      <c r="AY56" s="107"/>
      <c r="AZ56" s="107"/>
      <c r="BA56" s="107"/>
      <c r="BB56" s="107"/>
      <c r="BC56" s="107"/>
      <c r="BD56" s="107"/>
      <c r="BE56" s="103"/>
      <c r="BF56" s="105"/>
      <c r="BG56" s="105"/>
    </row>
    <row r="57" spans="1:59" s="17" customFormat="1" ht="12" hidden="1" customHeight="1">
      <c r="A57" s="101"/>
      <c r="B57" s="114"/>
      <c r="C57" s="116"/>
      <c r="D57" s="118"/>
      <c r="E57" s="116"/>
      <c r="F57" s="116"/>
      <c r="G57" s="120"/>
      <c r="H57" s="90"/>
      <c r="I57" s="90"/>
      <c r="J57" s="90"/>
      <c r="K57" s="20"/>
      <c r="L57" s="20"/>
      <c r="M57" s="20"/>
      <c r="N57" s="97" t="e">
        <f>O58/L58</f>
        <v>#DIV/0!</v>
      </c>
      <c r="O57" s="21"/>
      <c r="P57" s="27"/>
      <c r="Q57" s="99"/>
      <c r="R57" s="174"/>
      <c r="S57" s="96"/>
      <c r="T57" s="96"/>
      <c r="U57" s="96"/>
      <c r="V57" s="96"/>
      <c r="W57" s="96"/>
      <c r="X57" s="96"/>
      <c r="Y57" s="96"/>
      <c r="Z57" s="96"/>
      <c r="AA57" s="96"/>
      <c r="AB57" s="96"/>
      <c r="AC57" s="96"/>
      <c r="AD57" s="96"/>
      <c r="AE57" s="96"/>
      <c r="AF57" s="96"/>
      <c r="AG57" s="96"/>
      <c r="AH57" s="96"/>
      <c r="AI57" s="96"/>
      <c r="AJ57" s="96"/>
      <c r="AK57" s="96"/>
      <c r="AL57" s="96"/>
      <c r="AM57" s="103"/>
      <c r="AN57" s="103"/>
      <c r="AO57" s="103"/>
      <c r="AP57" s="103"/>
      <c r="AQ57" s="103"/>
      <c r="AR57" s="103"/>
      <c r="AS57" s="103"/>
      <c r="AT57" s="103"/>
      <c r="AU57" s="103"/>
      <c r="AV57" s="103"/>
      <c r="AW57" s="103"/>
      <c r="AX57" s="103"/>
      <c r="AY57" s="106"/>
      <c r="AZ57" s="106"/>
      <c r="BA57" s="106"/>
      <c r="BB57" s="106"/>
      <c r="BC57" s="106"/>
      <c r="BD57" s="106"/>
      <c r="BE57" s="103"/>
      <c r="BF57" s="104"/>
      <c r="BG57" s="104"/>
    </row>
    <row r="58" spans="1:59" s="17" customFormat="1" ht="12" hidden="1" customHeight="1">
      <c r="A58" s="102"/>
      <c r="B58" s="115"/>
      <c r="C58" s="117"/>
      <c r="D58" s="119"/>
      <c r="E58" s="117"/>
      <c r="F58" s="117"/>
      <c r="G58" s="121"/>
      <c r="H58" s="95"/>
      <c r="I58" s="95"/>
      <c r="J58" s="95"/>
      <c r="K58" s="22"/>
      <c r="L58" s="18"/>
      <c r="M58" s="18"/>
      <c r="N58" s="98"/>
      <c r="O58" s="19"/>
      <c r="P58" s="22"/>
      <c r="Q58" s="100"/>
      <c r="R58" s="102"/>
      <c r="S58" s="96"/>
      <c r="T58" s="96"/>
      <c r="U58" s="96"/>
      <c r="V58" s="96"/>
      <c r="W58" s="96"/>
      <c r="X58" s="96"/>
      <c r="Y58" s="96"/>
      <c r="Z58" s="96"/>
      <c r="AA58" s="96"/>
      <c r="AB58" s="96"/>
      <c r="AC58" s="96"/>
      <c r="AD58" s="96"/>
      <c r="AE58" s="96"/>
      <c r="AF58" s="96"/>
      <c r="AG58" s="96"/>
      <c r="AH58" s="96"/>
      <c r="AI58" s="96"/>
      <c r="AJ58" s="96"/>
      <c r="AK58" s="96"/>
      <c r="AL58" s="96"/>
      <c r="AM58" s="103"/>
      <c r="AN58" s="103"/>
      <c r="AO58" s="103"/>
      <c r="AP58" s="103"/>
      <c r="AQ58" s="103"/>
      <c r="AR58" s="103"/>
      <c r="AS58" s="103"/>
      <c r="AT58" s="103"/>
      <c r="AU58" s="103"/>
      <c r="AV58" s="103"/>
      <c r="AW58" s="103"/>
      <c r="AX58" s="103"/>
      <c r="AY58" s="107"/>
      <c r="AZ58" s="107"/>
      <c r="BA58" s="107"/>
      <c r="BB58" s="107"/>
      <c r="BC58" s="107"/>
      <c r="BD58" s="107"/>
      <c r="BE58" s="103"/>
      <c r="BF58" s="105"/>
      <c r="BG58" s="105"/>
    </row>
    <row r="59" spans="1:59" ht="12" hidden="1" customHeight="1">
      <c r="A59" s="111" t="s">
        <v>74</v>
      </c>
      <c r="B59" s="112"/>
      <c r="C59" s="112"/>
      <c r="D59" s="112"/>
      <c r="E59" s="112"/>
      <c r="F59" s="112"/>
      <c r="G59" s="112"/>
      <c r="H59" s="112"/>
      <c r="I59" s="113"/>
      <c r="J59" s="5">
        <f>+SUMPRODUCT(((MOD(ROW(J47:J58),2)=1)*(J47:J58)))</f>
        <v>0</v>
      </c>
      <c r="K59" s="5">
        <f>+SUMPRODUCT(((MOD(ROW(K47:K58),2)=1)*(K47:K58)))</f>
        <v>0</v>
      </c>
      <c r="L59" s="5">
        <f>+SUMPRODUCT(((MOD(ROW(L47:L58),2)=1)*(L47:L58)))</f>
        <v>0</v>
      </c>
      <c r="M59" s="5">
        <f>+SUMPRODUCT(((MOD(ROW(M47:M58),2)=1)*(M47:M58)))</f>
        <v>0</v>
      </c>
      <c r="N59" s="23" t="e">
        <f>O59/L59</f>
        <v>#DIV/0!</v>
      </c>
      <c r="O59" s="5">
        <f>+SUMPRODUCT(((MOD(ROW(O47:O58),2)=1)*(O47:O58)))</f>
        <v>0</v>
      </c>
      <c r="P59" s="5">
        <f>+SUMPRODUCT(((MOD(ROW(P47:P58),2)=1)*(P47:P58)))</f>
        <v>0</v>
      </c>
      <c r="Q59" s="29">
        <f>SUM(Q47:Q58)</f>
        <v>0</v>
      </c>
      <c r="R59" s="69"/>
      <c r="S59" s="68">
        <f t="shared" ref="S59:BG59" si="18">SUM(S47:S58)</f>
        <v>0</v>
      </c>
      <c r="T59" s="68">
        <f t="shared" si="18"/>
        <v>0</v>
      </c>
      <c r="U59" s="68">
        <f t="shared" si="18"/>
        <v>0</v>
      </c>
      <c r="V59" s="68">
        <f t="shared" si="18"/>
        <v>0</v>
      </c>
      <c r="W59" s="68">
        <f t="shared" si="18"/>
        <v>0</v>
      </c>
      <c r="X59" s="68">
        <f t="shared" si="18"/>
        <v>0</v>
      </c>
      <c r="Y59" s="5">
        <f t="shared" si="18"/>
        <v>0</v>
      </c>
      <c r="Z59" s="5">
        <f t="shared" si="18"/>
        <v>0</v>
      </c>
      <c r="AA59" s="5">
        <f t="shared" si="18"/>
        <v>0</v>
      </c>
      <c r="AB59" s="5">
        <f t="shared" si="18"/>
        <v>0</v>
      </c>
      <c r="AC59" s="5">
        <f t="shared" si="18"/>
        <v>0</v>
      </c>
      <c r="AD59" s="5">
        <f t="shared" si="18"/>
        <v>0</v>
      </c>
      <c r="AE59" s="5">
        <f t="shared" si="18"/>
        <v>0</v>
      </c>
      <c r="AF59" s="5">
        <f t="shared" si="18"/>
        <v>0</v>
      </c>
      <c r="AG59" s="5">
        <f t="shared" si="18"/>
        <v>0</v>
      </c>
      <c r="AH59" s="5">
        <f t="shared" si="18"/>
        <v>0</v>
      </c>
      <c r="AI59" s="5">
        <f t="shared" si="18"/>
        <v>0</v>
      </c>
      <c r="AJ59" s="5">
        <f t="shared" si="18"/>
        <v>0</v>
      </c>
      <c r="AK59" s="5">
        <f t="shared" si="18"/>
        <v>0</v>
      </c>
      <c r="AL59" s="5">
        <f t="shared" si="18"/>
        <v>0</v>
      </c>
      <c r="AM59" s="5">
        <f t="shared" si="18"/>
        <v>0</v>
      </c>
      <c r="AN59" s="5">
        <f t="shared" si="18"/>
        <v>0</v>
      </c>
      <c r="AO59" s="5">
        <f t="shared" si="18"/>
        <v>0</v>
      </c>
      <c r="AP59" s="5">
        <f t="shared" si="18"/>
        <v>0</v>
      </c>
      <c r="AQ59" s="5">
        <f t="shared" si="18"/>
        <v>0</v>
      </c>
      <c r="AR59" s="5">
        <f t="shared" si="18"/>
        <v>0</v>
      </c>
      <c r="AS59" s="5">
        <f t="shared" si="18"/>
        <v>0</v>
      </c>
      <c r="AT59" s="5">
        <f t="shared" si="18"/>
        <v>0</v>
      </c>
      <c r="AU59" s="5">
        <f t="shared" si="18"/>
        <v>0</v>
      </c>
      <c r="AV59" s="5">
        <f t="shared" si="18"/>
        <v>0</v>
      </c>
      <c r="AW59" s="5">
        <f t="shared" si="18"/>
        <v>0</v>
      </c>
      <c r="AX59" s="5">
        <f t="shared" si="18"/>
        <v>0</v>
      </c>
      <c r="AY59" s="5">
        <f t="shared" si="18"/>
        <v>0</v>
      </c>
      <c r="AZ59" s="5">
        <f t="shared" si="18"/>
        <v>0</v>
      </c>
      <c r="BA59" s="5">
        <f t="shared" si="18"/>
        <v>0</v>
      </c>
      <c r="BB59" s="5">
        <f t="shared" si="18"/>
        <v>0</v>
      </c>
      <c r="BC59" s="5">
        <f t="shared" si="18"/>
        <v>0</v>
      </c>
      <c r="BD59" s="5">
        <f t="shared" si="18"/>
        <v>0</v>
      </c>
      <c r="BE59" s="5">
        <f t="shared" si="18"/>
        <v>0</v>
      </c>
      <c r="BF59" s="5">
        <f t="shared" si="18"/>
        <v>0</v>
      </c>
      <c r="BG59" s="5">
        <f t="shared" si="18"/>
        <v>0</v>
      </c>
    </row>
    <row r="60" spans="1:59" ht="24.75" customHeight="1">
      <c r="A60" s="122" t="s">
        <v>5</v>
      </c>
      <c r="B60" s="122"/>
      <c r="C60" s="122"/>
      <c r="D60" s="122"/>
      <c r="E60" s="122"/>
      <c r="F60" s="122"/>
      <c r="G60" s="122"/>
      <c r="H60" s="122"/>
      <c r="I60" s="122"/>
      <c r="J60" s="30">
        <f>J39+J59+J46</f>
        <v>21088</v>
      </c>
      <c r="K60" s="75">
        <f>K39+K46+K59</f>
        <v>1026</v>
      </c>
      <c r="L60" s="75">
        <f>L39+L46+L59</f>
        <v>1172</v>
      </c>
      <c r="M60" s="75">
        <f>M39+M46+M59</f>
        <v>467</v>
      </c>
      <c r="N60" s="32">
        <f>O60/L60</f>
        <v>0.60153583617747441</v>
      </c>
      <c r="O60" s="75">
        <f>O39+O46+O59</f>
        <v>705</v>
      </c>
      <c r="P60" s="75">
        <f>P39+P46+P59</f>
        <v>1353</v>
      </c>
      <c r="Q60" s="75">
        <f>Q39+Q46+Q59</f>
        <v>1112</v>
      </c>
      <c r="R60" s="75"/>
      <c r="S60" s="75">
        <f t="shared" ref="S60:BG60" si="19">S39+S46+S59</f>
        <v>21</v>
      </c>
      <c r="T60" s="75">
        <f t="shared" si="19"/>
        <v>163</v>
      </c>
      <c r="U60" s="75">
        <f t="shared" si="19"/>
        <v>25</v>
      </c>
      <c r="V60" s="75">
        <f t="shared" si="19"/>
        <v>0</v>
      </c>
      <c r="W60" s="75">
        <f t="shared" si="19"/>
        <v>0</v>
      </c>
      <c r="X60" s="75">
        <f t="shared" si="19"/>
        <v>6</v>
      </c>
      <c r="Y60" s="75">
        <f t="shared" si="19"/>
        <v>12</v>
      </c>
      <c r="Z60" s="75">
        <f t="shared" si="19"/>
        <v>10</v>
      </c>
      <c r="AA60" s="75">
        <f t="shared" si="19"/>
        <v>0</v>
      </c>
      <c r="AB60" s="75">
        <f t="shared" si="19"/>
        <v>0</v>
      </c>
      <c r="AC60" s="75">
        <f t="shared" si="19"/>
        <v>105</v>
      </c>
      <c r="AD60" s="75">
        <f t="shared" si="19"/>
        <v>0</v>
      </c>
      <c r="AE60" s="75">
        <f t="shared" si="19"/>
        <v>25</v>
      </c>
      <c r="AF60" s="75">
        <f t="shared" si="19"/>
        <v>79</v>
      </c>
      <c r="AG60" s="75">
        <f t="shared" si="19"/>
        <v>59</v>
      </c>
      <c r="AH60" s="75">
        <f t="shared" si="19"/>
        <v>120</v>
      </c>
      <c r="AI60" s="75">
        <f t="shared" si="19"/>
        <v>0</v>
      </c>
      <c r="AJ60" s="75">
        <f t="shared" si="19"/>
        <v>12</v>
      </c>
      <c r="AK60" s="75">
        <f t="shared" si="19"/>
        <v>0</v>
      </c>
      <c r="AL60" s="75">
        <f t="shared" si="19"/>
        <v>68</v>
      </c>
      <c r="AM60" s="75">
        <f t="shared" si="19"/>
        <v>0</v>
      </c>
      <c r="AN60" s="75">
        <f t="shared" si="19"/>
        <v>0</v>
      </c>
      <c r="AO60" s="75">
        <f t="shared" si="19"/>
        <v>0</v>
      </c>
      <c r="AP60" s="75">
        <f t="shared" si="19"/>
        <v>0</v>
      </c>
      <c r="AQ60" s="75">
        <f t="shared" si="19"/>
        <v>0</v>
      </c>
      <c r="AR60" s="75">
        <f t="shared" si="19"/>
        <v>0</v>
      </c>
      <c r="AS60" s="75">
        <f t="shared" si="19"/>
        <v>0</v>
      </c>
      <c r="AT60" s="75">
        <f t="shared" si="19"/>
        <v>0</v>
      </c>
      <c r="AU60" s="75">
        <f t="shared" si="19"/>
        <v>0</v>
      </c>
      <c r="AV60" s="75">
        <f t="shared" si="19"/>
        <v>0</v>
      </c>
      <c r="AW60" s="75">
        <f t="shared" si="19"/>
        <v>0</v>
      </c>
      <c r="AX60" s="75">
        <f t="shared" si="19"/>
        <v>0</v>
      </c>
      <c r="AY60" s="75">
        <f t="shared" si="19"/>
        <v>0</v>
      </c>
      <c r="AZ60" s="75">
        <f t="shared" si="19"/>
        <v>0</v>
      </c>
      <c r="BA60" s="75">
        <f t="shared" si="19"/>
        <v>0</v>
      </c>
      <c r="BB60" s="75">
        <f t="shared" si="19"/>
        <v>0</v>
      </c>
      <c r="BC60" s="75">
        <f t="shared" si="19"/>
        <v>0</v>
      </c>
      <c r="BD60" s="75">
        <f t="shared" si="19"/>
        <v>0</v>
      </c>
      <c r="BE60" s="75">
        <f t="shared" si="19"/>
        <v>0</v>
      </c>
      <c r="BF60" s="75">
        <f t="shared" si="19"/>
        <v>0</v>
      </c>
      <c r="BG60" s="75">
        <f t="shared" si="19"/>
        <v>0</v>
      </c>
    </row>
    <row r="61" spans="1:59" ht="31.8">
      <c r="A61" s="81" t="s">
        <v>36</v>
      </c>
      <c r="B61" s="81"/>
      <c r="C61" s="81"/>
      <c r="D61" s="81"/>
      <c r="E61" s="81"/>
      <c r="F61" s="81"/>
      <c r="G61" s="81"/>
      <c r="H61" s="81"/>
      <c r="I61" s="81"/>
      <c r="J61" s="81"/>
      <c r="K61" s="81"/>
      <c r="L61" s="81"/>
      <c r="M61" s="81"/>
      <c r="N61" s="81"/>
      <c r="O61" s="81"/>
      <c r="P61" s="24"/>
      <c r="Q61" s="24"/>
      <c r="R61" s="67"/>
      <c r="S61" s="67"/>
      <c r="T61" s="67"/>
      <c r="U61" s="176"/>
      <c r="V61" s="66"/>
      <c r="W61" s="65"/>
      <c r="AM61" s="34"/>
      <c r="AN61" s="34"/>
      <c r="AO61" s="34"/>
      <c r="AP61" s="34"/>
      <c r="AQ61" s="34"/>
      <c r="AR61" s="34"/>
      <c r="AS61" s="34"/>
      <c r="AT61" s="34"/>
      <c r="AU61" s="34"/>
      <c r="AV61" s="34"/>
      <c r="AW61" s="34"/>
      <c r="AX61" s="34"/>
      <c r="AY61" s="34"/>
      <c r="AZ61" s="34"/>
      <c r="BA61" s="34"/>
      <c r="BB61" s="34"/>
      <c r="BC61" s="34"/>
      <c r="BD61" s="34"/>
      <c r="BE61" s="34"/>
      <c r="BF61" s="34"/>
      <c r="BG61" s="34"/>
    </row>
    <row r="62" spans="1:59" ht="33.75" customHeight="1">
      <c r="A62" s="82" t="s">
        <v>13</v>
      </c>
      <c r="B62" s="82"/>
      <c r="C62" s="82"/>
      <c r="D62" s="82"/>
      <c r="E62" s="82"/>
      <c r="F62" s="82"/>
      <c r="G62" s="82"/>
      <c r="H62" s="82"/>
      <c r="I62" s="82"/>
      <c r="J62" s="82"/>
      <c r="K62" s="82"/>
      <c r="L62" s="82"/>
      <c r="M62" s="82"/>
      <c r="N62" s="82"/>
      <c r="O62" s="82"/>
      <c r="R62" s="64"/>
      <c r="S62" s="64"/>
      <c r="T62" s="64"/>
      <c r="U62" s="176"/>
      <c r="V62" s="63"/>
      <c r="W62" s="62"/>
      <c r="AM62" s="34"/>
      <c r="AN62" s="34"/>
      <c r="AO62" s="34"/>
      <c r="AP62" s="34"/>
      <c r="AQ62" s="34"/>
      <c r="AR62" s="34"/>
      <c r="AS62" s="34"/>
      <c r="AT62" s="34"/>
      <c r="AU62" s="34"/>
      <c r="AV62" s="34"/>
      <c r="AW62" s="34"/>
      <c r="AX62" s="34"/>
      <c r="AY62" s="34"/>
      <c r="AZ62" s="34"/>
      <c r="BA62" s="34"/>
      <c r="BB62" s="34"/>
      <c r="BC62" s="34"/>
      <c r="BD62" s="34"/>
      <c r="BE62" s="34"/>
      <c r="BF62" s="34"/>
      <c r="BG62" s="34"/>
    </row>
    <row r="63" spans="1:59" ht="62.4">
      <c r="A63" s="9" t="s">
        <v>0</v>
      </c>
      <c r="B63" s="10" t="s">
        <v>34</v>
      </c>
      <c r="C63" s="11" t="s">
        <v>7</v>
      </c>
      <c r="D63" s="12" t="s">
        <v>1</v>
      </c>
      <c r="E63" s="13" t="s">
        <v>4</v>
      </c>
      <c r="F63" s="13" t="s">
        <v>2</v>
      </c>
      <c r="G63" s="13" t="s">
        <v>3</v>
      </c>
      <c r="H63" s="11" t="s">
        <v>6</v>
      </c>
      <c r="I63" s="14" t="s">
        <v>8</v>
      </c>
      <c r="J63" s="14" t="s">
        <v>17</v>
      </c>
      <c r="K63" s="12" t="s">
        <v>9</v>
      </c>
      <c r="L63" s="15" t="s">
        <v>10</v>
      </c>
      <c r="M63" s="15" t="s">
        <v>11</v>
      </c>
      <c r="N63" s="15" t="s">
        <v>12</v>
      </c>
      <c r="O63" s="15" t="s">
        <v>14</v>
      </c>
      <c r="P63" s="26" t="s">
        <v>16</v>
      </c>
      <c r="Q63" s="15" t="s">
        <v>42</v>
      </c>
      <c r="R63" s="15" t="s">
        <v>44</v>
      </c>
      <c r="S63" s="83">
        <v>101</v>
      </c>
      <c r="T63" s="83">
        <v>102</v>
      </c>
      <c r="U63" s="80">
        <v>106</v>
      </c>
      <c r="V63" s="80">
        <v>108</v>
      </c>
      <c r="W63" s="80">
        <v>109</v>
      </c>
      <c r="X63" s="80">
        <v>113</v>
      </c>
      <c r="Y63" s="80">
        <v>114</v>
      </c>
      <c r="Z63" s="80">
        <v>115</v>
      </c>
      <c r="AA63" s="80">
        <v>116</v>
      </c>
      <c r="AB63" s="80">
        <v>199</v>
      </c>
      <c r="AC63" s="80">
        <v>201</v>
      </c>
      <c r="AD63" s="80">
        <v>202</v>
      </c>
      <c r="AE63" s="80">
        <v>203</v>
      </c>
      <c r="AF63" s="80">
        <v>205</v>
      </c>
      <c r="AG63" s="80">
        <v>206</v>
      </c>
      <c r="AH63" s="79">
        <v>209</v>
      </c>
      <c r="AI63" s="79">
        <v>212</v>
      </c>
      <c r="AJ63" s="79">
        <v>216</v>
      </c>
      <c r="AK63" s="79">
        <v>217</v>
      </c>
      <c r="AL63" s="79">
        <v>299</v>
      </c>
      <c r="AM63" s="79">
        <v>301</v>
      </c>
      <c r="AN63" s="79">
        <v>302</v>
      </c>
      <c r="AO63" s="79">
        <v>399</v>
      </c>
      <c r="AP63" s="79">
        <v>401</v>
      </c>
      <c r="AQ63" s="79">
        <v>402</v>
      </c>
      <c r="AR63" s="79">
        <v>411</v>
      </c>
      <c r="AS63" s="79">
        <v>412</v>
      </c>
      <c r="AT63" s="79">
        <v>413</v>
      </c>
      <c r="AU63" s="79">
        <v>499</v>
      </c>
      <c r="AV63" s="79">
        <v>501</v>
      </c>
      <c r="AW63" s="79">
        <v>502</v>
      </c>
      <c r="AX63" s="79">
        <v>599</v>
      </c>
      <c r="AY63" s="79">
        <v>604</v>
      </c>
      <c r="AZ63" s="79">
        <v>605</v>
      </c>
      <c r="BA63" s="79">
        <v>699</v>
      </c>
      <c r="BB63" s="79">
        <v>701</v>
      </c>
      <c r="BC63" s="79">
        <v>702</v>
      </c>
      <c r="BD63" s="79">
        <v>703</v>
      </c>
      <c r="BE63" s="79">
        <v>704</v>
      </c>
      <c r="BF63" s="79">
        <v>799</v>
      </c>
      <c r="BG63" s="84">
        <v>999</v>
      </c>
    </row>
    <row r="64" spans="1:59" ht="62.25" customHeight="1">
      <c r="A64" s="10" t="s">
        <v>18</v>
      </c>
      <c r="B64" s="10" t="s">
        <v>19</v>
      </c>
      <c r="C64" s="13" t="s">
        <v>20</v>
      </c>
      <c r="D64" s="12" t="s">
        <v>21</v>
      </c>
      <c r="E64" s="13" t="s">
        <v>22</v>
      </c>
      <c r="F64" s="13" t="s">
        <v>23</v>
      </c>
      <c r="G64" s="13" t="s">
        <v>25</v>
      </c>
      <c r="H64" s="13" t="s">
        <v>24</v>
      </c>
      <c r="I64" s="14" t="s">
        <v>26</v>
      </c>
      <c r="J64" s="14" t="s">
        <v>27</v>
      </c>
      <c r="K64" s="15" t="s">
        <v>28</v>
      </c>
      <c r="L64" s="15" t="s">
        <v>29</v>
      </c>
      <c r="M64" s="15" t="s">
        <v>90</v>
      </c>
      <c r="N64" s="15" t="s">
        <v>32</v>
      </c>
      <c r="O64" s="15" t="s">
        <v>31</v>
      </c>
      <c r="P64" s="26" t="s">
        <v>33</v>
      </c>
      <c r="Q64" s="15" t="s">
        <v>43</v>
      </c>
      <c r="R64" s="15" t="s">
        <v>45</v>
      </c>
      <c r="S64" s="83"/>
      <c r="T64" s="83"/>
      <c r="U64" s="80"/>
      <c r="V64" s="80"/>
      <c r="W64" s="80"/>
      <c r="X64" s="80"/>
      <c r="Y64" s="80"/>
      <c r="Z64" s="80"/>
      <c r="AA64" s="80"/>
      <c r="AB64" s="80"/>
      <c r="AC64" s="80"/>
      <c r="AD64" s="80"/>
      <c r="AE64" s="80"/>
      <c r="AF64" s="80"/>
      <c r="AG64" s="80"/>
      <c r="AH64" s="79"/>
      <c r="AI64" s="79"/>
      <c r="AJ64" s="79"/>
      <c r="AK64" s="79"/>
      <c r="AL64" s="79"/>
      <c r="AM64" s="79"/>
      <c r="AN64" s="79"/>
      <c r="AO64" s="79"/>
      <c r="AP64" s="79"/>
      <c r="AQ64" s="79"/>
      <c r="AR64" s="79"/>
      <c r="AS64" s="79"/>
      <c r="AT64" s="79"/>
      <c r="AU64" s="79"/>
      <c r="AV64" s="79"/>
      <c r="AW64" s="79"/>
      <c r="AX64" s="79"/>
      <c r="AY64" s="79"/>
      <c r="AZ64" s="79"/>
      <c r="BA64" s="79"/>
      <c r="BB64" s="79"/>
      <c r="BC64" s="79"/>
      <c r="BD64" s="79"/>
      <c r="BE64" s="79"/>
      <c r="BF64" s="79"/>
      <c r="BG64" s="84"/>
    </row>
    <row r="65" spans="1:59" s="17" customFormat="1" ht="12" hidden="1" customHeight="1">
      <c r="A65" s="108"/>
      <c r="B65" s="87"/>
      <c r="C65" s="89"/>
      <c r="D65" s="91"/>
      <c r="E65" s="89"/>
      <c r="F65" s="89"/>
      <c r="G65" s="93"/>
      <c r="H65" s="89"/>
      <c r="I65" s="89"/>
      <c r="J65" s="89"/>
      <c r="K65" s="20"/>
      <c r="L65" s="20"/>
      <c r="M65" s="20"/>
      <c r="N65" s="146" t="e">
        <f>O66/L66</f>
        <v>#DIV/0!</v>
      </c>
      <c r="O65" s="21">
        <f>L65-M65</f>
        <v>0</v>
      </c>
      <c r="P65" s="27"/>
      <c r="Q65" s="99">
        <f>+L66-P66</f>
        <v>0</v>
      </c>
      <c r="R65" s="108"/>
      <c r="S65" s="149"/>
      <c r="T65" s="149"/>
      <c r="U65" s="149"/>
      <c r="V65" s="149"/>
      <c r="W65" s="149"/>
      <c r="X65" s="149"/>
      <c r="Y65" s="149"/>
      <c r="Z65" s="149"/>
      <c r="AA65" s="149"/>
      <c r="AB65" s="149"/>
      <c r="AC65" s="149"/>
      <c r="AD65" s="149"/>
      <c r="AE65" s="149"/>
      <c r="AF65" s="149"/>
      <c r="AG65" s="149"/>
      <c r="AH65" s="149"/>
      <c r="AI65" s="149"/>
      <c r="AJ65" s="149"/>
      <c r="AK65" s="149"/>
      <c r="AL65" s="149"/>
      <c r="AM65" s="163"/>
      <c r="AN65" s="163"/>
      <c r="AO65" s="163"/>
      <c r="AP65" s="163"/>
      <c r="AQ65" s="163"/>
      <c r="AR65" s="163"/>
      <c r="AS65" s="163"/>
      <c r="AT65" s="163"/>
      <c r="AU65" s="163"/>
      <c r="AV65" s="163"/>
      <c r="AW65" s="163"/>
      <c r="AX65" s="163"/>
      <c r="AY65" s="167"/>
      <c r="AZ65" s="167"/>
      <c r="BA65" s="167"/>
      <c r="BB65" s="167"/>
      <c r="BC65" s="167"/>
      <c r="BD65" s="161"/>
      <c r="BE65" s="163"/>
      <c r="BF65" s="165"/>
      <c r="BG65" s="165"/>
    </row>
    <row r="66" spans="1:59" s="17" customFormat="1" ht="12" hidden="1" customHeight="1">
      <c r="A66" s="85"/>
      <c r="B66" s="88"/>
      <c r="C66" s="90"/>
      <c r="D66" s="92"/>
      <c r="E66" s="90"/>
      <c r="F66" s="90"/>
      <c r="G66" s="94"/>
      <c r="H66" s="90"/>
      <c r="I66" s="90"/>
      <c r="J66" s="90"/>
      <c r="K66" s="22"/>
      <c r="L66" s="18"/>
      <c r="M66" s="18"/>
      <c r="N66" s="147"/>
      <c r="O66" s="19">
        <f t="shared" ref="O66:O68" si="20">L66-M66</f>
        <v>0</v>
      </c>
      <c r="P66" s="22"/>
      <c r="Q66" s="100"/>
      <c r="R66" s="85"/>
      <c r="S66" s="150"/>
      <c r="T66" s="150"/>
      <c r="U66" s="150"/>
      <c r="V66" s="150"/>
      <c r="W66" s="150"/>
      <c r="X66" s="150"/>
      <c r="Y66" s="150"/>
      <c r="Z66" s="150"/>
      <c r="AA66" s="150"/>
      <c r="AB66" s="150"/>
      <c r="AC66" s="150"/>
      <c r="AD66" s="150"/>
      <c r="AE66" s="150"/>
      <c r="AF66" s="150"/>
      <c r="AG66" s="150"/>
      <c r="AH66" s="150"/>
      <c r="AI66" s="150"/>
      <c r="AJ66" s="150"/>
      <c r="AK66" s="150"/>
      <c r="AL66" s="150"/>
      <c r="AM66" s="164"/>
      <c r="AN66" s="164"/>
      <c r="AO66" s="164"/>
      <c r="AP66" s="164"/>
      <c r="AQ66" s="164"/>
      <c r="AR66" s="164"/>
      <c r="AS66" s="164"/>
      <c r="AT66" s="164"/>
      <c r="AU66" s="164"/>
      <c r="AV66" s="164"/>
      <c r="AW66" s="164"/>
      <c r="AX66" s="164"/>
      <c r="AY66" s="168"/>
      <c r="AZ66" s="168"/>
      <c r="BA66" s="168"/>
      <c r="BB66" s="168"/>
      <c r="BC66" s="168"/>
      <c r="BD66" s="162"/>
      <c r="BE66" s="164"/>
      <c r="BF66" s="166"/>
      <c r="BG66" s="166"/>
    </row>
    <row r="67" spans="1:59" s="17" customFormat="1" ht="18" customHeight="1">
      <c r="A67" s="108">
        <v>45288</v>
      </c>
      <c r="B67" s="132" t="s">
        <v>37</v>
      </c>
      <c r="C67" s="117" t="s">
        <v>56</v>
      </c>
      <c r="D67" s="118" t="s">
        <v>38</v>
      </c>
      <c r="E67" s="116">
        <v>84217</v>
      </c>
      <c r="F67" s="116" t="s">
        <v>49</v>
      </c>
      <c r="G67" s="141" t="s">
        <v>63</v>
      </c>
      <c r="H67" s="95" t="s">
        <v>39</v>
      </c>
      <c r="I67" s="90">
        <v>4970</v>
      </c>
      <c r="J67" s="90">
        <v>4754</v>
      </c>
      <c r="K67" s="20">
        <v>150</v>
      </c>
      <c r="L67" s="20">
        <f>100+150</f>
        <v>250</v>
      </c>
      <c r="M67" s="20">
        <f>70+42</f>
        <v>112</v>
      </c>
      <c r="N67" s="97">
        <f t="shared" ref="N67" si="21">O67/L67</f>
        <v>0.55200000000000005</v>
      </c>
      <c r="O67" s="21">
        <f t="shared" si="20"/>
        <v>138</v>
      </c>
      <c r="P67" s="60">
        <f>70+81</f>
        <v>151</v>
      </c>
      <c r="Q67" s="99">
        <f>+L68-P68</f>
        <v>149</v>
      </c>
      <c r="R67" s="101"/>
      <c r="S67" s="96">
        <v>7</v>
      </c>
      <c r="T67" s="96">
        <v>10</v>
      </c>
      <c r="U67" s="96">
        <v>13</v>
      </c>
      <c r="V67" s="96"/>
      <c r="W67" s="96"/>
      <c r="X67" s="96">
        <v>2</v>
      </c>
      <c r="Y67" s="96"/>
      <c r="Z67" s="96"/>
      <c r="AA67" s="96"/>
      <c r="AB67" s="96"/>
      <c r="AC67" s="140">
        <f>5+11+10</f>
        <v>26</v>
      </c>
      <c r="AD67" s="96"/>
      <c r="AE67" s="96">
        <v>12</v>
      </c>
      <c r="AF67" s="96">
        <v>16</v>
      </c>
      <c r="AG67" s="96">
        <v>7</v>
      </c>
      <c r="AH67" s="96">
        <v>27</v>
      </c>
      <c r="AI67" s="96"/>
      <c r="AJ67" s="96"/>
      <c r="AK67" s="96"/>
      <c r="AL67" s="96">
        <v>18</v>
      </c>
      <c r="AM67" s="96"/>
      <c r="AN67" s="96"/>
      <c r="AO67" s="96"/>
      <c r="AP67" s="96"/>
      <c r="AQ67" s="96"/>
      <c r="AR67" s="96"/>
      <c r="AS67" s="96"/>
      <c r="AT67" s="96"/>
      <c r="AU67" s="96"/>
      <c r="AV67" s="96"/>
      <c r="AW67" s="96"/>
      <c r="AX67" s="96"/>
      <c r="AY67" s="124"/>
      <c r="AZ67" s="123"/>
      <c r="BA67" s="123"/>
      <c r="BB67" s="123"/>
      <c r="BC67" s="123"/>
      <c r="BD67" s="123"/>
      <c r="BE67" s="123"/>
      <c r="BF67" s="123"/>
      <c r="BG67" s="123"/>
    </row>
    <row r="68" spans="1:59" s="17" customFormat="1" ht="17.25" customHeight="1">
      <c r="A68" s="85"/>
      <c r="B68" s="145"/>
      <c r="C68" s="142"/>
      <c r="D68" s="119"/>
      <c r="E68" s="117"/>
      <c r="F68" s="117"/>
      <c r="G68" s="142"/>
      <c r="H68" s="95"/>
      <c r="I68" s="95"/>
      <c r="J68" s="95"/>
      <c r="K68" s="3">
        <f>300+50+100+200+310+50+100+150</f>
        <v>1260</v>
      </c>
      <c r="L68" s="3">
        <f>200+150+100+100+300+160+100+150</f>
        <v>1260</v>
      </c>
      <c r="M68" s="3">
        <f>88+64+65+19+167+78+70+42</f>
        <v>593</v>
      </c>
      <c r="N68" s="98"/>
      <c r="O68" s="7">
        <f t="shared" si="20"/>
        <v>667</v>
      </c>
      <c r="P68" s="22">
        <f>88+144+147+54+223+192+112+70+81</f>
        <v>1111</v>
      </c>
      <c r="Q68" s="100"/>
      <c r="R68" s="102"/>
      <c r="S68" s="96"/>
      <c r="T68" s="96"/>
      <c r="U68" s="96"/>
      <c r="V68" s="96"/>
      <c r="W68" s="96"/>
      <c r="X68" s="96"/>
      <c r="Y68" s="96"/>
      <c r="Z68" s="96"/>
      <c r="AA68" s="96"/>
      <c r="AB68" s="96"/>
      <c r="AC68" s="140"/>
      <c r="AD68" s="96"/>
      <c r="AE68" s="96"/>
      <c r="AF68" s="96"/>
      <c r="AG68" s="96"/>
      <c r="AH68" s="96"/>
      <c r="AI68" s="96"/>
      <c r="AJ68" s="96"/>
      <c r="AK68" s="96"/>
      <c r="AL68" s="96"/>
      <c r="AM68" s="96"/>
      <c r="AN68" s="96"/>
      <c r="AO68" s="96"/>
      <c r="AP68" s="96"/>
      <c r="AQ68" s="96"/>
      <c r="AR68" s="96"/>
      <c r="AS68" s="96"/>
      <c r="AT68" s="96"/>
      <c r="AU68" s="96"/>
      <c r="AV68" s="96"/>
      <c r="AW68" s="96"/>
      <c r="AX68" s="96"/>
      <c r="AY68" s="124"/>
      <c r="AZ68" s="124"/>
      <c r="BA68" s="124"/>
      <c r="BB68" s="124"/>
      <c r="BC68" s="124"/>
      <c r="BD68" s="124"/>
      <c r="BE68" s="124"/>
      <c r="BF68" s="124"/>
      <c r="BG68" s="124"/>
    </row>
    <row r="69" spans="1:59" s="17" customFormat="1" ht="12" hidden="1" customHeight="1">
      <c r="A69" s="108"/>
      <c r="B69" s="132"/>
      <c r="C69" s="117"/>
      <c r="D69" s="118"/>
      <c r="E69" s="116"/>
      <c r="F69" s="116"/>
      <c r="G69" s="141"/>
      <c r="H69" s="95"/>
      <c r="I69" s="90"/>
      <c r="J69" s="90"/>
      <c r="K69" s="20"/>
      <c r="L69" s="20"/>
      <c r="M69" s="20"/>
      <c r="N69" s="143"/>
      <c r="O69" s="61"/>
      <c r="P69" s="60"/>
      <c r="Q69" s="172"/>
      <c r="R69" s="101"/>
      <c r="S69" s="96"/>
      <c r="T69" s="96"/>
      <c r="U69" s="96"/>
      <c r="V69" s="96"/>
      <c r="W69" s="96"/>
      <c r="X69" s="96"/>
      <c r="Y69" s="96"/>
      <c r="Z69" s="96"/>
      <c r="AA69" s="96"/>
      <c r="AB69" s="96"/>
      <c r="AC69" s="140"/>
      <c r="AD69" s="96"/>
      <c r="AE69" s="96"/>
      <c r="AF69" s="96"/>
      <c r="AG69" s="96"/>
      <c r="AH69" s="96"/>
      <c r="AI69" s="96"/>
      <c r="AJ69" s="96"/>
      <c r="AK69" s="96"/>
      <c r="AL69" s="96"/>
      <c r="AM69" s="96"/>
      <c r="AN69" s="96"/>
      <c r="AO69" s="96"/>
      <c r="AP69" s="96"/>
      <c r="AQ69" s="96"/>
      <c r="AR69" s="96"/>
      <c r="AS69" s="96"/>
      <c r="AT69" s="96"/>
      <c r="AU69" s="96"/>
      <c r="AV69" s="96"/>
      <c r="AW69" s="96"/>
      <c r="AX69" s="96"/>
      <c r="AY69" s="124"/>
      <c r="AZ69" s="123"/>
      <c r="BA69" s="123"/>
      <c r="BB69" s="123"/>
      <c r="BC69" s="123"/>
      <c r="BD69" s="123"/>
      <c r="BE69" s="123"/>
      <c r="BF69" s="123"/>
      <c r="BG69" s="123"/>
    </row>
    <row r="70" spans="1:59" s="17" customFormat="1" ht="12" hidden="1" customHeight="1">
      <c r="A70" s="85"/>
      <c r="B70" s="145"/>
      <c r="C70" s="142"/>
      <c r="D70" s="119"/>
      <c r="E70" s="117"/>
      <c r="F70" s="117"/>
      <c r="G70" s="142"/>
      <c r="H70" s="95"/>
      <c r="I70" s="95"/>
      <c r="J70" s="95"/>
      <c r="K70" s="3"/>
      <c r="L70" s="3"/>
      <c r="M70" s="3"/>
      <c r="N70" s="144"/>
      <c r="O70" s="59"/>
      <c r="P70" s="22"/>
      <c r="Q70" s="173"/>
      <c r="R70" s="102"/>
      <c r="S70" s="96"/>
      <c r="T70" s="96"/>
      <c r="U70" s="96"/>
      <c r="V70" s="96"/>
      <c r="W70" s="96"/>
      <c r="X70" s="96"/>
      <c r="Y70" s="96"/>
      <c r="Z70" s="96"/>
      <c r="AA70" s="96"/>
      <c r="AB70" s="96"/>
      <c r="AC70" s="140"/>
      <c r="AD70" s="96"/>
      <c r="AE70" s="96"/>
      <c r="AF70" s="96"/>
      <c r="AG70" s="96"/>
      <c r="AH70" s="96"/>
      <c r="AI70" s="96"/>
      <c r="AJ70" s="96"/>
      <c r="AK70" s="96"/>
      <c r="AL70" s="96"/>
      <c r="AM70" s="96"/>
      <c r="AN70" s="96"/>
      <c r="AO70" s="96"/>
      <c r="AP70" s="96"/>
      <c r="AQ70" s="96"/>
      <c r="AR70" s="96"/>
      <c r="AS70" s="96"/>
      <c r="AT70" s="96"/>
      <c r="AU70" s="96"/>
      <c r="AV70" s="96"/>
      <c r="AW70" s="96"/>
      <c r="AX70" s="96"/>
      <c r="AY70" s="124"/>
      <c r="AZ70" s="124"/>
      <c r="BA70" s="124"/>
      <c r="BB70" s="124"/>
      <c r="BC70" s="124"/>
      <c r="BD70" s="124"/>
      <c r="BE70" s="124"/>
      <c r="BF70" s="124"/>
      <c r="BG70" s="124"/>
    </row>
    <row r="71" spans="1:59" ht="24.75" customHeight="1">
      <c r="A71" s="111" t="s">
        <v>15</v>
      </c>
      <c r="B71" s="112"/>
      <c r="C71" s="112"/>
      <c r="D71" s="112"/>
      <c r="E71" s="112"/>
      <c r="F71" s="112"/>
      <c r="G71" s="112"/>
      <c r="H71" s="112"/>
      <c r="I71" s="113"/>
      <c r="J71" s="5">
        <f>SUM(J65:J70)</f>
        <v>4754</v>
      </c>
      <c r="K71" s="5">
        <f>+SUMPRODUCT(((MOD(ROW(K65:K70),2)=1)*(K65:K70)))</f>
        <v>150</v>
      </c>
      <c r="L71" s="5">
        <f>+SUMPRODUCT(((MOD(ROW(L65:L70),2)=1)*(L65:L70)))</f>
        <v>250</v>
      </c>
      <c r="M71" s="5">
        <f>+SUMPRODUCT(((MOD(ROW(M65:M70),2)=1)*(M65:M70)))</f>
        <v>112</v>
      </c>
      <c r="N71" s="23">
        <f>O71/L71</f>
        <v>0.55200000000000005</v>
      </c>
      <c r="O71" s="5">
        <f>+SUMPRODUCT(((MOD(ROW(O65:O70),2)=1)*(O65:O70)))</f>
        <v>138</v>
      </c>
      <c r="P71" s="5">
        <f>+SUMPRODUCT(((MOD(ROW(P65:P70),2)=1)*(P65:P70)))</f>
        <v>151</v>
      </c>
      <c r="Q71" s="5">
        <f>+SUMPRODUCT(((MOD(ROW(Q65:Q70),2)=1)*(Q65:Q70)))</f>
        <v>149</v>
      </c>
      <c r="R71" s="5"/>
      <c r="S71" s="5">
        <f t="shared" ref="S71:BG71" si="22">SUM(S65:S70)</f>
        <v>7</v>
      </c>
      <c r="T71" s="5">
        <f t="shared" si="22"/>
        <v>10</v>
      </c>
      <c r="U71" s="5">
        <f t="shared" si="22"/>
        <v>13</v>
      </c>
      <c r="V71" s="5">
        <f t="shared" si="22"/>
        <v>0</v>
      </c>
      <c r="W71" s="5">
        <f t="shared" si="22"/>
        <v>0</v>
      </c>
      <c r="X71" s="5">
        <f t="shared" si="22"/>
        <v>2</v>
      </c>
      <c r="Y71" s="5">
        <f t="shared" si="22"/>
        <v>0</v>
      </c>
      <c r="Z71" s="5">
        <f t="shared" si="22"/>
        <v>0</v>
      </c>
      <c r="AA71" s="5">
        <f t="shared" si="22"/>
        <v>0</v>
      </c>
      <c r="AB71" s="5">
        <f t="shared" si="22"/>
        <v>0</v>
      </c>
      <c r="AC71" s="5">
        <f t="shared" si="22"/>
        <v>26</v>
      </c>
      <c r="AD71" s="5">
        <f t="shared" si="22"/>
        <v>0</v>
      </c>
      <c r="AE71" s="5">
        <f t="shared" si="22"/>
        <v>12</v>
      </c>
      <c r="AF71" s="5">
        <f t="shared" si="22"/>
        <v>16</v>
      </c>
      <c r="AG71" s="5">
        <f>SUM(AG65:AG70)</f>
        <v>7</v>
      </c>
      <c r="AH71" s="5">
        <f t="shared" si="22"/>
        <v>27</v>
      </c>
      <c r="AI71" s="5">
        <f t="shared" si="22"/>
        <v>0</v>
      </c>
      <c r="AJ71" s="5">
        <f t="shared" si="22"/>
        <v>0</v>
      </c>
      <c r="AK71" s="5">
        <f t="shared" si="22"/>
        <v>0</v>
      </c>
      <c r="AL71" s="5">
        <f t="shared" si="22"/>
        <v>18</v>
      </c>
      <c r="AM71" s="5">
        <f t="shared" si="22"/>
        <v>0</v>
      </c>
      <c r="AN71" s="5">
        <f t="shared" si="22"/>
        <v>0</v>
      </c>
      <c r="AO71" s="5">
        <f t="shared" si="22"/>
        <v>0</v>
      </c>
      <c r="AP71" s="5">
        <f t="shared" si="22"/>
        <v>0</v>
      </c>
      <c r="AQ71" s="5">
        <f t="shared" si="22"/>
        <v>0</v>
      </c>
      <c r="AR71" s="5">
        <f t="shared" si="22"/>
        <v>0</v>
      </c>
      <c r="AS71" s="5">
        <f t="shared" si="22"/>
        <v>0</v>
      </c>
      <c r="AT71" s="5">
        <f t="shared" si="22"/>
        <v>0</v>
      </c>
      <c r="AU71" s="5">
        <f t="shared" si="22"/>
        <v>0</v>
      </c>
      <c r="AV71" s="5">
        <f t="shared" si="22"/>
        <v>0</v>
      </c>
      <c r="AW71" s="5">
        <f t="shared" si="22"/>
        <v>0</v>
      </c>
      <c r="AX71" s="5">
        <f t="shared" si="22"/>
        <v>0</v>
      </c>
      <c r="AY71" s="5">
        <f t="shared" si="22"/>
        <v>0</v>
      </c>
      <c r="AZ71" s="5">
        <f t="shared" si="22"/>
        <v>0</v>
      </c>
      <c r="BA71" s="5">
        <f t="shared" si="22"/>
        <v>0</v>
      </c>
      <c r="BB71" s="5">
        <f t="shared" si="22"/>
        <v>0</v>
      </c>
      <c r="BC71" s="5">
        <f t="shared" si="22"/>
        <v>0</v>
      </c>
      <c r="BD71" s="5">
        <f t="shared" si="22"/>
        <v>0</v>
      </c>
      <c r="BE71" s="5">
        <f t="shared" si="22"/>
        <v>0</v>
      </c>
      <c r="BF71" s="5">
        <f t="shared" si="22"/>
        <v>0</v>
      </c>
      <c r="BG71" s="5">
        <f t="shared" si="22"/>
        <v>0</v>
      </c>
    </row>
    <row r="72" spans="1:59" s="17" customFormat="1" ht="15.75" hidden="1" customHeight="1">
      <c r="A72" s="101"/>
      <c r="B72" s="114"/>
      <c r="C72" s="116"/>
      <c r="D72" s="118"/>
      <c r="E72" s="116"/>
      <c r="F72" s="116"/>
      <c r="G72" s="120"/>
      <c r="H72" s="151"/>
      <c r="I72" s="89"/>
      <c r="J72" s="89"/>
      <c r="K72" s="20"/>
      <c r="L72" s="20"/>
      <c r="M72" s="20"/>
      <c r="N72" s="146"/>
      <c r="O72" s="21"/>
      <c r="P72" s="27"/>
      <c r="Q72" s="99"/>
      <c r="R72" s="148"/>
      <c r="S72" s="149"/>
      <c r="T72" s="149"/>
      <c r="U72" s="149"/>
      <c r="V72" s="149"/>
      <c r="W72" s="149"/>
      <c r="X72" s="149"/>
      <c r="Y72" s="149"/>
      <c r="Z72" s="149"/>
      <c r="AA72" s="149"/>
      <c r="AB72" s="149"/>
      <c r="AC72" s="149"/>
      <c r="AD72" s="149"/>
      <c r="AE72" s="149"/>
      <c r="AF72" s="149"/>
      <c r="AG72" s="149"/>
      <c r="AH72" s="149"/>
      <c r="AI72" s="149"/>
      <c r="AJ72" s="149"/>
      <c r="AK72" s="149"/>
      <c r="AL72" s="149"/>
      <c r="AM72" s="149"/>
      <c r="AN72" s="149"/>
      <c r="AO72" s="149"/>
      <c r="AP72" s="149"/>
      <c r="AQ72" s="149"/>
      <c r="AR72" s="149"/>
      <c r="AS72" s="149"/>
      <c r="AT72" s="149"/>
      <c r="AU72" s="149"/>
      <c r="AV72" s="149"/>
      <c r="AW72" s="149"/>
      <c r="AX72" s="149"/>
      <c r="AY72" s="152"/>
      <c r="AZ72" s="152"/>
      <c r="BA72" s="152"/>
      <c r="BB72" s="152"/>
      <c r="BC72" s="152"/>
      <c r="BD72" s="152"/>
      <c r="BE72" s="149"/>
      <c r="BF72" s="152"/>
      <c r="BG72" s="152"/>
    </row>
    <row r="73" spans="1:59" s="17" customFormat="1" ht="15.75" hidden="1" customHeight="1">
      <c r="A73" s="102"/>
      <c r="B73" s="115"/>
      <c r="C73" s="117"/>
      <c r="D73" s="119"/>
      <c r="E73" s="117"/>
      <c r="F73" s="117"/>
      <c r="G73" s="121"/>
      <c r="H73" s="90"/>
      <c r="I73" s="90"/>
      <c r="J73" s="90"/>
      <c r="K73" s="22"/>
      <c r="L73" s="18"/>
      <c r="M73" s="18"/>
      <c r="N73" s="147"/>
      <c r="O73" s="19"/>
      <c r="P73" s="22"/>
      <c r="Q73" s="100"/>
      <c r="R73" s="101"/>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3"/>
      <c r="AZ73" s="153"/>
      <c r="BA73" s="153"/>
      <c r="BB73" s="153"/>
      <c r="BC73" s="153"/>
      <c r="BD73" s="153"/>
      <c r="BE73" s="150"/>
      <c r="BF73" s="153"/>
      <c r="BG73" s="153"/>
    </row>
    <row r="74" spans="1:59" s="17" customFormat="1" ht="15.75" hidden="1" customHeight="1">
      <c r="A74" s="101"/>
      <c r="B74" s="114"/>
      <c r="C74" s="116"/>
      <c r="D74" s="118"/>
      <c r="E74" s="116"/>
      <c r="F74" s="116"/>
      <c r="G74" s="120"/>
      <c r="H74" s="151"/>
      <c r="I74" s="89"/>
      <c r="J74" s="89"/>
      <c r="K74" s="20"/>
      <c r="L74" s="20"/>
      <c r="M74" s="20"/>
      <c r="N74" s="146"/>
      <c r="O74" s="21"/>
      <c r="P74" s="27"/>
      <c r="Q74" s="99"/>
      <c r="R74" s="148"/>
      <c r="S74" s="149"/>
      <c r="T74" s="149"/>
      <c r="U74" s="149"/>
      <c r="V74" s="149"/>
      <c r="W74" s="149"/>
      <c r="X74" s="149"/>
      <c r="Y74" s="149"/>
      <c r="Z74" s="149"/>
      <c r="AA74" s="149"/>
      <c r="AB74" s="149"/>
      <c r="AC74" s="149"/>
      <c r="AD74" s="149"/>
      <c r="AE74" s="149"/>
      <c r="AF74" s="149"/>
      <c r="AG74" s="149"/>
      <c r="AH74" s="149"/>
      <c r="AI74" s="149"/>
      <c r="AJ74" s="149"/>
      <c r="AK74" s="149"/>
      <c r="AL74" s="149"/>
      <c r="AM74" s="149"/>
      <c r="AN74" s="149"/>
      <c r="AO74" s="149"/>
      <c r="AP74" s="149"/>
      <c r="AQ74" s="149"/>
      <c r="AR74" s="149"/>
      <c r="AS74" s="149"/>
      <c r="AT74" s="149"/>
      <c r="AU74" s="149"/>
      <c r="AV74" s="149"/>
      <c r="AW74" s="149"/>
      <c r="AX74" s="149"/>
      <c r="AY74" s="152"/>
      <c r="AZ74" s="152"/>
      <c r="BA74" s="152"/>
      <c r="BB74" s="152"/>
      <c r="BC74" s="152"/>
      <c r="BD74" s="152"/>
      <c r="BE74" s="149"/>
      <c r="BF74" s="152"/>
      <c r="BG74" s="152"/>
    </row>
    <row r="75" spans="1:59" s="17" customFormat="1" ht="15.75" hidden="1" customHeight="1">
      <c r="A75" s="102"/>
      <c r="B75" s="115"/>
      <c r="C75" s="117"/>
      <c r="D75" s="119"/>
      <c r="E75" s="117"/>
      <c r="F75" s="117"/>
      <c r="G75" s="121"/>
      <c r="H75" s="90"/>
      <c r="I75" s="90"/>
      <c r="J75" s="90"/>
      <c r="K75" s="22"/>
      <c r="L75" s="18"/>
      <c r="M75" s="18"/>
      <c r="N75" s="147"/>
      <c r="O75" s="19"/>
      <c r="P75" s="22"/>
      <c r="Q75" s="100"/>
      <c r="R75" s="101"/>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3"/>
      <c r="AZ75" s="153"/>
      <c r="BA75" s="153"/>
      <c r="BB75" s="153"/>
      <c r="BC75" s="153"/>
      <c r="BD75" s="153"/>
      <c r="BE75" s="150"/>
      <c r="BF75" s="153"/>
      <c r="BG75" s="153"/>
    </row>
    <row r="76" spans="1:59" s="17" customFormat="1" ht="15.75" hidden="1" customHeight="1">
      <c r="A76" s="101"/>
      <c r="B76" s="114"/>
      <c r="C76" s="116"/>
      <c r="D76" s="118"/>
      <c r="E76" s="116"/>
      <c r="F76" s="116"/>
      <c r="G76" s="120"/>
      <c r="H76" s="109"/>
      <c r="I76" s="90"/>
      <c r="J76" s="90"/>
      <c r="K76" s="20"/>
      <c r="L76" s="20"/>
      <c r="M76" s="20"/>
      <c r="N76" s="97"/>
      <c r="O76" s="21"/>
      <c r="P76" s="27"/>
      <c r="Q76" s="99"/>
      <c r="R76" s="154"/>
      <c r="S76" s="96"/>
      <c r="T76" s="96"/>
      <c r="U76" s="96"/>
      <c r="V76" s="96"/>
      <c r="W76" s="96"/>
      <c r="X76" s="96"/>
      <c r="Y76" s="96"/>
      <c r="Z76" s="96"/>
      <c r="AA76" s="96"/>
      <c r="AB76" s="96"/>
      <c r="AC76" s="96"/>
      <c r="AD76" s="96"/>
      <c r="AE76" s="96"/>
      <c r="AF76" s="96"/>
      <c r="AG76" s="96"/>
      <c r="AH76" s="96"/>
      <c r="AI76" s="96"/>
      <c r="AJ76" s="96"/>
      <c r="AK76" s="96"/>
      <c r="AL76" s="96"/>
      <c r="AM76" s="96"/>
      <c r="AN76" s="96"/>
      <c r="AO76" s="96"/>
      <c r="AP76" s="96"/>
      <c r="AQ76" s="96"/>
      <c r="AR76" s="96"/>
      <c r="AS76" s="96"/>
      <c r="AT76" s="96"/>
      <c r="AU76" s="96"/>
      <c r="AV76" s="96"/>
      <c r="AW76" s="96"/>
      <c r="AX76" s="96"/>
      <c r="AY76" s="155"/>
      <c r="AZ76" s="155"/>
      <c r="BA76" s="155"/>
      <c r="BB76" s="155"/>
      <c r="BC76" s="155"/>
      <c r="BD76" s="155"/>
      <c r="BE76" s="96"/>
      <c r="BF76" s="155"/>
      <c r="BG76" s="155"/>
    </row>
    <row r="77" spans="1:59" s="17" customFormat="1" ht="15.75" hidden="1" customHeight="1">
      <c r="A77" s="102"/>
      <c r="B77" s="115"/>
      <c r="C77" s="117"/>
      <c r="D77" s="119"/>
      <c r="E77" s="117"/>
      <c r="F77" s="117"/>
      <c r="G77" s="121"/>
      <c r="H77" s="95"/>
      <c r="I77" s="95"/>
      <c r="J77" s="95"/>
      <c r="K77" s="22"/>
      <c r="L77" s="18"/>
      <c r="M77" s="18"/>
      <c r="N77" s="98"/>
      <c r="O77" s="19"/>
      <c r="P77" s="22"/>
      <c r="Q77" s="100"/>
      <c r="R77" s="101"/>
      <c r="S77" s="96"/>
      <c r="T77" s="96"/>
      <c r="U77" s="96"/>
      <c r="V77" s="96"/>
      <c r="W77" s="96"/>
      <c r="X77" s="96"/>
      <c r="Y77" s="96"/>
      <c r="Z77" s="96"/>
      <c r="AA77" s="96"/>
      <c r="AB77" s="96"/>
      <c r="AC77" s="96"/>
      <c r="AD77" s="96"/>
      <c r="AE77" s="96"/>
      <c r="AF77" s="96"/>
      <c r="AG77" s="96"/>
      <c r="AH77" s="96"/>
      <c r="AI77" s="96"/>
      <c r="AJ77" s="96"/>
      <c r="AK77" s="96"/>
      <c r="AL77" s="96"/>
      <c r="AM77" s="96"/>
      <c r="AN77" s="96"/>
      <c r="AO77" s="96"/>
      <c r="AP77" s="96"/>
      <c r="AQ77" s="96"/>
      <c r="AR77" s="96"/>
      <c r="AS77" s="96"/>
      <c r="AT77" s="96"/>
      <c r="AU77" s="96"/>
      <c r="AV77" s="96"/>
      <c r="AW77" s="96"/>
      <c r="AX77" s="96"/>
      <c r="AY77" s="156"/>
      <c r="AZ77" s="156"/>
      <c r="BA77" s="156"/>
      <c r="BB77" s="156"/>
      <c r="BC77" s="156"/>
      <c r="BD77" s="156"/>
      <c r="BE77" s="96"/>
      <c r="BF77" s="156"/>
      <c r="BG77" s="156"/>
    </row>
    <row r="78" spans="1:59" s="17" customFormat="1" ht="15.75" hidden="1" customHeight="1">
      <c r="A78" s="101"/>
      <c r="B78" s="114"/>
      <c r="C78" s="116"/>
      <c r="D78" s="118"/>
      <c r="E78" s="116"/>
      <c r="F78" s="116"/>
      <c r="G78" s="120"/>
      <c r="H78" s="109"/>
      <c r="I78" s="90"/>
      <c r="J78" s="90"/>
      <c r="K78" s="20"/>
      <c r="L78" s="20"/>
      <c r="M78" s="20"/>
      <c r="N78" s="97"/>
      <c r="O78" s="21"/>
      <c r="P78" s="27"/>
      <c r="Q78" s="99"/>
      <c r="R78" s="148"/>
      <c r="S78" s="96"/>
      <c r="T78" s="96"/>
      <c r="U78" s="96"/>
      <c r="V78" s="96"/>
      <c r="W78" s="96"/>
      <c r="X78" s="96"/>
      <c r="Y78" s="96"/>
      <c r="Z78" s="96"/>
      <c r="AA78" s="96"/>
      <c r="AB78" s="96"/>
      <c r="AC78" s="96"/>
      <c r="AD78" s="96"/>
      <c r="AE78" s="96"/>
      <c r="AF78" s="96"/>
      <c r="AG78" s="96"/>
      <c r="AH78" s="96"/>
      <c r="AI78" s="96"/>
      <c r="AJ78" s="96"/>
      <c r="AK78" s="96"/>
      <c r="AL78" s="96"/>
      <c r="AM78" s="96"/>
      <c r="AN78" s="96"/>
      <c r="AO78" s="96"/>
      <c r="AP78" s="96"/>
      <c r="AQ78" s="96"/>
      <c r="AR78" s="96"/>
      <c r="AS78" s="96"/>
      <c r="AT78" s="96"/>
      <c r="AU78" s="96"/>
      <c r="AV78" s="96"/>
      <c r="AW78" s="96"/>
      <c r="AX78" s="96"/>
      <c r="AY78" s="155"/>
      <c r="AZ78" s="155"/>
      <c r="BA78" s="155"/>
      <c r="BB78" s="155"/>
      <c r="BC78" s="155"/>
      <c r="BD78" s="155"/>
      <c r="BE78" s="96"/>
      <c r="BF78" s="155"/>
      <c r="BG78" s="155"/>
    </row>
    <row r="79" spans="1:59" s="17" customFormat="1" ht="15.75" hidden="1" customHeight="1">
      <c r="A79" s="102"/>
      <c r="B79" s="115"/>
      <c r="C79" s="117"/>
      <c r="D79" s="119"/>
      <c r="E79" s="117"/>
      <c r="F79" s="117"/>
      <c r="G79" s="121"/>
      <c r="H79" s="95"/>
      <c r="I79" s="95"/>
      <c r="J79" s="95"/>
      <c r="K79" s="22"/>
      <c r="L79" s="18"/>
      <c r="M79" s="18"/>
      <c r="N79" s="98"/>
      <c r="O79" s="19"/>
      <c r="P79" s="22"/>
      <c r="Q79" s="100"/>
      <c r="R79" s="101"/>
      <c r="S79" s="96"/>
      <c r="T79" s="96"/>
      <c r="U79" s="96"/>
      <c r="V79" s="96"/>
      <c r="W79" s="96"/>
      <c r="X79" s="96"/>
      <c r="Y79" s="96"/>
      <c r="Z79" s="96"/>
      <c r="AA79" s="96"/>
      <c r="AB79" s="96"/>
      <c r="AC79" s="96"/>
      <c r="AD79" s="96"/>
      <c r="AE79" s="96"/>
      <c r="AF79" s="96"/>
      <c r="AG79" s="96"/>
      <c r="AH79" s="96"/>
      <c r="AI79" s="96"/>
      <c r="AJ79" s="96"/>
      <c r="AK79" s="96"/>
      <c r="AL79" s="96"/>
      <c r="AM79" s="96"/>
      <c r="AN79" s="96"/>
      <c r="AO79" s="96"/>
      <c r="AP79" s="96"/>
      <c r="AQ79" s="96"/>
      <c r="AR79" s="96"/>
      <c r="AS79" s="96"/>
      <c r="AT79" s="96"/>
      <c r="AU79" s="96"/>
      <c r="AV79" s="96"/>
      <c r="AW79" s="96"/>
      <c r="AX79" s="96"/>
      <c r="AY79" s="156"/>
      <c r="AZ79" s="156"/>
      <c r="BA79" s="156"/>
      <c r="BB79" s="156"/>
      <c r="BC79" s="156"/>
      <c r="BD79" s="156"/>
      <c r="BE79" s="96"/>
      <c r="BF79" s="156"/>
      <c r="BG79" s="156"/>
    </row>
    <row r="80" spans="1:59" s="17" customFormat="1" ht="15.75" hidden="1" customHeight="1">
      <c r="A80" s="101">
        <v>45084</v>
      </c>
      <c r="B80" s="114" t="s">
        <v>37</v>
      </c>
      <c r="C80" s="116"/>
      <c r="D80" s="118"/>
      <c r="E80" s="116"/>
      <c r="F80" s="116"/>
      <c r="G80" s="120"/>
      <c r="H80" s="109"/>
      <c r="I80" s="90"/>
      <c r="J80" s="90"/>
      <c r="K80" s="20"/>
      <c r="L80" s="20"/>
      <c r="M80" s="20"/>
      <c r="N80" s="97" t="e">
        <f>O81/L81</f>
        <v>#DIV/0!</v>
      </c>
      <c r="O80" s="21"/>
      <c r="P80" s="27"/>
      <c r="Q80" s="99">
        <f>+L81-P81</f>
        <v>0</v>
      </c>
      <c r="R80" s="101"/>
      <c r="S80" s="96"/>
      <c r="T80" s="96"/>
      <c r="U80" s="96"/>
      <c r="V80" s="96"/>
      <c r="W80" s="96"/>
      <c r="X80" s="96"/>
      <c r="Y80" s="96"/>
      <c r="Z80" s="96"/>
      <c r="AA80" s="96"/>
      <c r="AB80" s="96"/>
      <c r="AC80" s="96"/>
      <c r="AD80" s="96"/>
      <c r="AE80" s="96"/>
      <c r="AF80" s="96"/>
      <c r="AG80" s="96"/>
      <c r="AH80" s="96"/>
      <c r="AI80" s="96"/>
      <c r="AJ80" s="96"/>
      <c r="AK80" s="96"/>
      <c r="AL80" s="96"/>
      <c r="AM80" s="96"/>
      <c r="AN80" s="96"/>
      <c r="AO80" s="96"/>
      <c r="AP80" s="96"/>
      <c r="AQ80" s="96"/>
      <c r="AR80" s="96"/>
      <c r="AS80" s="96"/>
      <c r="AT80" s="96"/>
      <c r="AU80" s="96"/>
      <c r="AV80" s="96"/>
      <c r="AW80" s="96"/>
      <c r="AX80" s="96"/>
      <c r="AY80" s="155"/>
      <c r="AZ80" s="155"/>
      <c r="BA80" s="155"/>
      <c r="BB80" s="155"/>
      <c r="BC80" s="155"/>
      <c r="BD80" s="155"/>
      <c r="BE80" s="96"/>
      <c r="BF80" s="155"/>
      <c r="BG80" s="155"/>
    </row>
    <row r="81" spans="1:61" s="17" customFormat="1" ht="15.75" hidden="1" customHeight="1">
      <c r="A81" s="102"/>
      <c r="B81" s="115"/>
      <c r="C81" s="117"/>
      <c r="D81" s="119"/>
      <c r="E81" s="117"/>
      <c r="F81" s="117"/>
      <c r="G81" s="121"/>
      <c r="H81" s="95"/>
      <c r="I81" s="95"/>
      <c r="J81" s="95"/>
      <c r="K81" s="22"/>
      <c r="L81" s="18"/>
      <c r="M81" s="18"/>
      <c r="N81" s="98"/>
      <c r="O81" s="19"/>
      <c r="P81" s="22"/>
      <c r="Q81" s="100"/>
      <c r="R81" s="102"/>
      <c r="S81" s="96"/>
      <c r="T81" s="96"/>
      <c r="U81" s="96"/>
      <c r="V81" s="96"/>
      <c r="W81" s="96"/>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6"/>
      <c r="AY81" s="156"/>
      <c r="AZ81" s="156"/>
      <c r="BA81" s="156"/>
      <c r="BB81" s="156"/>
      <c r="BC81" s="156"/>
      <c r="BD81" s="156"/>
      <c r="BE81" s="96"/>
      <c r="BF81" s="156"/>
      <c r="BG81" s="156"/>
    </row>
    <row r="82" spans="1:61" ht="24.75" hidden="1" customHeight="1">
      <c r="A82" s="111" t="s">
        <v>40</v>
      </c>
      <c r="B82" s="112"/>
      <c r="C82" s="112"/>
      <c r="D82" s="112"/>
      <c r="E82" s="112"/>
      <c r="F82" s="112"/>
      <c r="G82" s="112"/>
      <c r="H82" s="112"/>
      <c r="I82" s="113"/>
      <c r="J82" s="5">
        <f>SUM(J72:J81)</f>
        <v>0</v>
      </c>
      <c r="K82" s="5">
        <f>+SUMPRODUCT(((MOD(ROW(K72:K79),2)=0)*(K72:K79)))</f>
        <v>0</v>
      </c>
      <c r="L82" s="5">
        <f>+SUMPRODUCT(((MOD(ROW(L72:L79),2)=0)*(L72:L79)))</f>
        <v>0</v>
      </c>
      <c r="M82" s="5">
        <f>+SUMPRODUCT(((MOD(ROW(M72:M79),2)=0)*(M72:M79)))</f>
        <v>0</v>
      </c>
      <c r="N82" s="6" t="e">
        <f>O82/L82</f>
        <v>#DIV/0!</v>
      </c>
      <c r="O82" s="5">
        <f>+SUMPRODUCT(((MOD(ROW(O72:O79),2)=0)*(O72:O79)))</f>
        <v>0</v>
      </c>
      <c r="P82" s="5">
        <f>+SUMPRODUCT(((MOD(ROW(P72:P79),2)=0)*(P72:P79)))</f>
        <v>0</v>
      </c>
      <c r="Q82" s="29">
        <f>SUM(Q72:Q81)</f>
        <v>0</v>
      </c>
      <c r="R82" s="29"/>
      <c r="S82" s="29">
        <f t="shared" ref="S82:BG82" si="23">SUM(S72:S81)</f>
        <v>0</v>
      </c>
      <c r="T82" s="29">
        <f t="shared" si="23"/>
        <v>0</v>
      </c>
      <c r="U82" s="29">
        <f t="shared" si="23"/>
        <v>0</v>
      </c>
      <c r="V82" s="29">
        <f t="shared" si="23"/>
        <v>0</v>
      </c>
      <c r="W82" s="29">
        <f t="shared" si="23"/>
        <v>0</v>
      </c>
      <c r="X82" s="29">
        <f t="shared" si="23"/>
        <v>0</v>
      </c>
      <c r="Y82" s="29">
        <f t="shared" si="23"/>
        <v>0</v>
      </c>
      <c r="Z82" s="29">
        <f t="shared" si="23"/>
        <v>0</v>
      </c>
      <c r="AA82" s="29">
        <f t="shared" si="23"/>
        <v>0</v>
      </c>
      <c r="AB82" s="29">
        <f t="shared" si="23"/>
        <v>0</v>
      </c>
      <c r="AC82" s="29">
        <f t="shared" si="23"/>
        <v>0</v>
      </c>
      <c r="AD82" s="29">
        <f t="shared" si="23"/>
        <v>0</v>
      </c>
      <c r="AE82" s="29">
        <f t="shared" si="23"/>
        <v>0</v>
      </c>
      <c r="AF82" s="29">
        <f t="shared" si="23"/>
        <v>0</v>
      </c>
      <c r="AG82" s="29">
        <f t="shared" si="23"/>
        <v>0</v>
      </c>
      <c r="AH82" s="29">
        <f t="shared" si="23"/>
        <v>0</v>
      </c>
      <c r="AI82" s="29">
        <f t="shared" si="23"/>
        <v>0</v>
      </c>
      <c r="AJ82" s="29">
        <f t="shared" si="23"/>
        <v>0</v>
      </c>
      <c r="AK82" s="29">
        <f t="shared" si="23"/>
        <v>0</v>
      </c>
      <c r="AL82" s="29">
        <f t="shared" si="23"/>
        <v>0</v>
      </c>
      <c r="AM82" s="29">
        <f t="shared" si="23"/>
        <v>0</v>
      </c>
      <c r="AN82" s="29">
        <f t="shared" si="23"/>
        <v>0</v>
      </c>
      <c r="AO82" s="29">
        <f t="shared" si="23"/>
        <v>0</v>
      </c>
      <c r="AP82" s="29">
        <f t="shared" si="23"/>
        <v>0</v>
      </c>
      <c r="AQ82" s="29">
        <f t="shared" si="23"/>
        <v>0</v>
      </c>
      <c r="AR82" s="29">
        <f t="shared" si="23"/>
        <v>0</v>
      </c>
      <c r="AS82" s="29">
        <f t="shared" si="23"/>
        <v>0</v>
      </c>
      <c r="AT82" s="29">
        <f t="shared" si="23"/>
        <v>0</v>
      </c>
      <c r="AU82" s="29">
        <f t="shared" si="23"/>
        <v>0</v>
      </c>
      <c r="AV82" s="29">
        <f t="shared" si="23"/>
        <v>0</v>
      </c>
      <c r="AW82" s="29">
        <f t="shared" si="23"/>
        <v>0</v>
      </c>
      <c r="AX82" s="29">
        <f t="shared" si="23"/>
        <v>0</v>
      </c>
      <c r="AY82" s="29">
        <f t="shared" si="23"/>
        <v>0</v>
      </c>
      <c r="AZ82" s="29">
        <f t="shared" si="23"/>
        <v>0</v>
      </c>
      <c r="BA82" s="29">
        <f t="shared" si="23"/>
        <v>0</v>
      </c>
      <c r="BB82" s="29">
        <f t="shared" si="23"/>
        <v>0</v>
      </c>
      <c r="BC82" s="29">
        <f t="shared" si="23"/>
        <v>0</v>
      </c>
      <c r="BD82" s="29">
        <f t="shared" si="23"/>
        <v>0</v>
      </c>
      <c r="BE82" s="29">
        <f t="shared" si="23"/>
        <v>0</v>
      </c>
      <c r="BF82" s="29">
        <f t="shared" si="23"/>
        <v>0</v>
      </c>
      <c r="BG82" s="29">
        <f t="shared" si="23"/>
        <v>0</v>
      </c>
      <c r="BH82" s="17"/>
      <c r="BI82" s="17"/>
    </row>
    <row r="83" spans="1:61" s="17" customFormat="1" ht="15.75" hidden="1" customHeight="1">
      <c r="A83" s="101"/>
      <c r="B83" s="114"/>
      <c r="C83" s="116"/>
      <c r="D83" s="118"/>
      <c r="E83" s="116"/>
      <c r="F83" s="116"/>
      <c r="G83" s="120"/>
      <c r="H83" s="109"/>
      <c r="I83" s="90"/>
      <c r="J83" s="90"/>
      <c r="K83" s="20"/>
      <c r="L83" s="20"/>
      <c r="M83" s="20"/>
      <c r="N83" s="97"/>
      <c r="O83" s="21"/>
      <c r="P83" s="27"/>
      <c r="Q83" s="99"/>
      <c r="R83" s="154"/>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155"/>
      <c r="AZ83" s="155"/>
      <c r="BA83" s="155"/>
      <c r="BB83" s="155"/>
      <c r="BC83" s="155"/>
      <c r="BD83" s="155"/>
      <c r="BE83" s="96"/>
      <c r="BF83" s="155"/>
      <c r="BG83" s="155"/>
    </row>
    <row r="84" spans="1:61" s="17" customFormat="1" ht="15.75" hidden="1" customHeight="1">
      <c r="A84" s="102"/>
      <c r="B84" s="115"/>
      <c r="C84" s="117"/>
      <c r="D84" s="119"/>
      <c r="E84" s="117"/>
      <c r="F84" s="117"/>
      <c r="G84" s="121"/>
      <c r="H84" s="95"/>
      <c r="I84" s="95"/>
      <c r="J84" s="95"/>
      <c r="K84" s="22"/>
      <c r="L84" s="18"/>
      <c r="M84" s="18"/>
      <c r="N84" s="98"/>
      <c r="O84" s="19"/>
      <c r="P84" s="22"/>
      <c r="Q84" s="100"/>
      <c r="R84" s="101"/>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156"/>
      <c r="AZ84" s="156"/>
      <c r="BA84" s="156"/>
      <c r="BB84" s="156"/>
      <c r="BC84" s="156"/>
      <c r="BD84" s="156"/>
      <c r="BE84" s="96"/>
      <c r="BF84" s="156"/>
      <c r="BG84" s="156"/>
    </row>
    <row r="85" spans="1:61" s="17" customFormat="1" ht="15.75" hidden="1" customHeight="1">
      <c r="A85" s="101"/>
      <c r="B85" s="114"/>
      <c r="C85" s="116"/>
      <c r="D85" s="118"/>
      <c r="E85" s="116"/>
      <c r="F85" s="116"/>
      <c r="G85" s="120"/>
      <c r="H85" s="90"/>
      <c r="I85" s="90"/>
      <c r="J85" s="90"/>
      <c r="K85" s="20"/>
      <c r="L85" s="20"/>
      <c r="M85" s="20"/>
      <c r="N85" s="97"/>
      <c r="O85" s="21"/>
      <c r="P85" s="27"/>
      <c r="Q85" s="99"/>
      <c r="R85" s="154"/>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155"/>
      <c r="AZ85" s="155"/>
      <c r="BA85" s="155"/>
      <c r="BB85" s="155"/>
      <c r="BC85" s="155"/>
      <c r="BD85" s="155"/>
      <c r="BE85" s="96"/>
      <c r="BF85" s="155"/>
      <c r="BG85" s="155"/>
    </row>
    <row r="86" spans="1:61" s="17" customFormat="1" ht="15.75" hidden="1" customHeight="1">
      <c r="A86" s="102"/>
      <c r="B86" s="115"/>
      <c r="C86" s="117"/>
      <c r="D86" s="119"/>
      <c r="E86" s="117"/>
      <c r="F86" s="117"/>
      <c r="G86" s="121"/>
      <c r="H86" s="95"/>
      <c r="I86" s="95"/>
      <c r="J86" s="95"/>
      <c r="K86" s="22"/>
      <c r="L86" s="18"/>
      <c r="M86" s="18"/>
      <c r="N86" s="98"/>
      <c r="O86" s="19"/>
      <c r="P86" s="22"/>
      <c r="Q86" s="100"/>
      <c r="R86" s="101"/>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156"/>
      <c r="AZ86" s="156"/>
      <c r="BA86" s="156"/>
      <c r="BB86" s="156"/>
      <c r="BC86" s="156"/>
      <c r="BD86" s="156"/>
      <c r="BE86" s="96"/>
      <c r="BF86" s="156"/>
      <c r="BG86" s="156"/>
    </row>
    <row r="87" spans="1:61" s="17" customFormat="1" ht="15.75" hidden="1" customHeight="1">
      <c r="A87" s="101">
        <v>45163</v>
      </c>
      <c r="B87" s="114" t="s">
        <v>37</v>
      </c>
      <c r="C87" s="116"/>
      <c r="D87" s="118"/>
      <c r="E87" s="116"/>
      <c r="F87" s="116"/>
      <c r="G87" s="120"/>
      <c r="H87" s="90"/>
      <c r="I87" s="90"/>
      <c r="J87" s="90"/>
      <c r="K87" s="20"/>
      <c r="L87" s="20"/>
      <c r="M87" s="20"/>
      <c r="N87" s="97" t="e">
        <f>O88/L88</f>
        <v>#DIV/0!</v>
      </c>
      <c r="O87" s="21">
        <f>L87-M87</f>
        <v>0</v>
      </c>
      <c r="P87" s="27"/>
      <c r="Q87" s="99">
        <f>+L88-P88</f>
        <v>0</v>
      </c>
      <c r="R87" s="154"/>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155"/>
      <c r="AZ87" s="155"/>
      <c r="BA87" s="155"/>
      <c r="BB87" s="155"/>
      <c r="BC87" s="155"/>
      <c r="BD87" s="155"/>
      <c r="BE87" s="96"/>
      <c r="BF87" s="155"/>
      <c r="BG87" s="155"/>
    </row>
    <row r="88" spans="1:61" s="17" customFormat="1" ht="15.75" hidden="1" customHeight="1">
      <c r="A88" s="102"/>
      <c r="B88" s="115"/>
      <c r="C88" s="117"/>
      <c r="D88" s="119"/>
      <c r="E88" s="117"/>
      <c r="F88" s="117"/>
      <c r="G88" s="121"/>
      <c r="H88" s="95"/>
      <c r="I88" s="95"/>
      <c r="J88" s="95"/>
      <c r="K88" s="22"/>
      <c r="L88" s="18"/>
      <c r="M88" s="18"/>
      <c r="N88" s="98"/>
      <c r="O88" s="19">
        <f>L88-M88</f>
        <v>0</v>
      </c>
      <c r="P88" s="22"/>
      <c r="Q88" s="100"/>
      <c r="R88" s="101"/>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156"/>
      <c r="AZ88" s="156"/>
      <c r="BA88" s="156"/>
      <c r="BB88" s="156"/>
      <c r="BC88" s="156"/>
      <c r="BD88" s="156"/>
      <c r="BE88" s="96"/>
      <c r="BF88" s="156"/>
      <c r="BG88" s="156"/>
    </row>
    <row r="89" spans="1:61" s="17" customFormat="1" ht="15.75" hidden="1" customHeight="1">
      <c r="A89" s="101">
        <v>45163</v>
      </c>
      <c r="B89" s="114" t="s">
        <v>37</v>
      </c>
      <c r="C89" s="116"/>
      <c r="D89" s="118"/>
      <c r="E89" s="116"/>
      <c r="F89" s="116"/>
      <c r="G89" s="120"/>
      <c r="H89" s="90"/>
      <c r="I89" s="90"/>
      <c r="J89" s="90"/>
      <c r="K89" s="20"/>
      <c r="L89" s="20"/>
      <c r="M89" s="20"/>
      <c r="N89" s="97" t="e">
        <f>O90/L90</f>
        <v>#DIV/0!</v>
      </c>
      <c r="O89" s="21">
        <f>L89-M89</f>
        <v>0</v>
      </c>
      <c r="P89" s="27"/>
      <c r="Q89" s="99">
        <f>+L90-P90</f>
        <v>0</v>
      </c>
      <c r="R89" s="154"/>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155"/>
      <c r="AZ89" s="155"/>
      <c r="BA89" s="155"/>
      <c r="BB89" s="155"/>
      <c r="BC89" s="155"/>
      <c r="BD89" s="155"/>
      <c r="BE89" s="96"/>
      <c r="BF89" s="155"/>
      <c r="BG89" s="155"/>
    </row>
    <row r="90" spans="1:61" s="17" customFormat="1" ht="15.75" hidden="1" customHeight="1">
      <c r="A90" s="102"/>
      <c r="B90" s="115"/>
      <c r="C90" s="117"/>
      <c r="D90" s="119"/>
      <c r="E90" s="117"/>
      <c r="F90" s="117"/>
      <c r="G90" s="121"/>
      <c r="H90" s="95"/>
      <c r="I90" s="95"/>
      <c r="J90" s="95"/>
      <c r="K90" s="22"/>
      <c r="L90" s="18"/>
      <c r="M90" s="18"/>
      <c r="N90" s="98"/>
      <c r="O90" s="19">
        <f>L90-M90</f>
        <v>0</v>
      </c>
      <c r="P90" s="22"/>
      <c r="Q90" s="100"/>
      <c r="R90" s="101"/>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156"/>
      <c r="AZ90" s="156"/>
      <c r="BA90" s="156"/>
      <c r="BB90" s="156"/>
      <c r="BC90" s="156"/>
      <c r="BD90" s="156"/>
      <c r="BE90" s="96"/>
      <c r="BF90" s="156"/>
      <c r="BG90" s="156"/>
      <c r="BH90" s="1"/>
      <c r="BI90" s="1"/>
    </row>
    <row r="91" spans="1:61" ht="24.75" hidden="1" customHeight="1">
      <c r="A91" s="111" t="s">
        <v>48</v>
      </c>
      <c r="B91" s="112"/>
      <c r="C91" s="112"/>
      <c r="D91" s="112"/>
      <c r="E91" s="112"/>
      <c r="F91" s="112"/>
      <c r="G91" s="112"/>
      <c r="H91" s="112"/>
      <c r="I91" s="113"/>
      <c r="J91" s="5">
        <f>SUM(J83:J90)</f>
        <v>0</v>
      </c>
      <c r="K91" s="5">
        <f>+SUMPRODUCT(((MOD(ROW(K83:K90),2)=0)*(K83:K90)))</f>
        <v>0</v>
      </c>
      <c r="L91" s="5">
        <f>+SUMPRODUCT(((MOD(ROW(L83:L90),2)=0)*(L83:L90)))</f>
        <v>0</v>
      </c>
      <c r="M91" s="5">
        <f>+SUMPRODUCT(((MOD(ROW(M83:M90),2)=0)*(M83:M90)))</f>
        <v>0</v>
      </c>
      <c r="N91" s="6" t="e">
        <f>O91/L91</f>
        <v>#DIV/0!</v>
      </c>
      <c r="O91" s="5">
        <f>+SUMPRODUCT(((MOD(ROW(O83:O90),2)=0)*(O83:O90)))</f>
        <v>0</v>
      </c>
      <c r="P91" s="5">
        <f>+SUMPRODUCT(((MOD(ROW(P83:P90),2)=0)*(P83:P90)))</f>
        <v>0</v>
      </c>
      <c r="Q91" s="29">
        <f>SUM(Q83:Q90)</f>
        <v>0</v>
      </c>
      <c r="R91" s="29"/>
      <c r="S91" s="29">
        <f t="shared" ref="S91:BG91" si="24">SUM(S83:S90)</f>
        <v>0</v>
      </c>
      <c r="T91" s="29">
        <f t="shared" si="24"/>
        <v>0</v>
      </c>
      <c r="U91" s="29">
        <f t="shared" si="24"/>
        <v>0</v>
      </c>
      <c r="V91" s="29">
        <f t="shared" si="24"/>
        <v>0</v>
      </c>
      <c r="W91" s="29">
        <f t="shared" si="24"/>
        <v>0</v>
      </c>
      <c r="X91" s="29">
        <f t="shared" si="24"/>
        <v>0</v>
      </c>
      <c r="Y91" s="29">
        <f t="shared" si="24"/>
        <v>0</v>
      </c>
      <c r="Z91" s="29">
        <f t="shared" si="24"/>
        <v>0</v>
      </c>
      <c r="AA91" s="29">
        <f t="shared" si="24"/>
        <v>0</v>
      </c>
      <c r="AB91" s="29">
        <f t="shared" si="24"/>
        <v>0</v>
      </c>
      <c r="AC91" s="29">
        <f t="shared" si="24"/>
        <v>0</v>
      </c>
      <c r="AD91" s="29">
        <f t="shared" si="24"/>
        <v>0</v>
      </c>
      <c r="AE91" s="29">
        <f t="shared" si="24"/>
        <v>0</v>
      </c>
      <c r="AF91" s="29">
        <f t="shared" si="24"/>
        <v>0</v>
      </c>
      <c r="AG91" s="29">
        <f t="shared" si="24"/>
        <v>0</v>
      </c>
      <c r="AH91" s="29">
        <f t="shared" si="24"/>
        <v>0</v>
      </c>
      <c r="AI91" s="29">
        <f t="shared" si="24"/>
        <v>0</v>
      </c>
      <c r="AJ91" s="29">
        <f t="shared" si="24"/>
        <v>0</v>
      </c>
      <c r="AK91" s="29">
        <f t="shared" si="24"/>
        <v>0</v>
      </c>
      <c r="AL91" s="29">
        <f t="shared" si="24"/>
        <v>0</v>
      </c>
      <c r="AM91" s="29">
        <f t="shared" si="24"/>
        <v>0</v>
      </c>
      <c r="AN91" s="29">
        <f t="shared" si="24"/>
        <v>0</v>
      </c>
      <c r="AO91" s="29">
        <f t="shared" si="24"/>
        <v>0</v>
      </c>
      <c r="AP91" s="29">
        <f t="shared" si="24"/>
        <v>0</v>
      </c>
      <c r="AQ91" s="29">
        <f t="shared" si="24"/>
        <v>0</v>
      </c>
      <c r="AR91" s="29">
        <f t="shared" si="24"/>
        <v>0</v>
      </c>
      <c r="AS91" s="29">
        <f t="shared" si="24"/>
        <v>0</v>
      </c>
      <c r="AT91" s="29">
        <f t="shared" si="24"/>
        <v>0</v>
      </c>
      <c r="AU91" s="29">
        <f t="shared" si="24"/>
        <v>0</v>
      </c>
      <c r="AV91" s="29">
        <f t="shared" si="24"/>
        <v>0</v>
      </c>
      <c r="AW91" s="29">
        <f t="shared" si="24"/>
        <v>0</v>
      </c>
      <c r="AX91" s="29">
        <f t="shared" si="24"/>
        <v>0</v>
      </c>
      <c r="AY91" s="29">
        <f t="shared" si="24"/>
        <v>0</v>
      </c>
      <c r="AZ91" s="29">
        <f t="shared" si="24"/>
        <v>0</v>
      </c>
      <c r="BA91" s="29">
        <f t="shared" si="24"/>
        <v>0</v>
      </c>
      <c r="BB91" s="29">
        <f t="shared" si="24"/>
        <v>0</v>
      </c>
      <c r="BC91" s="29">
        <f t="shared" si="24"/>
        <v>0</v>
      </c>
      <c r="BD91" s="29">
        <f t="shared" si="24"/>
        <v>0</v>
      </c>
      <c r="BE91" s="29">
        <f t="shared" si="24"/>
        <v>0</v>
      </c>
      <c r="BF91" s="29">
        <f t="shared" si="24"/>
        <v>0</v>
      </c>
      <c r="BG91" s="29">
        <f t="shared" si="24"/>
        <v>0</v>
      </c>
      <c r="BH91" s="17"/>
      <c r="BI91" s="17"/>
    </row>
    <row r="92" spans="1:61" s="17" customFormat="1" ht="15.75" hidden="1" customHeight="1">
      <c r="A92" s="101"/>
      <c r="B92" s="114"/>
      <c r="C92" s="116"/>
      <c r="D92" s="118"/>
      <c r="E92" s="157"/>
      <c r="F92" s="116"/>
      <c r="G92" s="120"/>
      <c r="H92" s="109"/>
      <c r="I92" s="90"/>
      <c r="J92" s="90"/>
      <c r="K92" s="20"/>
      <c r="L92" s="20"/>
      <c r="M92" s="20"/>
      <c r="N92" s="97"/>
      <c r="O92" s="21"/>
      <c r="P92" s="27"/>
      <c r="Q92" s="99"/>
      <c r="R92" s="101"/>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155"/>
      <c r="AZ92" s="155"/>
      <c r="BA92" s="155"/>
      <c r="BB92" s="155"/>
      <c r="BC92" s="155"/>
      <c r="BD92" s="155"/>
      <c r="BE92" s="96"/>
      <c r="BF92" s="155"/>
      <c r="BG92" s="155"/>
    </row>
    <row r="93" spans="1:61" s="17" customFormat="1" ht="15.75" hidden="1" customHeight="1">
      <c r="A93" s="102"/>
      <c r="B93" s="115"/>
      <c r="C93" s="117"/>
      <c r="D93" s="119"/>
      <c r="E93" s="117"/>
      <c r="F93" s="117"/>
      <c r="G93" s="121"/>
      <c r="H93" s="95"/>
      <c r="I93" s="95"/>
      <c r="J93" s="95"/>
      <c r="K93" s="22"/>
      <c r="L93" s="18"/>
      <c r="M93" s="18"/>
      <c r="N93" s="98"/>
      <c r="O93" s="19"/>
      <c r="P93" s="22"/>
      <c r="Q93" s="100"/>
      <c r="R93" s="102"/>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156"/>
      <c r="AZ93" s="156"/>
      <c r="BA93" s="156"/>
      <c r="BB93" s="156"/>
      <c r="BC93" s="156"/>
      <c r="BD93" s="156"/>
      <c r="BE93" s="96"/>
      <c r="BF93" s="156"/>
      <c r="BG93" s="156"/>
    </row>
    <row r="94" spans="1:61" s="17" customFormat="1" ht="15.75" hidden="1" customHeight="1">
      <c r="A94" s="101">
        <v>45061</v>
      </c>
      <c r="B94" s="114" t="s">
        <v>37</v>
      </c>
      <c r="C94" s="116"/>
      <c r="D94" s="118"/>
      <c r="E94" s="157"/>
      <c r="F94" s="116"/>
      <c r="G94" s="120"/>
      <c r="H94" s="90"/>
      <c r="I94" s="90"/>
      <c r="J94" s="90"/>
      <c r="K94" s="20"/>
      <c r="L94" s="20"/>
      <c r="M94" s="20"/>
      <c r="N94" s="97" t="e">
        <f>O95/L95</f>
        <v>#DIV/0!</v>
      </c>
      <c r="O94" s="21">
        <f t="shared" ref="O94:O99" si="25">L94-M94</f>
        <v>0</v>
      </c>
      <c r="P94" s="27"/>
      <c r="Q94" s="99">
        <f>+L95-P95</f>
        <v>0</v>
      </c>
      <c r="R94" s="101"/>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155"/>
      <c r="AZ94" s="155"/>
      <c r="BA94" s="155"/>
      <c r="BB94" s="155"/>
      <c r="BC94" s="155"/>
      <c r="BD94" s="155"/>
      <c r="BE94" s="96"/>
      <c r="BF94" s="155"/>
      <c r="BG94" s="155"/>
    </row>
    <row r="95" spans="1:61" s="17" customFormat="1" ht="15.75" hidden="1" customHeight="1">
      <c r="A95" s="102"/>
      <c r="B95" s="115"/>
      <c r="C95" s="117"/>
      <c r="D95" s="119"/>
      <c r="E95" s="117"/>
      <c r="F95" s="117"/>
      <c r="G95" s="121"/>
      <c r="H95" s="95"/>
      <c r="I95" s="95"/>
      <c r="J95" s="95"/>
      <c r="K95" s="22"/>
      <c r="L95" s="18"/>
      <c r="M95" s="18"/>
      <c r="N95" s="98"/>
      <c r="O95" s="19">
        <f t="shared" si="25"/>
        <v>0</v>
      </c>
      <c r="P95" s="22"/>
      <c r="Q95" s="100"/>
      <c r="R95" s="102"/>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156"/>
      <c r="AZ95" s="156"/>
      <c r="BA95" s="156"/>
      <c r="BB95" s="156"/>
      <c r="BC95" s="156"/>
      <c r="BD95" s="156"/>
      <c r="BE95" s="96"/>
      <c r="BF95" s="156"/>
      <c r="BG95" s="156"/>
    </row>
    <row r="96" spans="1:61" s="17" customFormat="1" ht="15.75" hidden="1" customHeight="1">
      <c r="A96" s="101">
        <v>44990</v>
      </c>
      <c r="B96" s="114" t="s">
        <v>37</v>
      </c>
      <c r="C96" s="116"/>
      <c r="D96" s="118"/>
      <c r="E96" s="116"/>
      <c r="F96" s="116"/>
      <c r="G96" s="120"/>
      <c r="H96" s="90"/>
      <c r="I96" s="90"/>
      <c r="J96" s="90"/>
      <c r="K96" s="20"/>
      <c r="L96" s="20"/>
      <c r="M96" s="20"/>
      <c r="N96" s="97" t="e">
        <f>O97/L97</f>
        <v>#DIV/0!</v>
      </c>
      <c r="O96" s="21">
        <f t="shared" si="25"/>
        <v>0</v>
      </c>
      <c r="P96" s="27"/>
      <c r="Q96" s="99">
        <f>+L97-P97</f>
        <v>0</v>
      </c>
      <c r="R96" s="101"/>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155"/>
      <c r="AZ96" s="155"/>
      <c r="BA96" s="155"/>
      <c r="BB96" s="155"/>
      <c r="BC96" s="155"/>
      <c r="BD96" s="155"/>
      <c r="BE96" s="96"/>
      <c r="BF96" s="155"/>
      <c r="BG96" s="155"/>
    </row>
    <row r="97" spans="1:61" s="17" customFormat="1" ht="15.75" hidden="1" customHeight="1">
      <c r="A97" s="102"/>
      <c r="B97" s="115"/>
      <c r="C97" s="117"/>
      <c r="D97" s="119"/>
      <c r="E97" s="117"/>
      <c r="F97" s="117"/>
      <c r="G97" s="121"/>
      <c r="H97" s="95"/>
      <c r="I97" s="95"/>
      <c r="J97" s="95"/>
      <c r="K97" s="22"/>
      <c r="L97" s="18"/>
      <c r="M97" s="18"/>
      <c r="N97" s="98"/>
      <c r="O97" s="19">
        <f t="shared" si="25"/>
        <v>0</v>
      </c>
      <c r="P97" s="22"/>
      <c r="Q97" s="100"/>
      <c r="R97" s="102"/>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156"/>
      <c r="AZ97" s="156"/>
      <c r="BA97" s="156"/>
      <c r="BB97" s="156"/>
      <c r="BC97" s="156"/>
      <c r="BD97" s="156"/>
      <c r="BE97" s="96"/>
      <c r="BF97" s="156"/>
      <c r="BG97" s="156"/>
    </row>
    <row r="98" spans="1:61" s="17" customFormat="1" ht="15.75" hidden="1" customHeight="1">
      <c r="A98" s="101">
        <v>44990</v>
      </c>
      <c r="B98" s="114" t="s">
        <v>37</v>
      </c>
      <c r="C98" s="116"/>
      <c r="D98" s="118"/>
      <c r="E98" s="116"/>
      <c r="F98" s="116"/>
      <c r="G98" s="120"/>
      <c r="H98" s="90"/>
      <c r="I98" s="90"/>
      <c r="J98" s="90"/>
      <c r="K98" s="20"/>
      <c r="L98" s="20"/>
      <c r="M98" s="20"/>
      <c r="N98" s="97" t="e">
        <f>O99/L99</f>
        <v>#DIV/0!</v>
      </c>
      <c r="O98" s="21">
        <f t="shared" si="25"/>
        <v>0</v>
      </c>
      <c r="P98" s="27"/>
      <c r="Q98" s="99">
        <f>+L99-P99</f>
        <v>0</v>
      </c>
      <c r="R98" s="101"/>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155"/>
      <c r="AZ98" s="155"/>
      <c r="BA98" s="155"/>
      <c r="BB98" s="155"/>
      <c r="BC98" s="155"/>
      <c r="BD98" s="155"/>
      <c r="BE98" s="96"/>
      <c r="BF98" s="155"/>
      <c r="BG98" s="155"/>
    </row>
    <row r="99" spans="1:61" s="17" customFormat="1" ht="15.75" hidden="1" customHeight="1">
      <c r="A99" s="102"/>
      <c r="B99" s="115"/>
      <c r="C99" s="117"/>
      <c r="D99" s="119"/>
      <c r="E99" s="117"/>
      <c r="F99" s="117"/>
      <c r="G99" s="121"/>
      <c r="H99" s="95"/>
      <c r="I99" s="95"/>
      <c r="J99" s="95"/>
      <c r="K99" s="22"/>
      <c r="L99" s="18"/>
      <c r="M99" s="18"/>
      <c r="N99" s="98"/>
      <c r="O99" s="19">
        <f t="shared" si="25"/>
        <v>0</v>
      </c>
      <c r="P99" s="22"/>
      <c r="Q99" s="100"/>
      <c r="R99" s="102"/>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156"/>
      <c r="AZ99" s="156"/>
      <c r="BA99" s="156"/>
      <c r="BB99" s="156"/>
      <c r="BC99" s="156"/>
      <c r="BD99" s="156"/>
      <c r="BE99" s="96"/>
      <c r="BF99" s="156"/>
      <c r="BG99" s="156"/>
      <c r="BH99" s="1"/>
      <c r="BI99" s="1"/>
    </row>
    <row r="100" spans="1:61" ht="24.75" hidden="1" customHeight="1">
      <c r="A100" s="111" t="s">
        <v>46</v>
      </c>
      <c r="B100" s="112"/>
      <c r="C100" s="112"/>
      <c r="D100" s="112"/>
      <c r="E100" s="112"/>
      <c r="F100" s="112"/>
      <c r="G100" s="112"/>
      <c r="H100" s="112"/>
      <c r="I100" s="113"/>
      <c r="J100" s="5">
        <f>SUM(J92:J99)</f>
        <v>0</v>
      </c>
      <c r="K100" s="5">
        <f>+SUMPRODUCT(((MOD(ROW(K92:K99),2)=0)*(K92:K99)))</f>
        <v>0</v>
      </c>
      <c r="L100" s="5">
        <f>+SUMPRODUCT(((MOD(ROW(L92:L99),2)=0)*(L92:L99)))</f>
        <v>0</v>
      </c>
      <c r="M100" s="5">
        <f>+SUMPRODUCT(((MOD(ROW(M92:M99),2)=0)*(M92:M99)))</f>
        <v>0</v>
      </c>
      <c r="N100" s="6" t="e">
        <f>O100/L100</f>
        <v>#DIV/0!</v>
      </c>
      <c r="O100" s="5">
        <f>+SUMPRODUCT(((MOD(ROW(O92:O99),2)=0)*(O92:O99)))</f>
        <v>0</v>
      </c>
      <c r="P100" s="5">
        <f>+SUMPRODUCT(((MOD(ROW(P92:P99),2)=0)*(P92:P99)))</f>
        <v>0</v>
      </c>
      <c r="Q100" s="29">
        <f>SUM(Q92:Q99)</f>
        <v>0</v>
      </c>
      <c r="R100" s="29"/>
      <c r="S100" s="29">
        <f t="shared" ref="S100:BG100" si="26">SUM(S92:S99)</f>
        <v>0</v>
      </c>
      <c r="T100" s="29">
        <f t="shared" si="26"/>
        <v>0</v>
      </c>
      <c r="U100" s="29">
        <f t="shared" si="26"/>
        <v>0</v>
      </c>
      <c r="V100" s="29">
        <f t="shared" si="26"/>
        <v>0</v>
      </c>
      <c r="W100" s="29">
        <f t="shared" si="26"/>
        <v>0</v>
      </c>
      <c r="X100" s="29">
        <f t="shared" si="26"/>
        <v>0</v>
      </c>
      <c r="Y100" s="29">
        <f t="shared" si="26"/>
        <v>0</v>
      </c>
      <c r="Z100" s="29">
        <f t="shared" si="26"/>
        <v>0</v>
      </c>
      <c r="AA100" s="29">
        <f t="shared" si="26"/>
        <v>0</v>
      </c>
      <c r="AB100" s="29">
        <f t="shared" si="26"/>
        <v>0</v>
      </c>
      <c r="AC100" s="29">
        <f t="shared" si="26"/>
        <v>0</v>
      </c>
      <c r="AD100" s="29">
        <f t="shared" si="26"/>
        <v>0</v>
      </c>
      <c r="AE100" s="29">
        <f t="shared" si="26"/>
        <v>0</v>
      </c>
      <c r="AF100" s="29">
        <f t="shared" si="26"/>
        <v>0</v>
      </c>
      <c r="AG100" s="29">
        <f t="shared" si="26"/>
        <v>0</v>
      </c>
      <c r="AH100" s="29">
        <f t="shared" si="26"/>
        <v>0</v>
      </c>
      <c r="AI100" s="29">
        <f t="shared" si="26"/>
        <v>0</v>
      </c>
      <c r="AJ100" s="29">
        <f t="shared" si="26"/>
        <v>0</v>
      </c>
      <c r="AK100" s="29">
        <f t="shared" si="26"/>
        <v>0</v>
      </c>
      <c r="AL100" s="29">
        <f t="shared" si="26"/>
        <v>0</v>
      </c>
      <c r="AM100" s="29">
        <f t="shared" si="26"/>
        <v>0</v>
      </c>
      <c r="AN100" s="29">
        <f t="shared" si="26"/>
        <v>0</v>
      </c>
      <c r="AO100" s="29">
        <f t="shared" si="26"/>
        <v>0</v>
      </c>
      <c r="AP100" s="29">
        <f t="shared" si="26"/>
        <v>0</v>
      </c>
      <c r="AQ100" s="29">
        <f t="shared" si="26"/>
        <v>0</v>
      </c>
      <c r="AR100" s="29">
        <f t="shared" si="26"/>
        <v>0</v>
      </c>
      <c r="AS100" s="29">
        <f t="shared" si="26"/>
        <v>0</v>
      </c>
      <c r="AT100" s="29">
        <f t="shared" si="26"/>
        <v>0</v>
      </c>
      <c r="AU100" s="29">
        <f t="shared" si="26"/>
        <v>0</v>
      </c>
      <c r="AV100" s="29">
        <f t="shared" si="26"/>
        <v>0</v>
      </c>
      <c r="AW100" s="29">
        <f t="shared" si="26"/>
        <v>0</v>
      </c>
      <c r="AX100" s="29">
        <f t="shared" si="26"/>
        <v>0</v>
      </c>
      <c r="AY100" s="29">
        <f t="shared" si="26"/>
        <v>0</v>
      </c>
      <c r="AZ100" s="29">
        <f t="shared" si="26"/>
        <v>0</v>
      </c>
      <c r="BA100" s="29">
        <f t="shared" si="26"/>
        <v>0</v>
      </c>
      <c r="BB100" s="29">
        <f t="shared" si="26"/>
        <v>0</v>
      </c>
      <c r="BC100" s="29">
        <f t="shared" si="26"/>
        <v>0</v>
      </c>
      <c r="BD100" s="29">
        <f t="shared" si="26"/>
        <v>0</v>
      </c>
      <c r="BE100" s="29">
        <f t="shared" si="26"/>
        <v>0</v>
      </c>
      <c r="BF100" s="29">
        <f t="shared" si="26"/>
        <v>0</v>
      </c>
      <c r="BG100" s="29">
        <f t="shared" si="26"/>
        <v>0</v>
      </c>
    </row>
    <row r="101" spans="1:61" ht="24.75" customHeight="1">
      <c r="A101" s="122" t="s">
        <v>5</v>
      </c>
      <c r="B101" s="122"/>
      <c r="C101" s="122"/>
      <c r="D101" s="122"/>
      <c r="E101" s="122"/>
      <c r="F101" s="122"/>
      <c r="G101" s="122"/>
      <c r="H101" s="122"/>
      <c r="I101" s="122"/>
      <c r="J101" s="4">
        <f>J71+J82+J91+J100</f>
        <v>4754</v>
      </c>
      <c r="K101" s="4">
        <f>K71+K82+K91+K100</f>
        <v>150</v>
      </c>
      <c r="L101" s="4">
        <f>L71+L82+L91+L100</f>
        <v>250</v>
      </c>
      <c r="M101" s="4">
        <f>M71+M82+M91+M100</f>
        <v>112</v>
      </c>
      <c r="N101" s="33">
        <f>O101/L101</f>
        <v>0.55200000000000005</v>
      </c>
      <c r="O101" s="4">
        <f>O71+O82+O91+O100</f>
        <v>138</v>
      </c>
      <c r="P101" s="31">
        <f>P71+P82+P91+P100</f>
        <v>151</v>
      </c>
      <c r="Q101" s="31">
        <f>Q71+Q82+Q91+Q100</f>
        <v>149</v>
      </c>
      <c r="R101" s="4"/>
      <c r="S101" s="31">
        <f t="shared" ref="S101:BG101" si="27">S71+S82+S91+S100</f>
        <v>7</v>
      </c>
      <c r="T101" s="31">
        <f t="shared" si="27"/>
        <v>10</v>
      </c>
      <c r="U101" s="31">
        <f t="shared" si="27"/>
        <v>13</v>
      </c>
      <c r="V101" s="31">
        <f t="shared" si="27"/>
        <v>0</v>
      </c>
      <c r="W101" s="31">
        <f t="shared" si="27"/>
        <v>0</v>
      </c>
      <c r="X101" s="31">
        <f t="shared" si="27"/>
        <v>2</v>
      </c>
      <c r="Y101" s="31">
        <f t="shared" si="27"/>
        <v>0</v>
      </c>
      <c r="Z101" s="31">
        <f t="shared" si="27"/>
        <v>0</v>
      </c>
      <c r="AA101" s="31">
        <f t="shared" si="27"/>
        <v>0</v>
      </c>
      <c r="AB101" s="31">
        <f t="shared" si="27"/>
        <v>0</v>
      </c>
      <c r="AC101" s="31">
        <f t="shared" si="27"/>
        <v>26</v>
      </c>
      <c r="AD101" s="31">
        <f t="shared" si="27"/>
        <v>0</v>
      </c>
      <c r="AE101" s="31">
        <f t="shared" si="27"/>
        <v>12</v>
      </c>
      <c r="AF101" s="31">
        <f t="shared" si="27"/>
        <v>16</v>
      </c>
      <c r="AG101" s="31">
        <f t="shared" si="27"/>
        <v>7</v>
      </c>
      <c r="AH101" s="31">
        <f t="shared" si="27"/>
        <v>27</v>
      </c>
      <c r="AI101" s="31">
        <f t="shared" si="27"/>
        <v>0</v>
      </c>
      <c r="AJ101" s="31">
        <f t="shared" si="27"/>
        <v>0</v>
      </c>
      <c r="AK101" s="31">
        <f t="shared" si="27"/>
        <v>0</v>
      </c>
      <c r="AL101" s="31">
        <f t="shared" si="27"/>
        <v>18</v>
      </c>
      <c r="AM101" s="31">
        <f t="shared" si="27"/>
        <v>0</v>
      </c>
      <c r="AN101" s="31">
        <f t="shared" si="27"/>
        <v>0</v>
      </c>
      <c r="AO101" s="31">
        <f t="shared" si="27"/>
        <v>0</v>
      </c>
      <c r="AP101" s="31">
        <f t="shared" si="27"/>
        <v>0</v>
      </c>
      <c r="AQ101" s="31">
        <f t="shared" si="27"/>
        <v>0</v>
      </c>
      <c r="AR101" s="31">
        <f t="shared" si="27"/>
        <v>0</v>
      </c>
      <c r="AS101" s="31">
        <f t="shared" si="27"/>
        <v>0</v>
      </c>
      <c r="AT101" s="31">
        <f t="shared" si="27"/>
        <v>0</v>
      </c>
      <c r="AU101" s="31">
        <f t="shared" si="27"/>
        <v>0</v>
      </c>
      <c r="AV101" s="31">
        <f t="shared" si="27"/>
        <v>0</v>
      </c>
      <c r="AW101" s="31">
        <f t="shared" si="27"/>
        <v>0</v>
      </c>
      <c r="AX101" s="31">
        <f t="shared" si="27"/>
        <v>0</v>
      </c>
      <c r="AY101" s="31">
        <f t="shared" si="27"/>
        <v>0</v>
      </c>
      <c r="AZ101" s="31">
        <f t="shared" si="27"/>
        <v>0</v>
      </c>
      <c r="BA101" s="31">
        <f t="shared" si="27"/>
        <v>0</v>
      </c>
      <c r="BB101" s="31">
        <f t="shared" si="27"/>
        <v>0</v>
      </c>
      <c r="BC101" s="31">
        <f t="shared" si="27"/>
        <v>0</v>
      </c>
      <c r="BD101" s="31">
        <f t="shared" si="27"/>
        <v>0</v>
      </c>
      <c r="BE101" s="31">
        <f t="shared" si="27"/>
        <v>0</v>
      </c>
      <c r="BF101" s="31">
        <f t="shared" si="27"/>
        <v>0</v>
      </c>
      <c r="BG101" s="31">
        <f t="shared" si="27"/>
        <v>0</v>
      </c>
    </row>
    <row r="102" spans="1:61" ht="15.6">
      <c r="A102" s="76"/>
      <c r="B102" s="76"/>
      <c r="C102" s="76"/>
      <c r="D102" s="77"/>
      <c r="E102" s="77"/>
      <c r="F102" s="77"/>
      <c r="G102" s="77"/>
      <c r="H102" s="77"/>
      <c r="I102" s="77"/>
      <c r="J102" s="77"/>
    </row>
    <row r="103" spans="1:61" s="25" customFormat="1" ht="20.399999999999999" customHeight="1">
      <c r="A103" s="76" t="s">
        <v>100</v>
      </c>
      <c r="B103" s="76"/>
      <c r="C103" s="76"/>
      <c r="D103" s="77"/>
      <c r="E103" s="77"/>
      <c r="F103" s="77"/>
      <c r="G103" s="77"/>
      <c r="H103" s="77"/>
      <c r="I103" s="77"/>
      <c r="J103" s="77"/>
      <c r="K103" s="35"/>
      <c r="L103" s="35"/>
      <c r="M103" s="35"/>
      <c r="N103" s="35"/>
      <c r="O103" s="35"/>
      <c r="P103" s="35"/>
      <c r="Q103" s="36"/>
      <c r="S103" s="8"/>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row>
    <row r="104" spans="1:61" ht="16.2">
      <c r="A104" s="76" t="s">
        <v>92</v>
      </c>
      <c r="B104" s="76"/>
      <c r="C104" s="76"/>
      <c r="D104" s="77"/>
      <c r="E104" s="77"/>
      <c r="F104" s="77"/>
      <c r="G104" s="77"/>
      <c r="H104" s="77"/>
      <c r="I104" s="77"/>
      <c r="J104" s="77"/>
    </row>
    <row r="105" spans="1:61" ht="16.2">
      <c r="A105" s="76" t="s">
        <v>93</v>
      </c>
      <c r="B105" s="76"/>
      <c r="C105" s="76"/>
      <c r="D105" s="77"/>
      <c r="E105" s="77"/>
      <c r="F105" s="77"/>
      <c r="G105" s="77"/>
      <c r="H105" s="77"/>
      <c r="I105" s="77"/>
      <c r="J105" s="77"/>
    </row>
    <row r="106" spans="1:61" s="25" customFormat="1" ht="18" customHeight="1">
      <c r="A106" s="76" t="s">
        <v>94</v>
      </c>
      <c r="B106" s="76"/>
      <c r="C106" s="76"/>
      <c r="D106" s="77"/>
      <c r="E106" s="77"/>
      <c r="F106" s="77"/>
      <c r="G106" s="77"/>
      <c r="H106" s="77"/>
      <c r="I106" s="77"/>
      <c r="J106" s="77"/>
      <c r="K106" s="1"/>
      <c r="L106" s="1"/>
      <c r="M106" s="1"/>
      <c r="N106" s="1"/>
      <c r="O106" s="1"/>
      <c r="S106" s="8"/>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row>
    <row r="107" spans="1:61" ht="16.2">
      <c r="A107" s="76" t="s">
        <v>101</v>
      </c>
      <c r="B107" s="76"/>
      <c r="C107" s="76"/>
      <c r="D107" s="77"/>
      <c r="E107" s="77"/>
      <c r="F107" s="77"/>
      <c r="G107" s="77"/>
      <c r="H107" s="77"/>
      <c r="I107" s="77"/>
      <c r="J107" s="77"/>
    </row>
    <row r="108" spans="1:61" ht="16.2">
      <c r="A108" s="78" t="s">
        <v>95</v>
      </c>
      <c r="B108" s="76"/>
      <c r="C108" s="76"/>
      <c r="D108" s="77"/>
      <c r="E108" s="77"/>
      <c r="F108" s="77"/>
      <c r="G108" s="77"/>
      <c r="H108" s="77"/>
      <c r="I108" s="77"/>
      <c r="J108" s="77"/>
    </row>
    <row r="109" spans="1:61" ht="16.2">
      <c r="A109" s="78" t="s">
        <v>96</v>
      </c>
      <c r="B109" s="76"/>
      <c r="C109" s="76"/>
      <c r="D109" s="77"/>
      <c r="E109" s="77"/>
      <c r="F109" s="77"/>
      <c r="G109" s="77"/>
      <c r="H109" s="77"/>
      <c r="I109" s="77"/>
      <c r="J109" s="77"/>
    </row>
    <row r="110" spans="1:61" ht="16.2">
      <c r="A110" s="78" t="s">
        <v>102</v>
      </c>
      <c r="B110" s="76"/>
      <c r="C110" s="76"/>
      <c r="D110" s="77"/>
      <c r="E110" s="77"/>
      <c r="F110" s="77"/>
      <c r="G110" s="77"/>
      <c r="H110" s="77"/>
      <c r="I110" s="77"/>
      <c r="J110" s="77"/>
    </row>
    <row r="111" spans="1:61" ht="16.2">
      <c r="A111" s="78" t="s">
        <v>97</v>
      </c>
      <c r="B111" s="76"/>
      <c r="C111" s="76"/>
      <c r="D111" s="77"/>
      <c r="E111" s="77"/>
      <c r="F111" s="77"/>
      <c r="G111" s="77"/>
      <c r="H111" s="77"/>
      <c r="I111" s="77"/>
      <c r="J111" s="77"/>
    </row>
    <row r="112" spans="1:61" ht="16.2">
      <c r="A112" s="78" t="s">
        <v>98</v>
      </c>
      <c r="B112" s="76"/>
      <c r="C112" s="76"/>
      <c r="D112" s="77"/>
      <c r="E112" s="77"/>
      <c r="F112" s="77"/>
      <c r="G112" s="77"/>
      <c r="H112" s="77"/>
      <c r="I112" s="77"/>
      <c r="J112" s="77"/>
    </row>
    <row r="113" spans="1:10" ht="16.2">
      <c r="A113" s="78" t="s">
        <v>103</v>
      </c>
      <c r="B113" s="76"/>
      <c r="C113" s="76"/>
      <c r="D113" s="77"/>
      <c r="E113" s="77"/>
      <c r="F113" s="77"/>
      <c r="G113" s="77"/>
      <c r="H113" s="77"/>
      <c r="I113" s="77"/>
      <c r="J113" s="77"/>
    </row>
    <row r="114" spans="1:10" ht="16.2">
      <c r="A114" s="78" t="s">
        <v>99</v>
      </c>
      <c r="B114" s="76"/>
      <c r="C114" s="76"/>
      <c r="D114" s="77"/>
      <c r="E114" s="77"/>
      <c r="F114" s="77"/>
      <c r="G114" s="77"/>
      <c r="H114" s="77"/>
      <c r="I114" s="77"/>
      <c r="J114" s="77"/>
    </row>
    <row r="115" spans="1:10" ht="16.2">
      <c r="A115" s="78" t="s">
        <v>104</v>
      </c>
      <c r="B115" s="76"/>
      <c r="C115" s="76"/>
      <c r="D115" s="77"/>
      <c r="E115" s="77"/>
      <c r="F115" s="77"/>
      <c r="G115" s="77"/>
      <c r="H115" s="77"/>
      <c r="I115" s="77"/>
      <c r="J115" s="77"/>
    </row>
    <row r="116" spans="1:10" ht="22.2" customHeight="1">
      <c r="A116" s="177" t="s">
        <v>105</v>
      </c>
      <c r="B116" s="177"/>
      <c r="C116" s="177"/>
      <c r="D116" s="177"/>
      <c r="E116" s="177"/>
      <c r="F116" s="177"/>
      <c r="G116" s="177"/>
      <c r="H116" s="177"/>
      <c r="I116" s="177"/>
      <c r="J116" s="177"/>
    </row>
    <row r="117" spans="1:10" ht="15.6">
      <c r="A117" s="76"/>
      <c r="B117" s="76"/>
      <c r="C117" s="76"/>
      <c r="D117" s="77"/>
      <c r="E117" s="77"/>
      <c r="F117" s="77"/>
      <c r="G117" s="77"/>
      <c r="H117" s="77"/>
      <c r="I117" s="77"/>
      <c r="J117" s="77"/>
    </row>
    <row r="118" spans="1:10" ht="15.6">
      <c r="A118" s="76"/>
      <c r="B118" s="76"/>
      <c r="C118" s="76"/>
      <c r="D118" s="77"/>
      <c r="E118" s="77"/>
      <c r="F118" s="77"/>
      <c r="G118" s="77"/>
      <c r="H118" s="77"/>
      <c r="I118" s="77"/>
      <c r="J118" s="77"/>
    </row>
  </sheetData>
  <mergeCells count="2365">
    <mergeCell ref="A116:J116"/>
    <mergeCell ref="AM3:AM4"/>
    <mergeCell ref="AN3:AN4"/>
    <mergeCell ref="AC3:AC4"/>
    <mergeCell ref="AD3:AD4"/>
    <mergeCell ref="AE3:AE4"/>
    <mergeCell ref="AF3:AF4"/>
    <mergeCell ref="AG3:AG4"/>
    <mergeCell ref="AH3:AH4"/>
    <mergeCell ref="W3:W4"/>
    <mergeCell ref="X3:X4"/>
    <mergeCell ref="Y3:Y4"/>
    <mergeCell ref="Z3:Z4"/>
    <mergeCell ref="AA3:AA4"/>
    <mergeCell ref="AB3:AB4"/>
    <mergeCell ref="A1:O1"/>
    <mergeCell ref="A2:O2"/>
    <mergeCell ref="S3:S4"/>
    <mergeCell ref="T3:T4"/>
    <mergeCell ref="U3:U4"/>
    <mergeCell ref="V3:V4"/>
    <mergeCell ref="AK5:AK6"/>
    <mergeCell ref="AL5:AL6"/>
    <mergeCell ref="AA5:AA6"/>
    <mergeCell ref="AB5:AB6"/>
    <mergeCell ref="AC5:AC6"/>
    <mergeCell ref="AD5:AD6"/>
    <mergeCell ref="AE5:AE6"/>
    <mergeCell ref="AF5:AF6"/>
    <mergeCell ref="U5:U6"/>
    <mergeCell ref="V5:V6"/>
    <mergeCell ref="W5:W6"/>
    <mergeCell ref="BG3:BG4"/>
    <mergeCell ref="A5:A6"/>
    <mergeCell ref="B5:B6"/>
    <mergeCell ref="C5:C6"/>
    <mergeCell ref="D5:D6"/>
    <mergeCell ref="E5:E6"/>
    <mergeCell ref="F5:F6"/>
    <mergeCell ref="G5:G6"/>
    <mergeCell ref="H5:H6"/>
    <mergeCell ref="I5:I6"/>
    <mergeCell ref="BA3:BA4"/>
    <mergeCell ref="BB3:BB4"/>
    <mergeCell ref="BC3:BC4"/>
    <mergeCell ref="BD3:BD4"/>
    <mergeCell ref="BE3:BE4"/>
    <mergeCell ref="BF3:BF4"/>
    <mergeCell ref="AU3:AU4"/>
    <mergeCell ref="AV3:AV4"/>
    <mergeCell ref="AW3:AW4"/>
    <mergeCell ref="AX3:AX4"/>
    <mergeCell ref="AY3:AY4"/>
    <mergeCell ref="AZ3:AZ4"/>
    <mergeCell ref="AO3:AO4"/>
    <mergeCell ref="AP3:AP4"/>
    <mergeCell ref="AQ3:AQ4"/>
    <mergeCell ref="AR3:AR4"/>
    <mergeCell ref="AS3:AS4"/>
    <mergeCell ref="AT3:AT4"/>
    <mergeCell ref="AI3:AI4"/>
    <mergeCell ref="AJ3:AJ4"/>
    <mergeCell ref="AK3:AK4"/>
    <mergeCell ref="AL3:AL4"/>
    <mergeCell ref="X5:X6"/>
    <mergeCell ref="Y5:Y6"/>
    <mergeCell ref="Z5:Z6"/>
    <mergeCell ref="J5:J6"/>
    <mergeCell ref="N5:N6"/>
    <mergeCell ref="Q5:Q6"/>
    <mergeCell ref="R5:R6"/>
    <mergeCell ref="S5:S6"/>
    <mergeCell ref="T5:T6"/>
    <mergeCell ref="BE5:BE6"/>
    <mergeCell ref="BF5:BF6"/>
    <mergeCell ref="BG5:BG6"/>
    <mergeCell ref="A7:A8"/>
    <mergeCell ref="B7:B8"/>
    <mergeCell ref="C7:C8"/>
    <mergeCell ref="D7:D8"/>
    <mergeCell ref="E7:E8"/>
    <mergeCell ref="F7:F8"/>
    <mergeCell ref="G7:G8"/>
    <mergeCell ref="AY5:AY6"/>
    <mergeCell ref="AZ5:AZ6"/>
    <mergeCell ref="BA5:BA6"/>
    <mergeCell ref="BB5:BB6"/>
    <mergeCell ref="BC5:BC6"/>
    <mergeCell ref="BD5:BD6"/>
    <mergeCell ref="AS5:AS6"/>
    <mergeCell ref="AT5:AT6"/>
    <mergeCell ref="AU5:AU6"/>
    <mergeCell ref="AV5:AV6"/>
    <mergeCell ref="AW5:AW6"/>
    <mergeCell ref="AX5:AX6"/>
    <mergeCell ref="AM5:AM6"/>
    <mergeCell ref="A9:A10"/>
    <mergeCell ref="B9:B10"/>
    <mergeCell ref="C9:C10"/>
    <mergeCell ref="D9:D10"/>
    <mergeCell ref="E9:E10"/>
    <mergeCell ref="AW7:AW8"/>
    <mergeCell ref="AX7:AX8"/>
    <mergeCell ref="AY7:AY8"/>
    <mergeCell ref="Y7:Y8"/>
    <mergeCell ref="Z7:Z8"/>
    <mergeCell ref="AA7:AA8"/>
    <mergeCell ref="Q9:Q10"/>
    <mergeCell ref="R9:R10"/>
    <mergeCell ref="S9:S10"/>
    <mergeCell ref="T9:T10"/>
    <mergeCell ref="U9:U10"/>
    <mergeCell ref="V9:V10"/>
    <mergeCell ref="F9:F10"/>
    <mergeCell ref="G9:G10"/>
    <mergeCell ref="H9:H10"/>
    <mergeCell ref="I9:I10"/>
    <mergeCell ref="J9:J10"/>
    <mergeCell ref="N9:N10"/>
    <mergeCell ref="AN7:AN8"/>
    <mergeCell ref="AO7:AO8"/>
    <mergeCell ref="AP7:AP8"/>
    <mergeCell ref="AE7:AE8"/>
    <mergeCell ref="AF7:AF8"/>
    <mergeCell ref="AG7:AG8"/>
    <mergeCell ref="AH7:AH8"/>
    <mergeCell ref="AI7:AI8"/>
    <mergeCell ref="AJ7:AJ8"/>
    <mergeCell ref="AN5:AN6"/>
    <mergeCell ref="AO5:AO6"/>
    <mergeCell ref="AP5:AP6"/>
    <mergeCell ref="AQ5:AQ6"/>
    <mergeCell ref="AR5:AR6"/>
    <mergeCell ref="AG5:AG6"/>
    <mergeCell ref="AH5:AH6"/>
    <mergeCell ref="AI5:AI6"/>
    <mergeCell ref="AJ5:AJ6"/>
    <mergeCell ref="BC7:BC8"/>
    <mergeCell ref="BD7:BD8"/>
    <mergeCell ref="BE7:BE8"/>
    <mergeCell ref="BF7:BF8"/>
    <mergeCell ref="BG7:BG8"/>
    <mergeCell ref="AB7:AB8"/>
    <mergeCell ref="AC7:AC8"/>
    <mergeCell ref="AD7:AD8"/>
    <mergeCell ref="S7:S8"/>
    <mergeCell ref="T7:T8"/>
    <mergeCell ref="U7:U8"/>
    <mergeCell ref="V7:V8"/>
    <mergeCell ref="W7:W8"/>
    <mergeCell ref="X7:X8"/>
    <mergeCell ref="H7:H8"/>
    <mergeCell ref="I7:I8"/>
    <mergeCell ref="J7:J8"/>
    <mergeCell ref="N7:N8"/>
    <mergeCell ref="Q7:Q8"/>
    <mergeCell ref="R7:R8"/>
    <mergeCell ref="AZ7:AZ8"/>
    <mergeCell ref="BA7:BA8"/>
    <mergeCell ref="BB7:BB8"/>
    <mergeCell ref="AQ7:AQ8"/>
    <mergeCell ref="AR7:AR8"/>
    <mergeCell ref="AS7:AS8"/>
    <mergeCell ref="AT7:AT8"/>
    <mergeCell ref="AU7:AU8"/>
    <mergeCell ref="AV7:AV8"/>
    <mergeCell ref="AK7:AK8"/>
    <mergeCell ref="AL7:AL8"/>
    <mergeCell ref="AM7:AM8"/>
    <mergeCell ref="AS9:AS10"/>
    <mergeCell ref="AT9:AT10"/>
    <mergeCell ref="AI9:AI10"/>
    <mergeCell ref="AJ9:AJ10"/>
    <mergeCell ref="AK9:AK10"/>
    <mergeCell ref="AL9:AL10"/>
    <mergeCell ref="AM9:AM10"/>
    <mergeCell ref="AN9:AN10"/>
    <mergeCell ref="AC9:AC10"/>
    <mergeCell ref="AD9:AD10"/>
    <mergeCell ref="AE9:AE10"/>
    <mergeCell ref="AF9:AF10"/>
    <mergeCell ref="AG9:AG10"/>
    <mergeCell ref="AH9:AH10"/>
    <mergeCell ref="W9:W10"/>
    <mergeCell ref="X9:X10"/>
    <mergeCell ref="Y9:Y10"/>
    <mergeCell ref="Z9:Z10"/>
    <mergeCell ref="AA9:AA10"/>
    <mergeCell ref="AB9:AB10"/>
    <mergeCell ref="J11:J12"/>
    <mergeCell ref="N11:N12"/>
    <mergeCell ref="Q11:Q12"/>
    <mergeCell ref="R11:R12"/>
    <mergeCell ref="S11:S12"/>
    <mergeCell ref="T11:T12"/>
    <mergeCell ref="BG9:BG10"/>
    <mergeCell ref="A11:A12"/>
    <mergeCell ref="B11:B12"/>
    <mergeCell ref="C11:C12"/>
    <mergeCell ref="D11:D12"/>
    <mergeCell ref="E11:E12"/>
    <mergeCell ref="F11:F12"/>
    <mergeCell ref="G11:G12"/>
    <mergeCell ref="H11:H12"/>
    <mergeCell ref="I11:I12"/>
    <mergeCell ref="BA9:BA10"/>
    <mergeCell ref="BB9:BB10"/>
    <mergeCell ref="BC9:BC10"/>
    <mergeCell ref="BD9:BD10"/>
    <mergeCell ref="BE9:BE10"/>
    <mergeCell ref="BF9:BF10"/>
    <mergeCell ref="AU9:AU10"/>
    <mergeCell ref="AV9:AV10"/>
    <mergeCell ref="AW9:AW10"/>
    <mergeCell ref="AX9:AX10"/>
    <mergeCell ref="AY9:AY10"/>
    <mergeCell ref="AZ9:AZ10"/>
    <mergeCell ref="AO9:AO10"/>
    <mergeCell ref="AP9:AP10"/>
    <mergeCell ref="AQ9:AQ10"/>
    <mergeCell ref="AR9:AR10"/>
    <mergeCell ref="AQ11:AQ12"/>
    <mergeCell ref="AR11:AR12"/>
    <mergeCell ref="AG11:AG12"/>
    <mergeCell ref="AH11:AH12"/>
    <mergeCell ref="AI11:AI12"/>
    <mergeCell ref="AJ11:AJ12"/>
    <mergeCell ref="AK11:AK12"/>
    <mergeCell ref="AL11:AL12"/>
    <mergeCell ref="AA11:AA12"/>
    <mergeCell ref="AB11:AB12"/>
    <mergeCell ref="AC11:AC12"/>
    <mergeCell ref="AD11:AD12"/>
    <mergeCell ref="AE11:AE12"/>
    <mergeCell ref="AF11:AF12"/>
    <mergeCell ref="U11:U12"/>
    <mergeCell ref="V11:V12"/>
    <mergeCell ref="W11:W12"/>
    <mergeCell ref="X11:X12"/>
    <mergeCell ref="Y11:Y12"/>
    <mergeCell ref="Z11:Z12"/>
    <mergeCell ref="H13:H14"/>
    <mergeCell ref="I13:I14"/>
    <mergeCell ref="J13:J14"/>
    <mergeCell ref="N13:N14"/>
    <mergeCell ref="Q13:Q14"/>
    <mergeCell ref="R13:R14"/>
    <mergeCell ref="BE11:BE12"/>
    <mergeCell ref="BF11:BF12"/>
    <mergeCell ref="BG11:BG12"/>
    <mergeCell ref="A13:A14"/>
    <mergeCell ref="B13:B14"/>
    <mergeCell ref="C13:C14"/>
    <mergeCell ref="D13:D14"/>
    <mergeCell ref="E13:E14"/>
    <mergeCell ref="F13:F14"/>
    <mergeCell ref="G13:G14"/>
    <mergeCell ref="AY11:AY12"/>
    <mergeCell ref="AZ11:AZ12"/>
    <mergeCell ref="BA11:BA12"/>
    <mergeCell ref="BB11:BB12"/>
    <mergeCell ref="BC11:BC12"/>
    <mergeCell ref="BD11:BD12"/>
    <mergeCell ref="AS11:AS12"/>
    <mergeCell ref="AT11:AT12"/>
    <mergeCell ref="AU11:AU12"/>
    <mergeCell ref="AV11:AV12"/>
    <mergeCell ref="AW11:AW12"/>
    <mergeCell ref="AX11:AX12"/>
    <mergeCell ref="AM11:AM12"/>
    <mergeCell ref="AN11:AN12"/>
    <mergeCell ref="AO11:AO12"/>
    <mergeCell ref="AP11:AP12"/>
    <mergeCell ref="AO13:AO14"/>
    <mergeCell ref="AP13:AP14"/>
    <mergeCell ref="AE13:AE14"/>
    <mergeCell ref="AF13:AF14"/>
    <mergeCell ref="AG13:AG14"/>
    <mergeCell ref="AH13:AH14"/>
    <mergeCell ref="AI13:AI14"/>
    <mergeCell ref="AJ13:AJ14"/>
    <mergeCell ref="Y13:Y14"/>
    <mergeCell ref="Z13:Z14"/>
    <mergeCell ref="AA13:AA14"/>
    <mergeCell ref="AB13:AB14"/>
    <mergeCell ref="AC13:AC14"/>
    <mergeCell ref="AD13:AD14"/>
    <mergeCell ref="S13:S14"/>
    <mergeCell ref="T13:T14"/>
    <mergeCell ref="U13:U14"/>
    <mergeCell ref="V13:V14"/>
    <mergeCell ref="W13:W14"/>
    <mergeCell ref="X13:X14"/>
    <mergeCell ref="F15:F16"/>
    <mergeCell ref="G15:G16"/>
    <mergeCell ref="H15:H16"/>
    <mergeCell ref="I15:I16"/>
    <mergeCell ref="J15:J16"/>
    <mergeCell ref="N15:N16"/>
    <mergeCell ref="BC13:BC14"/>
    <mergeCell ref="BD13:BD14"/>
    <mergeCell ref="BE13:BE14"/>
    <mergeCell ref="BF13:BF14"/>
    <mergeCell ref="BG13:BG14"/>
    <mergeCell ref="A15:A16"/>
    <mergeCell ref="B15:B16"/>
    <mergeCell ref="C15:C16"/>
    <mergeCell ref="D15:D16"/>
    <mergeCell ref="E15:E16"/>
    <mergeCell ref="AW13:AW14"/>
    <mergeCell ref="AX13:AX14"/>
    <mergeCell ref="AY13:AY14"/>
    <mergeCell ref="AZ13:AZ14"/>
    <mergeCell ref="BA13:BA14"/>
    <mergeCell ref="BB13:BB14"/>
    <mergeCell ref="AQ13:AQ14"/>
    <mergeCell ref="AR13:AR14"/>
    <mergeCell ref="AS13:AS14"/>
    <mergeCell ref="AT13:AT14"/>
    <mergeCell ref="AU13:AU14"/>
    <mergeCell ref="AV13:AV14"/>
    <mergeCell ref="AK13:AK14"/>
    <mergeCell ref="AL13:AL14"/>
    <mergeCell ref="AM13:AM14"/>
    <mergeCell ref="AN13:AN14"/>
    <mergeCell ref="AM15:AM16"/>
    <mergeCell ref="AN15:AN16"/>
    <mergeCell ref="AC15:AC16"/>
    <mergeCell ref="AD15:AD16"/>
    <mergeCell ref="AE15:AE16"/>
    <mergeCell ref="AF15:AF16"/>
    <mergeCell ref="AG15:AG16"/>
    <mergeCell ref="AH15:AH16"/>
    <mergeCell ref="W15:W16"/>
    <mergeCell ref="X15:X16"/>
    <mergeCell ref="Y15:Y16"/>
    <mergeCell ref="Z15:Z16"/>
    <mergeCell ref="AA15:AA16"/>
    <mergeCell ref="AB15:AB16"/>
    <mergeCell ref="Q15:Q16"/>
    <mergeCell ref="R15:R16"/>
    <mergeCell ref="S15:S16"/>
    <mergeCell ref="T15:T16"/>
    <mergeCell ref="U15:U16"/>
    <mergeCell ref="V15:V16"/>
    <mergeCell ref="BG15:BG16"/>
    <mergeCell ref="A17:A18"/>
    <mergeCell ref="B17:B18"/>
    <mergeCell ref="C17:C18"/>
    <mergeCell ref="D17:D18"/>
    <mergeCell ref="E17:E18"/>
    <mergeCell ref="F17:F18"/>
    <mergeCell ref="G17:G18"/>
    <mergeCell ref="H17:H18"/>
    <mergeCell ref="I17:I18"/>
    <mergeCell ref="BA15:BA16"/>
    <mergeCell ref="BB15:BB16"/>
    <mergeCell ref="BC15:BC16"/>
    <mergeCell ref="BD15:BD16"/>
    <mergeCell ref="BE15:BE16"/>
    <mergeCell ref="BF15:BF16"/>
    <mergeCell ref="AU15:AU16"/>
    <mergeCell ref="AV15:AV16"/>
    <mergeCell ref="AW15:AW16"/>
    <mergeCell ref="AX15:AX16"/>
    <mergeCell ref="AY15:AY16"/>
    <mergeCell ref="AZ15:AZ16"/>
    <mergeCell ref="AO15:AO16"/>
    <mergeCell ref="AP15:AP16"/>
    <mergeCell ref="AQ15:AQ16"/>
    <mergeCell ref="AR15:AR16"/>
    <mergeCell ref="AS15:AS16"/>
    <mergeCell ref="AT15:AT16"/>
    <mergeCell ref="AI15:AI16"/>
    <mergeCell ref="AJ15:AJ16"/>
    <mergeCell ref="AK15:AK16"/>
    <mergeCell ref="AL15:AL16"/>
    <mergeCell ref="AK17:AK18"/>
    <mergeCell ref="AL17:AL18"/>
    <mergeCell ref="AA17:AA18"/>
    <mergeCell ref="AB17:AB18"/>
    <mergeCell ref="AC17:AC18"/>
    <mergeCell ref="AD17:AD18"/>
    <mergeCell ref="AE17:AE18"/>
    <mergeCell ref="AF17:AF18"/>
    <mergeCell ref="U17:U18"/>
    <mergeCell ref="V17:V18"/>
    <mergeCell ref="W17:W18"/>
    <mergeCell ref="X17:X18"/>
    <mergeCell ref="Y17:Y18"/>
    <mergeCell ref="Z17:Z18"/>
    <mergeCell ref="J17:J18"/>
    <mergeCell ref="N17:N18"/>
    <mergeCell ref="Q17:Q18"/>
    <mergeCell ref="R17:R18"/>
    <mergeCell ref="S17:S18"/>
    <mergeCell ref="T17:T18"/>
    <mergeCell ref="BE17:BE18"/>
    <mergeCell ref="BF17:BF18"/>
    <mergeCell ref="BG17:BG18"/>
    <mergeCell ref="A19:A20"/>
    <mergeCell ref="B19:B20"/>
    <mergeCell ref="C19:C20"/>
    <mergeCell ref="D19:D20"/>
    <mergeCell ref="E19:E20"/>
    <mergeCell ref="F19:F20"/>
    <mergeCell ref="G19:G20"/>
    <mergeCell ref="AY17:AY18"/>
    <mergeCell ref="AZ17:AZ18"/>
    <mergeCell ref="BA17:BA18"/>
    <mergeCell ref="BB17:BB18"/>
    <mergeCell ref="BC17:BC18"/>
    <mergeCell ref="BD17:BD18"/>
    <mergeCell ref="AS17:AS18"/>
    <mergeCell ref="AT17:AT18"/>
    <mergeCell ref="AU17:AU18"/>
    <mergeCell ref="AV17:AV18"/>
    <mergeCell ref="AW17:AW18"/>
    <mergeCell ref="AX17:AX18"/>
    <mergeCell ref="AM17:AM18"/>
    <mergeCell ref="AN17:AN18"/>
    <mergeCell ref="AO17:AO18"/>
    <mergeCell ref="AP17:AP18"/>
    <mergeCell ref="AQ17:AQ18"/>
    <mergeCell ref="AR17:AR18"/>
    <mergeCell ref="AG17:AG18"/>
    <mergeCell ref="AH17:AH18"/>
    <mergeCell ref="AI17:AI18"/>
    <mergeCell ref="AJ17:AJ18"/>
    <mergeCell ref="A21:A22"/>
    <mergeCell ref="B21:B22"/>
    <mergeCell ref="C21:C22"/>
    <mergeCell ref="D21:D22"/>
    <mergeCell ref="E21:E22"/>
    <mergeCell ref="AW19:AW20"/>
    <mergeCell ref="AX19:AX20"/>
    <mergeCell ref="AY19:AY20"/>
    <mergeCell ref="AZ19:AZ20"/>
    <mergeCell ref="BA19:BA20"/>
    <mergeCell ref="BB19:BB20"/>
    <mergeCell ref="AQ19:AQ20"/>
    <mergeCell ref="AR19:AR20"/>
    <mergeCell ref="AS19:AS20"/>
    <mergeCell ref="AT19:AT20"/>
    <mergeCell ref="AU19:AU20"/>
    <mergeCell ref="AV19:AV20"/>
    <mergeCell ref="AK19:AK20"/>
    <mergeCell ref="AL19:AL20"/>
    <mergeCell ref="AM19:AM20"/>
    <mergeCell ref="AN19:AN20"/>
    <mergeCell ref="AO19:AO20"/>
    <mergeCell ref="AP19:AP20"/>
    <mergeCell ref="AE19:AE20"/>
    <mergeCell ref="AF19:AF20"/>
    <mergeCell ref="AG19:AG20"/>
    <mergeCell ref="AH19:AH20"/>
    <mergeCell ref="AI19:AI20"/>
    <mergeCell ref="AJ19:AJ20"/>
    <mergeCell ref="Y19:Y20"/>
    <mergeCell ref="Z19:Z20"/>
    <mergeCell ref="AA19:AA20"/>
    <mergeCell ref="Q21:Q22"/>
    <mergeCell ref="R21:R22"/>
    <mergeCell ref="S21:S22"/>
    <mergeCell ref="T21:T22"/>
    <mergeCell ref="U21:U22"/>
    <mergeCell ref="V21:V22"/>
    <mergeCell ref="F21:F22"/>
    <mergeCell ref="G21:G22"/>
    <mergeCell ref="H21:H22"/>
    <mergeCell ref="I21:I22"/>
    <mergeCell ref="J21:J22"/>
    <mergeCell ref="N21:N22"/>
    <mergeCell ref="BC19:BC20"/>
    <mergeCell ref="BD19:BD20"/>
    <mergeCell ref="BE19:BE20"/>
    <mergeCell ref="BF19:BF20"/>
    <mergeCell ref="BG19:BG20"/>
    <mergeCell ref="AB19:AB20"/>
    <mergeCell ref="AC19:AC20"/>
    <mergeCell ref="AD19:AD20"/>
    <mergeCell ref="S19:S20"/>
    <mergeCell ref="T19:T20"/>
    <mergeCell ref="U19:U20"/>
    <mergeCell ref="V19:V20"/>
    <mergeCell ref="W19:W20"/>
    <mergeCell ref="X19:X20"/>
    <mergeCell ref="H19:H20"/>
    <mergeCell ref="I19:I20"/>
    <mergeCell ref="J19:J20"/>
    <mergeCell ref="N19:N20"/>
    <mergeCell ref="Q19:Q20"/>
    <mergeCell ref="R19:R20"/>
    <mergeCell ref="AS21:AS22"/>
    <mergeCell ref="AT21:AT22"/>
    <mergeCell ref="AI21:AI22"/>
    <mergeCell ref="AJ21:AJ22"/>
    <mergeCell ref="AK21:AK22"/>
    <mergeCell ref="AL21:AL22"/>
    <mergeCell ref="AM21:AM22"/>
    <mergeCell ref="AN21:AN22"/>
    <mergeCell ref="AC21:AC22"/>
    <mergeCell ref="AD21:AD22"/>
    <mergeCell ref="AE21:AE22"/>
    <mergeCell ref="AF21:AF22"/>
    <mergeCell ref="AG21:AG22"/>
    <mergeCell ref="AH21:AH22"/>
    <mergeCell ref="W21:W22"/>
    <mergeCell ref="X21:X22"/>
    <mergeCell ref="Y21:Y22"/>
    <mergeCell ref="Z21:Z22"/>
    <mergeCell ref="AA21:AA22"/>
    <mergeCell ref="AB21:AB22"/>
    <mergeCell ref="J23:J24"/>
    <mergeCell ref="N23:N24"/>
    <mergeCell ref="Q23:Q24"/>
    <mergeCell ref="R23:R24"/>
    <mergeCell ref="S23:S24"/>
    <mergeCell ref="T23:T24"/>
    <mergeCell ref="BG21:BG22"/>
    <mergeCell ref="A23:A24"/>
    <mergeCell ref="B23:B24"/>
    <mergeCell ref="C23:C24"/>
    <mergeCell ref="D23:D24"/>
    <mergeCell ref="E23:E24"/>
    <mergeCell ref="F23:F24"/>
    <mergeCell ref="G23:G24"/>
    <mergeCell ref="H23:H24"/>
    <mergeCell ref="I23:I24"/>
    <mergeCell ref="BA21:BA22"/>
    <mergeCell ref="BB21:BB22"/>
    <mergeCell ref="BC21:BC22"/>
    <mergeCell ref="BD21:BD22"/>
    <mergeCell ref="BE21:BE22"/>
    <mergeCell ref="BF21:BF22"/>
    <mergeCell ref="AU21:AU22"/>
    <mergeCell ref="AV21:AV22"/>
    <mergeCell ref="AW21:AW22"/>
    <mergeCell ref="AX21:AX22"/>
    <mergeCell ref="AY21:AY22"/>
    <mergeCell ref="AZ21:AZ22"/>
    <mergeCell ref="AO21:AO22"/>
    <mergeCell ref="AP21:AP22"/>
    <mergeCell ref="AQ21:AQ22"/>
    <mergeCell ref="AR21:AR22"/>
    <mergeCell ref="AQ23:AQ24"/>
    <mergeCell ref="AR23:AR24"/>
    <mergeCell ref="AG23:AG24"/>
    <mergeCell ref="AH23:AH24"/>
    <mergeCell ref="AI23:AI24"/>
    <mergeCell ref="AJ23:AJ24"/>
    <mergeCell ref="AK23:AK24"/>
    <mergeCell ref="AL23:AL24"/>
    <mergeCell ref="AA23:AA24"/>
    <mergeCell ref="AB23:AB24"/>
    <mergeCell ref="AC23:AC24"/>
    <mergeCell ref="AD23:AD24"/>
    <mergeCell ref="AE23:AE24"/>
    <mergeCell ref="AF23:AF24"/>
    <mergeCell ref="U23:U24"/>
    <mergeCell ref="V23:V24"/>
    <mergeCell ref="W23:W24"/>
    <mergeCell ref="X23:X24"/>
    <mergeCell ref="Y23:Y24"/>
    <mergeCell ref="Z23:Z24"/>
    <mergeCell ref="H25:H26"/>
    <mergeCell ref="I25:I26"/>
    <mergeCell ref="J25:J26"/>
    <mergeCell ref="N25:N26"/>
    <mergeCell ref="Q25:Q26"/>
    <mergeCell ref="R25:R26"/>
    <mergeCell ref="BE23:BE24"/>
    <mergeCell ref="BF23:BF24"/>
    <mergeCell ref="BG23:BG24"/>
    <mergeCell ref="A25:A26"/>
    <mergeCell ref="B25:B26"/>
    <mergeCell ref="C25:C26"/>
    <mergeCell ref="D25:D26"/>
    <mergeCell ref="E25:E26"/>
    <mergeCell ref="F25:F26"/>
    <mergeCell ref="G25:G26"/>
    <mergeCell ref="AY23:AY24"/>
    <mergeCell ref="AZ23:AZ24"/>
    <mergeCell ref="BA23:BA24"/>
    <mergeCell ref="BB23:BB24"/>
    <mergeCell ref="BC23:BC24"/>
    <mergeCell ref="BD23:BD24"/>
    <mergeCell ref="AS23:AS24"/>
    <mergeCell ref="AT23:AT24"/>
    <mergeCell ref="AU23:AU24"/>
    <mergeCell ref="AV23:AV24"/>
    <mergeCell ref="AW23:AW24"/>
    <mergeCell ref="AX23:AX24"/>
    <mergeCell ref="AM23:AM24"/>
    <mergeCell ref="AN23:AN24"/>
    <mergeCell ref="AO23:AO24"/>
    <mergeCell ref="AP23:AP24"/>
    <mergeCell ref="AO25:AO26"/>
    <mergeCell ref="AP25:AP26"/>
    <mergeCell ref="AE25:AE26"/>
    <mergeCell ref="AF25:AF26"/>
    <mergeCell ref="AG25:AG26"/>
    <mergeCell ref="AH25:AH26"/>
    <mergeCell ref="AI25:AI26"/>
    <mergeCell ref="AJ25:AJ26"/>
    <mergeCell ref="Y25:Y26"/>
    <mergeCell ref="Z25:Z26"/>
    <mergeCell ref="AA25:AA26"/>
    <mergeCell ref="AB25:AB26"/>
    <mergeCell ref="AC25:AC26"/>
    <mergeCell ref="AD25:AD26"/>
    <mergeCell ref="S25:S26"/>
    <mergeCell ref="T25:T26"/>
    <mergeCell ref="U25:U26"/>
    <mergeCell ref="V25:V26"/>
    <mergeCell ref="W25:W26"/>
    <mergeCell ref="X25:X26"/>
    <mergeCell ref="F27:F28"/>
    <mergeCell ref="G27:G28"/>
    <mergeCell ref="H27:H28"/>
    <mergeCell ref="I27:I28"/>
    <mergeCell ref="J27:J28"/>
    <mergeCell ref="N27:N28"/>
    <mergeCell ref="BC25:BC26"/>
    <mergeCell ref="BD25:BD26"/>
    <mergeCell ref="BE25:BE26"/>
    <mergeCell ref="BF25:BF26"/>
    <mergeCell ref="BG25:BG26"/>
    <mergeCell ref="A27:A28"/>
    <mergeCell ref="B27:B28"/>
    <mergeCell ref="C27:C28"/>
    <mergeCell ref="D27:D28"/>
    <mergeCell ref="E27:E28"/>
    <mergeCell ref="AW25:AW26"/>
    <mergeCell ref="AX25:AX26"/>
    <mergeCell ref="AY25:AY26"/>
    <mergeCell ref="AZ25:AZ26"/>
    <mergeCell ref="BA25:BA26"/>
    <mergeCell ref="BB25:BB26"/>
    <mergeCell ref="AQ25:AQ26"/>
    <mergeCell ref="AR25:AR26"/>
    <mergeCell ref="AS25:AS26"/>
    <mergeCell ref="AT25:AT26"/>
    <mergeCell ref="AU25:AU26"/>
    <mergeCell ref="AV25:AV26"/>
    <mergeCell ref="AK25:AK26"/>
    <mergeCell ref="AL25:AL26"/>
    <mergeCell ref="AM25:AM26"/>
    <mergeCell ref="AN25:AN26"/>
    <mergeCell ref="AM27:AM28"/>
    <mergeCell ref="AN27:AN28"/>
    <mergeCell ref="AC27:AC28"/>
    <mergeCell ref="AD27:AD28"/>
    <mergeCell ref="AE27:AE28"/>
    <mergeCell ref="AF27:AF28"/>
    <mergeCell ref="AG27:AG28"/>
    <mergeCell ref="AH27:AH28"/>
    <mergeCell ref="W27:W28"/>
    <mergeCell ref="X27:X28"/>
    <mergeCell ref="Y27:Y28"/>
    <mergeCell ref="Z27:Z28"/>
    <mergeCell ref="AA27:AA28"/>
    <mergeCell ref="AB27:AB28"/>
    <mergeCell ref="Q27:Q28"/>
    <mergeCell ref="R27:R28"/>
    <mergeCell ref="S27:S28"/>
    <mergeCell ref="T27:T28"/>
    <mergeCell ref="U27:U28"/>
    <mergeCell ref="V27:V28"/>
    <mergeCell ref="BG27:BG28"/>
    <mergeCell ref="A29:A30"/>
    <mergeCell ref="B29:B30"/>
    <mergeCell ref="C29:C30"/>
    <mergeCell ref="D29:D30"/>
    <mergeCell ref="E29:E30"/>
    <mergeCell ref="F29:F30"/>
    <mergeCell ref="G29:G30"/>
    <mergeCell ref="H29:H30"/>
    <mergeCell ref="I29:I30"/>
    <mergeCell ref="BA27:BA28"/>
    <mergeCell ref="BB27:BB28"/>
    <mergeCell ref="BC27:BC28"/>
    <mergeCell ref="BD27:BD28"/>
    <mergeCell ref="BE27:BE28"/>
    <mergeCell ref="BF27:BF28"/>
    <mergeCell ref="AU27:AU28"/>
    <mergeCell ref="AV27:AV28"/>
    <mergeCell ref="AW27:AW28"/>
    <mergeCell ref="AX27:AX28"/>
    <mergeCell ref="AY27:AY28"/>
    <mergeCell ref="AZ27:AZ28"/>
    <mergeCell ref="AO27:AO28"/>
    <mergeCell ref="AP27:AP28"/>
    <mergeCell ref="AQ27:AQ28"/>
    <mergeCell ref="AR27:AR28"/>
    <mergeCell ref="AS27:AS28"/>
    <mergeCell ref="AT27:AT28"/>
    <mergeCell ref="AI27:AI28"/>
    <mergeCell ref="AJ27:AJ28"/>
    <mergeCell ref="AK27:AK28"/>
    <mergeCell ref="AL27:AL28"/>
    <mergeCell ref="AK29:AK30"/>
    <mergeCell ref="AL29:AL30"/>
    <mergeCell ref="AA29:AA30"/>
    <mergeCell ref="AB29:AB30"/>
    <mergeCell ref="AC29:AC30"/>
    <mergeCell ref="AD29:AD30"/>
    <mergeCell ref="AE29:AE30"/>
    <mergeCell ref="AF29:AF30"/>
    <mergeCell ref="U29:U30"/>
    <mergeCell ref="V29:V30"/>
    <mergeCell ref="W29:W30"/>
    <mergeCell ref="X29:X30"/>
    <mergeCell ref="Y29:Y30"/>
    <mergeCell ref="Z29:Z30"/>
    <mergeCell ref="J29:J30"/>
    <mergeCell ref="N29:N30"/>
    <mergeCell ref="Q29:Q30"/>
    <mergeCell ref="R29:R30"/>
    <mergeCell ref="S29:S30"/>
    <mergeCell ref="T29:T30"/>
    <mergeCell ref="BE29:BE30"/>
    <mergeCell ref="BF29:BF30"/>
    <mergeCell ref="BG29:BG30"/>
    <mergeCell ref="A31:A32"/>
    <mergeCell ref="B31:B32"/>
    <mergeCell ref="C31:C32"/>
    <mergeCell ref="D31:D32"/>
    <mergeCell ref="E31:E32"/>
    <mergeCell ref="F31:F32"/>
    <mergeCell ref="G31:G32"/>
    <mergeCell ref="AY29:AY30"/>
    <mergeCell ref="AZ29:AZ30"/>
    <mergeCell ref="BA29:BA30"/>
    <mergeCell ref="BB29:BB30"/>
    <mergeCell ref="BC29:BC30"/>
    <mergeCell ref="BD29:BD30"/>
    <mergeCell ref="AS29:AS30"/>
    <mergeCell ref="AT29:AT30"/>
    <mergeCell ref="AU29:AU30"/>
    <mergeCell ref="AV29:AV30"/>
    <mergeCell ref="AW29:AW30"/>
    <mergeCell ref="AX29:AX30"/>
    <mergeCell ref="AM29:AM30"/>
    <mergeCell ref="AN29:AN30"/>
    <mergeCell ref="AO29:AO30"/>
    <mergeCell ref="AP29:AP30"/>
    <mergeCell ref="AQ29:AQ30"/>
    <mergeCell ref="AR29:AR30"/>
    <mergeCell ref="AG29:AG30"/>
    <mergeCell ref="AH29:AH30"/>
    <mergeCell ref="AI29:AI30"/>
    <mergeCell ref="AJ29:AJ30"/>
    <mergeCell ref="A33:A34"/>
    <mergeCell ref="B33:B34"/>
    <mergeCell ref="C33:C34"/>
    <mergeCell ref="D33:D34"/>
    <mergeCell ref="E33:E34"/>
    <mergeCell ref="AW31:AW32"/>
    <mergeCell ref="AX31:AX32"/>
    <mergeCell ref="AY31:AY32"/>
    <mergeCell ref="AZ31:AZ32"/>
    <mergeCell ref="BA31:BA32"/>
    <mergeCell ref="BB31:BB32"/>
    <mergeCell ref="AQ31:AQ32"/>
    <mergeCell ref="AR31:AR32"/>
    <mergeCell ref="AS31:AS32"/>
    <mergeCell ref="AT31:AT32"/>
    <mergeCell ref="AU31:AU32"/>
    <mergeCell ref="AV31:AV32"/>
    <mergeCell ref="AK31:AK32"/>
    <mergeCell ref="AL31:AL32"/>
    <mergeCell ref="AM31:AM32"/>
    <mergeCell ref="AN31:AN32"/>
    <mergeCell ref="AO31:AO32"/>
    <mergeCell ref="AP31:AP32"/>
    <mergeCell ref="AE31:AE32"/>
    <mergeCell ref="AF31:AF32"/>
    <mergeCell ref="AG31:AG32"/>
    <mergeCell ref="AH31:AH32"/>
    <mergeCell ref="AI31:AI32"/>
    <mergeCell ref="AJ31:AJ32"/>
    <mergeCell ref="Y31:Y32"/>
    <mergeCell ref="Z31:Z32"/>
    <mergeCell ref="AA31:AA32"/>
    <mergeCell ref="Q33:Q34"/>
    <mergeCell ref="R33:R34"/>
    <mergeCell ref="S33:S34"/>
    <mergeCell ref="T33:T34"/>
    <mergeCell ref="U33:U34"/>
    <mergeCell ref="V33:V34"/>
    <mergeCell ref="F33:F34"/>
    <mergeCell ref="G33:G34"/>
    <mergeCell ref="H33:H34"/>
    <mergeCell ref="I33:I34"/>
    <mergeCell ref="J33:J34"/>
    <mergeCell ref="N33:N34"/>
    <mergeCell ref="BC31:BC32"/>
    <mergeCell ref="BD31:BD32"/>
    <mergeCell ref="BE31:BE32"/>
    <mergeCell ref="BF31:BF32"/>
    <mergeCell ref="BG31:BG32"/>
    <mergeCell ref="AB31:AB32"/>
    <mergeCell ref="AC31:AC32"/>
    <mergeCell ref="AD31:AD32"/>
    <mergeCell ref="S31:S32"/>
    <mergeCell ref="T31:T32"/>
    <mergeCell ref="U31:U32"/>
    <mergeCell ref="V31:V32"/>
    <mergeCell ref="W31:W32"/>
    <mergeCell ref="X31:X32"/>
    <mergeCell ref="H31:H32"/>
    <mergeCell ref="I31:I32"/>
    <mergeCell ref="J31:J32"/>
    <mergeCell ref="N31:N32"/>
    <mergeCell ref="Q31:Q32"/>
    <mergeCell ref="R31:R32"/>
    <mergeCell ref="AI33:AI34"/>
    <mergeCell ref="AJ33:AJ34"/>
    <mergeCell ref="AK33:AK34"/>
    <mergeCell ref="AL33:AL34"/>
    <mergeCell ref="AM33:AM34"/>
    <mergeCell ref="AN33:AN34"/>
    <mergeCell ref="AC33:AC34"/>
    <mergeCell ref="AD33:AD34"/>
    <mergeCell ref="AE33:AE34"/>
    <mergeCell ref="AF33:AF34"/>
    <mergeCell ref="AG33:AG34"/>
    <mergeCell ref="AH33:AH34"/>
    <mergeCell ref="W33:W34"/>
    <mergeCell ref="X33:X34"/>
    <mergeCell ref="Y33:Y34"/>
    <mergeCell ref="Z33:Z34"/>
    <mergeCell ref="AA33:AA34"/>
    <mergeCell ref="AB33:AB34"/>
    <mergeCell ref="Q35:Q36"/>
    <mergeCell ref="R35:R36"/>
    <mergeCell ref="S35:S36"/>
    <mergeCell ref="T35:T36"/>
    <mergeCell ref="BG33:BG34"/>
    <mergeCell ref="A35:A36"/>
    <mergeCell ref="B35:B36"/>
    <mergeCell ref="C35:C36"/>
    <mergeCell ref="D35:D36"/>
    <mergeCell ref="E35:E36"/>
    <mergeCell ref="F35:F36"/>
    <mergeCell ref="G35:G36"/>
    <mergeCell ref="H35:H36"/>
    <mergeCell ref="I35:I36"/>
    <mergeCell ref="BA33:BA34"/>
    <mergeCell ref="BB33:BB34"/>
    <mergeCell ref="BC33:BC34"/>
    <mergeCell ref="BD33:BD34"/>
    <mergeCell ref="BE33:BE34"/>
    <mergeCell ref="BF33:BF34"/>
    <mergeCell ref="AU33:AU34"/>
    <mergeCell ref="AV33:AV34"/>
    <mergeCell ref="AW33:AW34"/>
    <mergeCell ref="AX33:AX34"/>
    <mergeCell ref="AY33:AY34"/>
    <mergeCell ref="AZ33:AZ34"/>
    <mergeCell ref="AO33:AO34"/>
    <mergeCell ref="AP33:AP34"/>
    <mergeCell ref="AQ33:AQ34"/>
    <mergeCell ref="AR33:AR34"/>
    <mergeCell ref="AS33:AS34"/>
    <mergeCell ref="AT33:AT34"/>
    <mergeCell ref="BF35:BF36"/>
    <mergeCell ref="BG35:BG36"/>
    <mergeCell ref="A37:A38"/>
    <mergeCell ref="B37:B38"/>
    <mergeCell ref="C37:C38"/>
    <mergeCell ref="D37:D38"/>
    <mergeCell ref="E37:E38"/>
    <mergeCell ref="F37:F38"/>
    <mergeCell ref="G37:G38"/>
    <mergeCell ref="AY35:AY36"/>
    <mergeCell ref="AZ35:AZ36"/>
    <mergeCell ref="BA35:BA36"/>
    <mergeCell ref="BB35:BB36"/>
    <mergeCell ref="BC35:BC36"/>
    <mergeCell ref="BD35:BD36"/>
    <mergeCell ref="AS35:AS36"/>
    <mergeCell ref="AT35:AT36"/>
    <mergeCell ref="AU35:AU36"/>
    <mergeCell ref="AV35:AV36"/>
    <mergeCell ref="AW35:AW36"/>
    <mergeCell ref="AX35:AX36"/>
    <mergeCell ref="AM35:AM36"/>
    <mergeCell ref="AN35:AN36"/>
    <mergeCell ref="AO35:AO36"/>
    <mergeCell ref="AP35:AP36"/>
    <mergeCell ref="AQ35:AQ36"/>
    <mergeCell ref="AR35:AR36"/>
    <mergeCell ref="AG35:AG36"/>
    <mergeCell ref="AH35:AH36"/>
    <mergeCell ref="AI35:AI36"/>
    <mergeCell ref="AJ35:AJ36"/>
    <mergeCell ref="AK35:AK36"/>
    <mergeCell ref="AA37:AA38"/>
    <mergeCell ref="AB37:AB38"/>
    <mergeCell ref="AC37:AC38"/>
    <mergeCell ref="AD37:AD38"/>
    <mergeCell ref="S37:S38"/>
    <mergeCell ref="T37:T38"/>
    <mergeCell ref="U37:U38"/>
    <mergeCell ref="V37:V38"/>
    <mergeCell ref="W37:W38"/>
    <mergeCell ref="X37:X38"/>
    <mergeCell ref="H37:H38"/>
    <mergeCell ref="I37:I38"/>
    <mergeCell ref="J37:J38"/>
    <mergeCell ref="N37:N38"/>
    <mergeCell ref="Q37:Q38"/>
    <mergeCell ref="R37:R38"/>
    <mergeCell ref="BE35:BE36"/>
    <mergeCell ref="AL35:AL36"/>
    <mergeCell ref="AA35:AA36"/>
    <mergeCell ref="AB35:AB36"/>
    <mergeCell ref="AC35:AC36"/>
    <mergeCell ref="AD35:AD36"/>
    <mergeCell ref="AE35:AE36"/>
    <mergeCell ref="AF35:AF36"/>
    <mergeCell ref="U35:U36"/>
    <mergeCell ref="V35:V36"/>
    <mergeCell ref="W35:W36"/>
    <mergeCell ref="X35:X36"/>
    <mergeCell ref="Y35:Y36"/>
    <mergeCell ref="Z35:Z36"/>
    <mergeCell ref="J35:J36"/>
    <mergeCell ref="N35:N36"/>
    <mergeCell ref="BC37:BC38"/>
    <mergeCell ref="BD37:BD38"/>
    <mergeCell ref="BE37:BE38"/>
    <mergeCell ref="BF37:BF38"/>
    <mergeCell ref="BG37:BG38"/>
    <mergeCell ref="A39:I39"/>
    <mergeCell ref="AW37:AW38"/>
    <mergeCell ref="AX37:AX38"/>
    <mergeCell ref="AY37:AY38"/>
    <mergeCell ref="AZ37:AZ38"/>
    <mergeCell ref="BA37:BA38"/>
    <mergeCell ref="BB37:BB38"/>
    <mergeCell ref="AQ37:AQ38"/>
    <mergeCell ref="AR37:AR38"/>
    <mergeCell ref="AS37:AS38"/>
    <mergeCell ref="AT37:AT38"/>
    <mergeCell ref="AU37:AU38"/>
    <mergeCell ref="AV37:AV38"/>
    <mergeCell ref="AK37:AK38"/>
    <mergeCell ref="AL37:AL38"/>
    <mergeCell ref="AM37:AM38"/>
    <mergeCell ref="AN37:AN38"/>
    <mergeCell ref="AO37:AO38"/>
    <mergeCell ref="AP37:AP38"/>
    <mergeCell ref="AE37:AE38"/>
    <mergeCell ref="AF37:AF38"/>
    <mergeCell ref="AG37:AG38"/>
    <mergeCell ref="AH37:AH38"/>
    <mergeCell ref="AI37:AI38"/>
    <mergeCell ref="AJ37:AJ38"/>
    <mergeCell ref="Y37:Y38"/>
    <mergeCell ref="Z37:Z38"/>
    <mergeCell ref="R40:R41"/>
    <mergeCell ref="S40:S41"/>
    <mergeCell ref="T40:T41"/>
    <mergeCell ref="U40:U41"/>
    <mergeCell ref="V40:V41"/>
    <mergeCell ref="W40:W41"/>
    <mergeCell ref="G40:G41"/>
    <mergeCell ref="H40:H41"/>
    <mergeCell ref="I40:I41"/>
    <mergeCell ref="J40:J41"/>
    <mergeCell ref="N40:N41"/>
    <mergeCell ref="Q40:Q41"/>
    <mergeCell ref="A40:A41"/>
    <mergeCell ref="B40:B41"/>
    <mergeCell ref="C40:C41"/>
    <mergeCell ref="D40:D41"/>
    <mergeCell ref="E40:E41"/>
    <mergeCell ref="F40:F41"/>
    <mergeCell ref="AJ40:AJ41"/>
    <mergeCell ref="AK40:AK41"/>
    <mergeCell ref="AL40:AL41"/>
    <mergeCell ref="AM40:AM41"/>
    <mergeCell ref="AN40:AN41"/>
    <mergeCell ref="AO40:AO41"/>
    <mergeCell ref="AD40:AD41"/>
    <mergeCell ref="AE40:AE41"/>
    <mergeCell ref="AF40:AF41"/>
    <mergeCell ref="AG40:AG41"/>
    <mergeCell ref="AH40:AH41"/>
    <mergeCell ref="AI40:AI41"/>
    <mergeCell ref="X40:X41"/>
    <mergeCell ref="Y40:Y41"/>
    <mergeCell ref="Z40:Z41"/>
    <mergeCell ref="AA40:AA41"/>
    <mergeCell ref="AB40:AB41"/>
    <mergeCell ref="AC40:AC41"/>
    <mergeCell ref="BB40:BB41"/>
    <mergeCell ref="BC40:BC41"/>
    <mergeCell ref="BD40:BD41"/>
    <mergeCell ref="BE40:BE41"/>
    <mergeCell ref="BF40:BF41"/>
    <mergeCell ref="BG40:BG41"/>
    <mergeCell ref="AV40:AV41"/>
    <mergeCell ref="AW40:AW41"/>
    <mergeCell ref="AX40:AX41"/>
    <mergeCell ref="AY40:AY41"/>
    <mergeCell ref="AZ40:AZ41"/>
    <mergeCell ref="BA40:BA41"/>
    <mergeCell ref="AP40:AP41"/>
    <mergeCell ref="AQ40:AQ41"/>
    <mergeCell ref="AR40:AR41"/>
    <mergeCell ref="AS40:AS41"/>
    <mergeCell ref="AT40:AT41"/>
    <mergeCell ref="AU40:AU41"/>
    <mergeCell ref="R42:R43"/>
    <mergeCell ref="S42:S43"/>
    <mergeCell ref="T42:T43"/>
    <mergeCell ref="U42:U43"/>
    <mergeCell ref="V42:V43"/>
    <mergeCell ref="W42:W43"/>
    <mergeCell ref="G42:G43"/>
    <mergeCell ref="H42:H43"/>
    <mergeCell ref="I42:I43"/>
    <mergeCell ref="J42:J43"/>
    <mergeCell ref="N42:N43"/>
    <mergeCell ref="Q42:Q43"/>
    <mergeCell ref="A42:A43"/>
    <mergeCell ref="B42:B43"/>
    <mergeCell ref="C42:C43"/>
    <mergeCell ref="D42:D43"/>
    <mergeCell ref="E42:E43"/>
    <mergeCell ref="F42:F43"/>
    <mergeCell ref="AJ42:AJ43"/>
    <mergeCell ref="AK42:AK43"/>
    <mergeCell ref="AL42:AL43"/>
    <mergeCell ref="AM42:AM43"/>
    <mergeCell ref="AN42:AN43"/>
    <mergeCell ref="AO42:AO43"/>
    <mergeCell ref="AD42:AD43"/>
    <mergeCell ref="AE42:AE43"/>
    <mergeCell ref="AF42:AF43"/>
    <mergeCell ref="AG42:AG43"/>
    <mergeCell ref="AH42:AH43"/>
    <mergeCell ref="AI42:AI43"/>
    <mergeCell ref="X42:X43"/>
    <mergeCell ref="Y42:Y43"/>
    <mergeCell ref="Z42:Z43"/>
    <mergeCell ref="AA42:AA43"/>
    <mergeCell ref="AB42:AB43"/>
    <mergeCell ref="AC42:AC43"/>
    <mergeCell ref="BB42:BB43"/>
    <mergeCell ref="BC42:BC43"/>
    <mergeCell ref="BD42:BD43"/>
    <mergeCell ref="BE42:BE43"/>
    <mergeCell ref="BF42:BF43"/>
    <mergeCell ref="BG42:BG43"/>
    <mergeCell ref="AV42:AV43"/>
    <mergeCell ref="AW42:AW43"/>
    <mergeCell ref="AX42:AX43"/>
    <mergeCell ref="AY42:AY43"/>
    <mergeCell ref="AZ42:AZ43"/>
    <mergeCell ref="BA42:BA43"/>
    <mergeCell ref="AP42:AP43"/>
    <mergeCell ref="AQ42:AQ43"/>
    <mergeCell ref="AR42:AR43"/>
    <mergeCell ref="AS42:AS43"/>
    <mergeCell ref="AT42:AT43"/>
    <mergeCell ref="AU42:AU43"/>
    <mergeCell ref="AA44:AA45"/>
    <mergeCell ref="AB44:AB45"/>
    <mergeCell ref="AC44:AC45"/>
    <mergeCell ref="R44:R45"/>
    <mergeCell ref="S44:S45"/>
    <mergeCell ref="T44:T45"/>
    <mergeCell ref="U44:U45"/>
    <mergeCell ref="V44:V45"/>
    <mergeCell ref="W44:W45"/>
    <mergeCell ref="G44:G45"/>
    <mergeCell ref="H44:H45"/>
    <mergeCell ref="I44:I45"/>
    <mergeCell ref="J44:J45"/>
    <mergeCell ref="N44:N45"/>
    <mergeCell ref="Q44:Q45"/>
    <mergeCell ref="A44:A45"/>
    <mergeCell ref="B44:B45"/>
    <mergeCell ref="C44:C45"/>
    <mergeCell ref="D44:D45"/>
    <mergeCell ref="E44:E45"/>
    <mergeCell ref="F44:F45"/>
    <mergeCell ref="BC44:BC45"/>
    <mergeCell ref="BD44:BD45"/>
    <mergeCell ref="BE44:BE45"/>
    <mergeCell ref="BF44:BF45"/>
    <mergeCell ref="BG44:BG45"/>
    <mergeCell ref="AV44:AV45"/>
    <mergeCell ref="AW44:AW45"/>
    <mergeCell ref="AX44:AX45"/>
    <mergeCell ref="AY44:AY45"/>
    <mergeCell ref="AZ44:AZ45"/>
    <mergeCell ref="BA44:BA45"/>
    <mergeCell ref="AP44:AP45"/>
    <mergeCell ref="AQ44:AQ45"/>
    <mergeCell ref="AR44:AR45"/>
    <mergeCell ref="AS44:AS45"/>
    <mergeCell ref="AT44:AT45"/>
    <mergeCell ref="AU44:AU45"/>
    <mergeCell ref="J47:J48"/>
    <mergeCell ref="N47:N48"/>
    <mergeCell ref="Q47:Q48"/>
    <mergeCell ref="R47:R48"/>
    <mergeCell ref="S47:S48"/>
    <mergeCell ref="T47:T48"/>
    <mergeCell ref="A46:I46"/>
    <mergeCell ref="A47:A48"/>
    <mergeCell ref="B47:B48"/>
    <mergeCell ref="C47:C48"/>
    <mergeCell ref="D47:D48"/>
    <mergeCell ref="E47:E48"/>
    <mergeCell ref="F47:F48"/>
    <mergeCell ref="G47:G48"/>
    <mergeCell ref="H47:H48"/>
    <mergeCell ref="I47:I48"/>
    <mergeCell ref="BB44:BB45"/>
    <mergeCell ref="AJ44:AJ45"/>
    <mergeCell ref="AK44:AK45"/>
    <mergeCell ref="AL44:AL45"/>
    <mergeCell ref="AM44:AM45"/>
    <mergeCell ref="AN44:AN45"/>
    <mergeCell ref="AO44:AO45"/>
    <mergeCell ref="AD44:AD45"/>
    <mergeCell ref="AE44:AE45"/>
    <mergeCell ref="AF44:AF45"/>
    <mergeCell ref="AG44:AG45"/>
    <mergeCell ref="AH44:AH45"/>
    <mergeCell ref="AI44:AI45"/>
    <mergeCell ref="X44:X45"/>
    <mergeCell ref="Y44:Y45"/>
    <mergeCell ref="Z44:Z45"/>
    <mergeCell ref="AQ47:AQ48"/>
    <mergeCell ref="AR47:AR48"/>
    <mergeCell ref="AG47:AG48"/>
    <mergeCell ref="AH47:AH48"/>
    <mergeCell ref="AI47:AI48"/>
    <mergeCell ref="AJ47:AJ48"/>
    <mergeCell ref="AK47:AK48"/>
    <mergeCell ref="AL47:AL48"/>
    <mergeCell ref="AA47:AA48"/>
    <mergeCell ref="AB47:AB48"/>
    <mergeCell ref="AC47:AC48"/>
    <mergeCell ref="AD47:AD48"/>
    <mergeCell ref="AE47:AE48"/>
    <mergeCell ref="AF47:AF48"/>
    <mergeCell ref="U47:U48"/>
    <mergeCell ref="V47:V48"/>
    <mergeCell ref="W47:W48"/>
    <mergeCell ref="X47:X48"/>
    <mergeCell ref="Y47:Y48"/>
    <mergeCell ref="Z47:Z48"/>
    <mergeCell ref="H49:H50"/>
    <mergeCell ref="I49:I50"/>
    <mergeCell ref="J49:J50"/>
    <mergeCell ref="N49:N50"/>
    <mergeCell ref="Q49:Q50"/>
    <mergeCell ref="R49:R50"/>
    <mergeCell ref="BE47:BE48"/>
    <mergeCell ref="BF47:BF48"/>
    <mergeCell ref="BG47:BG48"/>
    <mergeCell ref="A49:A50"/>
    <mergeCell ref="B49:B50"/>
    <mergeCell ref="C49:C50"/>
    <mergeCell ref="D49:D50"/>
    <mergeCell ref="E49:E50"/>
    <mergeCell ref="F49:F50"/>
    <mergeCell ref="G49:G50"/>
    <mergeCell ref="AY47:AY48"/>
    <mergeCell ref="AZ47:AZ48"/>
    <mergeCell ref="BA47:BA48"/>
    <mergeCell ref="BB47:BB48"/>
    <mergeCell ref="BC47:BC48"/>
    <mergeCell ref="BD47:BD48"/>
    <mergeCell ref="AS47:AS48"/>
    <mergeCell ref="AT47:AT48"/>
    <mergeCell ref="AU47:AU48"/>
    <mergeCell ref="AV47:AV48"/>
    <mergeCell ref="AW47:AW48"/>
    <mergeCell ref="AX47:AX48"/>
    <mergeCell ref="AM47:AM48"/>
    <mergeCell ref="AN47:AN48"/>
    <mergeCell ref="AO47:AO48"/>
    <mergeCell ref="AP47:AP48"/>
    <mergeCell ref="AO49:AO50"/>
    <mergeCell ref="AP49:AP50"/>
    <mergeCell ref="AE49:AE50"/>
    <mergeCell ref="AF49:AF50"/>
    <mergeCell ref="AG49:AG50"/>
    <mergeCell ref="AH49:AH50"/>
    <mergeCell ref="AI49:AI50"/>
    <mergeCell ref="AJ49:AJ50"/>
    <mergeCell ref="Y49:Y50"/>
    <mergeCell ref="Z49:Z50"/>
    <mergeCell ref="AA49:AA50"/>
    <mergeCell ref="AB49:AB50"/>
    <mergeCell ref="AC49:AC50"/>
    <mergeCell ref="AD49:AD50"/>
    <mergeCell ref="S49:S50"/>
    <mergeCell ref="T49:T50"/>
    <mergeCell ref="U49:U50"/>
    <mergeCell ref="V49:V50"/>
    <mergeCell ref="W49:W50"/>
    <mergeCell ref="X49:X50"/>
    <mergeCell ref="F51:F52"/>
    <mergeCell ref="G51:G52"/>
    <mergeCell ref="H51:H52"/>
    <mergeCell ref="I51:I52"/>
    <mergeCell ref="J51:J52"/>
    <mergeCell ref="N51:N52"/>
    <mergeCell ref="BC49:BC50"/>
    <mergeCell ref="BD49:BD50"/>
    <mergeCell ref="BE49:BE50"/>
    <mergeCell ref="BF49:BF50"/>
    <mergeCell ref="BG49:BG50"/>
    <mergeCell ref="A51:A52"/>
    <mergeCell ref="B51:B52"/>
    <mergeCell ref="C51:C52"/>
    <mergeCell ref="D51:D52"/>
    <mergeCell ref="E51:E52"/>
    <mergeCell ref="AW49:AW50"/>
    <mergeCell ref="AX49:AX50"/>
    <mergeCell ref="AY49:AY50"/>
    <mergeCell ref="AZ49:AZ50"/>
    <mergeCell ref="BA49:BA50"/>
    <mergeCell ref="BB49:BB50"/>
    <mergeCell ref="AQ49:AQ50"/>
    <mergeCell ref="AR49:AR50"/>
    <mergeCell ref="AS49:AS50"/>
    <mergeCell ref="AT49:AT50"/>
    <mergeCell ref="AU49:AU50"/>
    <mergeCell ref="AV49:AV50"/>
    <mergeCell ref="AK49:AK50"/>
    <mergeCell ref="AL49:AL50"/>
    <mergeCell ref="AM49:AM50"/>
    <mergeCell ref="AN49:AN50"/>
    <mergeCell ref="AM51:AM52"/>
    <mergeCell ref="AN51:AN52"/>
    <mergeCell ref="AC51:AC52"/>
    <mergeCell ref="AD51:AD52"/>
    <mergeCell ref="AE51:AE52"/>
    <mergeCell ref="AF51:AF52"/>
    <mergeCell ref="AG51:AG52"/>
    <mergeCell ref="AH51:AH52"/>
    <mergeCell ref="W51:W52"/>
    <mergeCell ref="X51:X52"/>
    <mergeCell ref="Y51:Y52"/>
    <mergeCell ref="Z51:Z52"/>
    <mergeCell ref="AA51:AA52"/>
    <mergeCell ref="AB51:AB52"/>
    <mergeCell ref="Q51:Q52"/>
    <mergeCell ref="R51:R52"/>
    <mergeCell ref="S51:S52"/>
    <mergeCell ref="T51:T52"/>
    <mergeCell ref="U51:U52"/>
    <mergeCell ref="V51:V52"/>
    <mergeCell ref="BG51:BG52"/>
    <mergeCell ref="A53:A54"/>
    <mergeCell ref="B53:B54"/>
    <mergeCell ref="C53:C54"/>
    <mergeCell ref="D53:D54"/>
    <mergeCell ref="E53:E54"/>
    <mergeCell ref="F53:F54"/>
    <mergeCell ref="G53:G54"/>
    <mergeCell ref="H53:H54"/>
    <mergeCell ref="I53:I54"/>
    <mergeCell ref="BA51:BA52"/>
    <mergeCell ref="BB51:BB52"/>
    <mergeCell ref="BC51:BC52"/>
    <mergeCell ref="BD51:BD52"/>
    <mergeCell ref="BE51:BE52"/>
    <mergeCell ref="BF51:BF52"/>
    <mergeCell ref="AU51:AU52"/>
    <mergeCell ref="AV51:AV52"/>
    <mergeCell ref="AW51:AW52"/>
    <mergeCell ref="AX51:AX52"/>
    <mergeCell ref="AY51:AY52"/>
    <mergeCell ref="AZ51:AZ52"/>
    <mergeCell ref="AO51:AO52"/>
    <mergeCell ref="AP51:AP52"/>
    <mergeCell ref="AQ51:AQ52"/>
    <mergeCell ref="AR51:AR52"/>
    <mergeCell ref="AS51:AS52"/>
    <mergeCell ref="AT51:AT52"/>
    <mergeCell ref="AI51:AI52"/>
    <mergeCell ref="AJ51:AJ52"/>
    <mergeCell ref="AK51:AK52"/>
    <mergeCell ref="AL51:AL52"/>
    <mergeCell ref="AK53:AK54"/>
    <mergeCell ref="AL53:AL54"/>
    <mergeCell ref="AA53:AA54"/>
    <mergeCell ref="AB53:AB54"/>
    <mergeCell ref="AC53:AC54"/>
    <mergeCell ref="AD53:AD54"/>
    <mergeCell ref="AE53:AE54"/>
    <mergeCell ref="AF53:AF54"/>
    <mergeCell ref="U53:U54"/>
    <mergeCell ref="V53:V54"/>
    <mergeCell ref="W53:W54"/>
    <mergeCell ref="X53:X54"/>
    <mergeCell ref="Y53:Y54"/>
    <mergeCell ref="Z53:Z54"/>
    <mergeCell ref="J53:J54"/>
    <mergeCell ref="N53:N54"/>
    <mergeCell ref="Q53:Q54"/>
    <mergeCell ref="R53:R54"/>
    <mergeCell ref="S53:S54"/>
    <mergeCell ref="T53:T54"/>
    <mergeCell ref="BE53:BE54"/>
    <mergeCell ref="BF53:BF54"/>
    <mergeCell ref="BG53:BG54"/>
    <mergeCell ref="A55:A56"/>
    <mergeCell ref="B55:B56"/>
    <mergeCell ref="C55:C56"/>
    <mergeCell ref="D55:D56"/>
    <mergeCell ref="E55:E56"/>
    <mergeCell ref="F55:F56"/>
    <mergeCell ref="G55:G56"/>
    <mergeCell ref="AY53:AY54"/>
    <mergeCell ref="AZ53:AZ54"/>
    <mergeCell ref="BA53:BA54"/>
    <mergeCell ref="BB53:BB54"/>
    <mergeCell ref="BC53:BC54"/>
    <mergeCell ref="BD53:BD54"/>
    <mergeCell ref="AS53:AS54"/>
    <mergeCell ref="AT53:AT54"/>
    <mergeCell ref="AU53:AU54"/>
    <mergeCell ref="AV53:AV54"/>
    <mergeCell ref="AW53:AW54"/>
    <mergeCell ref="AX53:AX54"/>
    <mergeCell ref="AM53:AM54"/>
    <mergeCell ref="AN53:AN54"/>
    <mergeCell ref="AO53:AO54"/>
    <mergeCell ref="AP53:AP54"/>
    <mergeCell ref="AQ53:AQ54"/>
    <mergeCell ref="AR53:AR54"/>
    <mergeCell ref="AG53:AG54"/>
    <mergeCell ref="AH53:AH54"/>
    <mergeCell ref="AI53:AI54"/>
    <mergeCell ref="AJ53:AJ54"/>
    <mergeCell ref="AI55:AI56"/>
    <mergeCell ref="AJ55:AJ56"/>
    <mergeCell ref="Y55:Y56"/>
    <mergeCell ref="Z55:Z56"/>
    <mergeCell ref="AA55:AA56"/>
    <mergeCell ref="AB55:AB56"/>
    <mergeCell ref="AC55:AC56"/>
    <mergeCell ref="AD55:AD56"/>
    <mergeCell ref="S55:S56"/>
    <mergeCell ref="T55:T56"/>
    <mergeCell ref="U55:U56"/>
    <mergeCell ref="V55:V56"/>
    <mergeCell ref="W55:W56"/>
    <mergeCell ref="X55:X56"/>
    <mergeCell ref="H55:H56"/>
    <mergeCell ref="I55:I56"/>
    <mergeCell ref="J55:J56"/>
    <mergeCell ref="N55:N56"/>
    <mergeCell ref="Q55:Q56"/>
    <mergeCell ref="R55:R56"/>
    <mergeCell ref="BC55:BC56"/>
    <mergeCell ref="BD55:BD56"/>
    <mergeCell ref="BE55:BE56"/>
    <mergeCell ref="BF55:BF56"/>
    <mergeCell ref="BG55:BG56"/>
    <mergeCell ref="A57:A58"/>
    <mergeCell ref="B57:B58"/>
    <mergeCell ref="C57:C58"/>
    <mergeCell ref="D57:D58"/>
    <mergeCell ref="E57:E58"/>
    <mergeCell ref="AW55:AW56"/>
    <mergeCell ref="AX55:AX56"/>
    <mergeCell ref="AY55:AY56"/>
    <mergeCell ref="AZ55:AZ56"/>
    <mergeCell ref="BA55:BA56"/>
    <mergeCell ref="BB55:BB56"/>
    <mergeCell ref="AQ55:AQ56"/>
    <mergeCell ref="AR55:AR56"/>
    <mergeCell ref="AS55:AS56"/>
    <mergeCell ref="AT55:AT56"/>
    <mergeCell ref="AU55:AU56"/>
    <mergeCell ref="AV55:AV56"/>
    <mergeCell ref="AK55:AK56"/>
    <mergeCell ref="AL55:AL56"/>
    <mergeCell ref="AM55:AM56"/>
    <mergeCell ref="AN55:AN56"/>
    <mergeCell ref="AO55:AO56"/>
    <mergeCell ref="AP55:AP56"/>
    <mergeCell ref="AE55:AE56"/>
    <mergeCell ref="AF55:AF56"/>
    <mergeCell ref="AG55:AG56"/>
    <mergeCell ref="AH55:AH56"/>
    <mergeCell ref="AE57:AE58"/>
    <mergeCell ref="AF57:AF58"/>
    <mergeCell ref="AG57:AG58"/>
    <mergeCell ref="AH57:AH58"/>
    <mergeCell ref="W57:W58"/>
    <mergeCell ref="X57:X58"/>
    <mergeCell ref="Y57:Y58"/>
    <mergeCell ref="Z57:Z58"/>
    <mergeCell ref="AA57:AA58"/>
    <mergeCell ref="AB57:AB58"/>
    <mergeCell ref="Q57:Q58"/>
    <mergeCell ref="R57:R58"/>
    <mergeCell ref="S57:S58"/>
    <mergeCell ref="T57:T58"/>
    <mergeCell ref="U57:U58"/>
    <mergeCell ref="V57:V58"/>
    <mergeCell ref="F57:F58"/>
    <mergeCell ref="G57:G58"/>
    <mergeCell ref="H57:H58"/>
    <mergeCell ref="I57:I58"/>
    <mergeCell ref="J57:J58"/>
    <mergeCell ref="N57:N58"/>
    <mergeCell ref="BG57:BG58"/>
    <mergeCell ref="A59:I59"/>
    <mergeCell ref="A60:I60"/>
    <mergeCell ref="A61:O61"/>
    <mergeCell ref="U61:U62"/>
    <mergeCell ref="A62:O62"/>
    <mergeCell ref="BA57:BA58"/>
    <mergeCell ref="BB57:BB58"/>
    <mergeCell ref="BC57:BC58"/>
    <mergeCell ref="BD57:BD58"/>
    <mergeCell ref="BE57:BE58"/>
    <mergeCell ref="BF57:BF58"/>
    <mergeCell ref="AU57:AU58"/>
    <mergeCell ref="AV57:AV58"/>
    <mergeCell ref="AW57:AW58"/>
    <mergeCell ref="AX57:AX58"/>
    <mergeCell ref="AY57:AY58"/>
    <mergeCell ref="AZ57:AZ58"/>
    <mergeCell ref="AO57:AO58"/>
    <mergeCell ref="AP57:AP58"/>
    <mergeCell ref="AQ57:AQ58"/>
    <mergeCell ref="AR57:AR58"/>
    <mergeCell ref="AS57:AS58"/>
    <mergeCell ref="AT57:AT58"/>
    <mergeCell ref="AI57:AI58"/>
    <mergeCell ref="AJ57:AJ58"/>
    <mergeCell ref="AK57:AK58"/>
    <mergeCell ref="AL57:AL58"/>
    <mergeCell ref="AM57:AM58"/>
    <mergeCell ref="AN57:AN58"/>
    <mergeCell ref="AC57:AC58"/>
    <mergeCell ref="AD57:AD58"/>
    <mergeCell ref="A65:A66"/>
    <mergeCell ref="B65:B66"/>
    <mergeCell ref="C65:C66"/>
    <mergeCell ref="D65:D66"/>
    <mergeCell ref="E65:E66"/>
    <mergeCell ref="AW63:AW64"/>
    <mergeCell ref="AX63:AX64"/>
    <mergeCell ref="AY63:AY64"/>
    <mergeCell ref="AZ63:AZ64"/>
    <mergeCell ref="BA63:BA64"/>
    <mergeCell ref="BB63:BB64"/>
    <mergeCell ref="AQ63:AQ64"/>
    <mergeCell ref="AR63:AR64"/>
    <mergeCell ref="AS63:AS64"/>
    <mergeCell ref="AT63:AT64"/>
    <mergeCell ref="AU63:AU64"/>
    <mergeCell ref="AV63:AV64"/>
    <mergeCell ref="AK63:AK64"/>
    <mergeCell ref="AL63:AL64"/>
    <mergeCell ref="AM63:AM64"/>
    <mergeCell ref="AN63:AN64"/>
    <mergeCell ref="AO63:AO64"/>
    <mergeCell ref="AP63:AP64"/>
    <mergeCell ref="AE63:AE64"/>
    <mergeCell ref="AF63:AF64"/>
    <mergeCell ref="AG63:AG64"/>
    <mergeCell ref="AH63:AH64"/>
    <mergeCell ref="AI63:AI64"/>
    <mergeCell ref="AJ63:AJ64"/>
    <mergeCell ref="Y63:Y64"/>
    <mergeCell ref="Z63:Z64"/>
    <mergeCell ref="AA63:AA64"/>
    <mergeCell ref="F65:F66"/>
    <mergeCell ref="G65:G66"/>
    <mergeCell ref="H65:H66"/>
    <mergeCell ref="I65:I66"/>
    <mergeCell ref="J65:J66"/>
    <mergeCell ref="N65:N66"/>
    <mergeCell ref="BC63:BC64"/>
    <mergeCell ref="BD63:BD64"/>
    <mergeCell ref="BE63:BE64"/>
    <mergeCell ref="BF63:BF64"/>
    <mergeCell ref="BG63:BG64"/>
    <mergeCell ref="AB63:AB64"/>
    <mergeCell ref="AC63:AC64"/>
    <mergeCell ref="AD63:AD64"/>
    <mergeCell ref="S63:S64"/>
    <mergeCell ref="T63:T64"/>
    <mergeCell ref="U63:U64"/>
    <mergeCell ref="V63:V64"/>
    <mergeCell ref="W63:W64"/>
    <mergeCell ref="X63:X64"/>
    <mergeCell ref="AI65:AI66"/>
    <mergeCell ref="AJ65:AJ66"/>
    <mergeCell ref="AK65:AK66"/>
    <mergeCell ref="AL65:AL66"/>
    <mergeCell ref="AM65:AM66"/>
    <mergeCell ref="AN65:AN66"/>
    <mergeCell ref="AG65:AG66"/>
    <mergeCell ref="AH65:AH66"/>
    <mergeCell ref="W65:W66"/>
    <mergeCell ref="X65:X66"/>
    <mergeCell ref="Y65:Y66"/>
    <mergeCell ref="Z65:Z66"/>
    <mergeCell ref="AA65:AA66"/>
    <mergeCell ref="AB65:AB66"/>
    <mergeCell ref="Q67:Q68"/>
    <mergeCell ref="R67:R68"/>
    <mergeCell ref="S67:S68"/>
    <mergeCell ref="T67:T68"/>
    <mergeCell ref="BG65:BG66"/>
    <mergeCell ref="BG67:BG68"/>
    <mergeCell ref="Q65:Q66"/>
    <mergeCell ref="R65:R66"/>
    <mergeCell ref="S65:S66"/>
    <mergeCell ref="T65:T66"/>
    <mergeCell ref="U65:U66"/>
    <mergeCell ref="V65:V66"/>
    <mergeCell ref="A67:A68"/>
    <mergeCell ref="B67:B68"/>
    <mergeCell ref="C67:C68"/>
    <mergeCell ref="D67:D68"/>
    <mergeCell ref="E67:E68"/>
    <mergeCell ref="F67:F68"/>
    <mergeCell ref="G67:G68"/>
    <mergeCell ref="H67:H68"/>
    <mergeCell ref="I67:I68"/>
    <mergeCell ref="BA65:BA66"/>
    <mergeCell ref="BB65:BB66"/>
    <mergeCell ref="BC65:BC66"/>
    <mergeCell ref="BD65:BD66"/>
    <mergeCell ref="BE65:BE66"/>
    <mergeCell ref="BF65:BF66"/>
    <mergeCell ref="AU65:AU66"/>
    <mergeCell ref="AV65:AV66"/>
    <mergeCell ref="AW65:AW66"/>
    <mergeCell ref="AX65:AX66"/>
    <mergeCell ref="AY65:AY66"/>
    <mergeCell ref="AZ65:AZ66"/>
    <mergeCell ref="AO65:AO66"/>
    <mergeCell ref="AP65:AP66"/>
    <mergeCell ref="AQ65:AQ66"/>
    <mergeCell ref="AR65:AR66"/>
    <mergeCell ref="AS65:AS66"/>
    <mergeCell ref="AT65:AT66"/>
    <mergeCell ref="BF67:BF68"/>
    <mergeCell ref="AC65:AC66"/>
    <mergeCell ref="AD65:AD66"/>
    <mergeCell ref="AE65:AE66"/>
    <mergeCell ref="AF65:AF66"/>
    <mergeCell ref="A69:A70"/>
    <mergeCell ref="B69:B70"/>
    <mergeCell ref="C69:C70"/>
    <mergeCell ref="D69:D70"/>
    <mergeCell ref="E69:E70"/>
    <mergeCell ref="F69:F70"/>
    <mergeCell ref="G69:G70"/>
    <mergeCell ref="AY67:AY68"/>
    <mergeCell ref="AZ67:AZ68"/>
    <mergeCell ref="BA67:BA68"/>
    <mergeCell ref="BB67:BB68"/>
    <mergeCell ref="BC67:BC68"/>
    <mergeCell ref="BD67:BD68"/>
    <mergeCell ref="AS67:AS68"/>
    <mergeCell ref="AT67:AT68"/>
    <mergeCell ref="AU67:AU68"/>
    <mergeCell ref="AV67:AV68"/>
    <mergeCell ref="AW67:AW68"/>
    <mergeCell ref="AX67:AX68"/>
    <mergeCell ref="AM67:AM68"/>
    <mergeCell ref="AN67:AN68"/>
    <mergeCell ref="AO67:AO68"/>
    <mergeCell ref="AP67:AP68"/>
    <mergeCell ref="AQ67:AQ68"/>
    <mergeCell ref="AR67:AR68"/>
    <mergeCell ref="AG67:AG68"/>
    <mergeCell ref="AH67:AH68"/>
    <mergeCell ref="AI67:AI68"/>
    <mergeCell ref="AJ67:AJ68"/>
    <mergeCell ref="AK67:AK68"/>
    <mergeCell ref="AA69:AA70"/>
    <mergeCell ref="AB69:AB70"/>
    <mergeCell ref="S69:S70"/>
    <mergeCell ref="T69:T70"/>
    <mergeCell ref="U69:U70"/>
    <mergeCell ref="V69:V70"/>
    <mergeCell ref="W69:W70"/>
    <mergeCell ref="X69:X70"/>
    <mergeCell ref="H69:H70"/>
    <mergeCell ref="I69:I70"/>
    <mergeCell ref="J69:J70"/>
    <mergeCell ref="N69:N70"/>
    <mergeCell ref="Q69:Q70"/>
    <mergeCell ref="R69:R70"/>
    <mergeCell ref="BE67:BE68"/>
    <mergeCell ref="AL67:AL68"/>
    <mergeCell ref="AA67:AA68"/>
    <mergeCell ref="AB67:AB68"/>
    <mergeCell ref="AC67:AC68"/>
    <mergeCell ref="AD67:AD68"/>
    <mergeCell ref="AE67:AE68"/>
    <mergeCell ref="AF67:AF68"/>
    <mergeCell ref="U67:U68"/>
    <mergeCell ref="V67:V68"/>
    <mergeCell ref="W67:W68"/>
    <mergeCell ref="X67:X68"/>
    <mergeCell ref="Y67:Y68"/>
    <mergeCell ref="Z67:Z68"/>
    <mergeCell ref="J67:J68"/>
    <mergeCell ref="N67:N68"/>
    <mergeCell ref="BC69:BC70"/>
    <mergeCell ref="BD69:BD70"/>
    <mergeCell ref="BE69:BE70"/>
    <mergeCell ref="BF69:BF70"/>
    <mergeCell ref="BG69:BG70"/>
    <mergeCell ref="A71:I71"/>
    <mergeCell ref="AW69:AW70"/>
    <mergeCell ref="AX69:AX70"/>
    <mergeCell ref="AY69:AY70"/>
    <mergeCell ref="AZ69:AZ70"/>
    <mergeCell ref="BA69:BA70"/>
    <mergeCell ref="BB69:BB70"/>
    <mergeCell ref="AQ69:AQ70"/>
    <mergeCell ref="AR69:AR70"/>
    <mergeCell ref="AS69:AS70"/>
    <mergeCell ref="AT69:AT70"/>
    <mergeCell ref="AU69:AU70"/>
    <mergeCell ref="AV69:AV70"/>
    <mergeCell ref="AK69:AK70"/>
    <mergeCell ref="AL69:AL70"/>
    <mergeCell ref="AM69:AM70"/>
    <mergeCell ref="AN69:AN70"/>
    <mergeCell ref="AO69:AO70"/>
    <mergeCell ref="AP69:AP70"/>
    <mergeCell ref="AE69:AE70"/>
    <mergeCell ref="AF69:AF70"/>
    <mergeCell ref="AG69:AG70"/>
    <mergeCell ref="AH69:AH70"/>
    <mergeCell ref="AI69:AI70"/>
    <mergeCell ref="AJ69:AJ70"/>
    <mergeCell ref="Y69:Y70"/>
    <mergeCell ref="Z69:Z70"/>
    <mergeCell ref="AC69:AC70"/>
    <mergeCell ref="AD69:AD70"/>
    <mergeCell ref="R72:R73"/>
    <mergeCell ref="S72:S73"/>
    <mergeCell ref="T72:T73"/>
    <mergeCell ref="U72:U73"/>
    <mergeCell ref="V72:V73"/>
    <mergeCell ref="W72:W73"/>
    <mergeCell ref="G72:G73"/>
    <mergeCell ref="H72:H73"/>
    <mergeCell ref="I72:I73"/>
    <mergeCell ref="J72:J73"/>
    <mergeCell ref="N72:N73"/>
    <mergeCell ref="Q72:Q73"/>
    <mergeCell ref="A72:A73"/>
    <mergeCell ref="B72:B73"/>
    <mergeCell ref="C72:C73"/>
    <mergeCell ref="D72:D73"/>
    <mergeCell ref="E72:E73"/>
    <mergeCell ref="F72:F73"/>
    <mergeCell ref="AJ72:AJ73"/>
    <mergeCell ref="AK72:AK73"/>
    <mergeCell ref="AL72:AL73"/>
    <mergeCell ref="AM72:AM73"/>
    <mergeCell ref="AN72:AN73"/>
    <mergeCell ref="AO72:AO73"/>
    <mergeCell ref="AD72:AD73"/>
    <mergeCell ref="AE72:AE73"/>
    <mergeCell ref="AF72:AF73"/>
    <mergeCell ref="AG72:AG73"/>
    <mergeCell ref="AH72:AH73"/>
    <mergeCell ref="AI72:AI73"/>
    <mergeCell ref="X72:X73"/>
    <mergeCell ref="Y72:Y73"/>
    <mergeCell ref="Z72:Z73"/>
    <mergeCell ref="AA72:AA73"/>
    <mergeCell ref="AB72:AB73"/>
    <mergeCell ref="AC72:AC73"/>
    <mergeCell ref="BB72:BB73"/>
    <mergeCell ref="BC72:BC73"/>
    <mergeCell ref="BD72:BD73"/>
    <mergeCell ref="BE72:BE73"/>
    <mergeCell ref="BF72:BF73"/>
    <mergeCell ref="BG72:BG73"/>
    <mergeCell ref="AV72:AV73"/>
    <mergeCell ref="AW72:AW73"/>
    <mergeCell ref="AX72:AX73"/>
    <mergeCell ref="AY72:AY73"/>
    <mergeCell ref="AZ72:AZ73"/>
    <mergeCell ref="BA72:BA73"/>
    <mergeCell ref="AP72:AP73"/>
    <mergeCell ref="AQ72:AQ73"/>
    <mergeCell ref="AR72:AR73"/>
    <mergeCell ref="AS72:AS73"/>
    <mergeCell ref="AT72:AT73"/>
    <mergeCell ref="AU72:AU73"/>
    <mergeCell ref="R74:R75"/>
    <mergeCell ref="S74:S75"/>
    <mergeCell ref="T74:T75"/>
    <mergeCell ref="U74:U75"/>
    <mergeCell ref="V74:V75"/>
    <mergeCell ref="W74:W75"/>
    <mergeCell ref="G74:G75"/>
    <mergeCell ref="H74:H75"/>
    <mergeCell ref="I74:I75"/>
    <mergeCell ref="J74:J75"/>
    <mergeCell ref="N74:N75"/>
    <mergeCell ref="Q74:Q75"/>
    <mergeCell ref="A74:A75"/>
    <mergeCell ref="B74:B75"/>
    <mergeCell ref="C74:C75"/>
    <mergeCell ref="D74:D75"/>
    <mergeCell ref="E74:E75"/>
    <mergeCell ref="F74:F75"/>
    <mergeCell ref="AJ74:AJ75"/>
    <mergeCell ref="AK74:AK75"/>
    <mergeCell ref="AL74:AL75"/>
    <mergeCell ref="AM74:AM75"/>
    <mergeCell ref="AN74:AN75"/>
    <mergeCell ref="AO74:AO75"/>
    <mergeCell ref="AD74:AD75"/>
    <mergeCell ref="AE74:AE75"/>
    <mergeCell ref="AF74:AF75"/>
    <mergeCell ref="AG74:AG75"/>
    <mergeCell ref="AH74:AH75"/>
    <mergeCell ref="AI74:AI75"/>
    <mergeCell ref="X74:X75"/>
    <mergeCell ref="Y74:Y75"/>
    <mergeCell ref="Z74:Z75"/>
    <mergeCell ref="AA74:AA75"/>
    <mergeCell ref="AB74:AB75"/>
    <mergeCell ref="AC74:AC75"/>
    <mergeCell ref="BB74:BB75"/>
    <mergeCell ref="BC74:BC75"/>
    <mergeCell ref="BD74:BD75"/>
    <mergeCell ref="BE74:BE75"/>
    <mergeCell ref="BF74:BF75"/>
    <mergeCell ref="BG74:BG75"/>
    <mergeCell ref="AV74:AV75"/>
    <mergeCell ref="AW74:AW75"/>
    <mergeCell ref="AX74:AX75"/>
    <mergeCell ref="AY74:AY75"/>
    <mergeCell ref="AZ74:AZ75"/>
    <mergeCell ref="BA74:BA75"/>
    <mergeCell ref="AP74:AP75"/>
    <mergeCell ref="AQ74:AQ75"/>
    <mergeCell ref="AR74:AR75"/>
    <mergeCell ref="AS74:AS75"/>
    <mergeCell ref="AT74:AT75"/>
    <mergeCell ref="AU74:AU75"/>
    <mergeCell ref="R76:R77"/>
    <mergeCell ref="S76:S77"/>
    <mergeCell ref="T76:T77"/>
    <mergeCell ref="U76:U77"/>
    <mergeCell ref="V76:V77"/>
    <mergeCell ref="W76:W77"/>
    <mergeCell ref="G76:G77"/>
    <mergeCell ref="H76:H77"/>
    <mergeCell ref="I76:I77"/>
    <mergeCell ref="J76:J77"/>
    <mergeCell ref="N76:N77"/>
    <mergeCell ref="Q76:Q77"/>
    <mergeCell ref="A76:A77"/>
    <mergeCell ref="B76:B77"/>
    <mergeCell ref="C76:C77"/>
    <mergeCell ref="D76:D77"/>
    <mergeCell ref="E76:E77"/>
    <mergeCell ref="F76:F77"/>
    <mergeCell ref="AJ76:AJ77"/>
    <mergeCell ref="AK76:AK77"/>
    <mergeCell ref="AL76:AL77"/>
    <mergeCell ref="AM76:AM77"/>
    <mergeCell ref="AN76:AN77"/>
    <mergeCell ref="AO76:AO77"/>
    <mergeCell ref="AD76:AD77"/>
    <mergeCell ref="AE76:AE77"/>
    <mergeCell ref="AF76:AF77"/>
    <mergeCell ref="AG76:AG77"/>
    <mergeCell ref="AH76:AH77"/>
    <mergeCell ref="AI76:AI77"/>
    <mergeCell ref="X76:X77"/>
    <mergeCell ref="Y76:Y77"/>
    <mergeCell ref="Z76:Z77"/>
    <mergeCell ref="AA76:AA77"/>
    <mergeCell ref="AB76:AB77"/>
    <mergeCell ref="AC76:AC77"/>
    <mergeCell ref="BB76:BB77"/>
    <mergeCell ref="BC76:BC77"/>
    <mergeCell ref="BD76:BD77"/>
    <mergeCell ref="BE76:BE77"/>
    <mergeCell ref="BF76:BF77"/>
    <mergeCell ref="BG76:BG77"/>
    <mergeCell ref="AV76:AV77"/>
    <mergeCell ref="AW76:AW77"/>
    <mergeCell ref="AX76:AX77"/>
    <mergeCell ref="AY76:AY77"/>
    <mergeCell ref="AZ76:AZ77"/>
    <mergeCell ref="BA76:BA77"/>
    <mergeCell ref="AP76:AP77"/>
    <mergeCell ref="AQ76:AQ77"/>
    <mergeCell ref="AR76:AR77"/>
    <mergeCell ref="AS76:AS77"/>
    <mergeCell ref="AT76:AT77"/>
    <mergeCell ref="AU76:AU77"/>
    <mergeCell ref="R78:R79"/>
    <mergeCell ref="S78:S79"/>
    <mergeCell ref="T78:T79"/>
    <mergeCell ref="U78:U79"/>
    <mergeCell ref="V78:V79"/>
    <mergeCell ref="W78:W79"/>
    <mergeCell ref="G78:G79"/>
    <mergeCell ref="H78:H79"/>
    <mergeCell ref="I78:I79"/>
    <mergeCell ref="J78:J79"/>
    <mergeCell ref="N78:N79"/>
    <mergeCell ref="Q78:Q79"/>
    <mergeCell ref="A78:A79"/>
    <mergeCell ref="B78:B79"/>
    <mergeCell ref="C78:C79"/>
    <mergeCell ref="D78:D79"/>
    <mergeCell ref="E78:E79"/>
    <mergeCell ref="F78:F79"/>
    <mergeCell ref="AJ78:AJ79"/>
    <mergeCell ref="AK78:AK79"/>
    <mergeCell ref="AL78:AL79"/>
    <mergeCell ref="AM78:AM79"/>
    <mergeCell ref="AN78:AN79"/>
    <mergeCell ref="AO78:AO79"/>
    <mergeCell ref="AD78:AD79"/>
    <mergeCell ref="AE78:AE79"/>
    <mergeCell ref="AF78:AF79"/>
    <mergeCell ref="AG78:AG79"/>
    <mergeCell ref="AH78:AH79"/>
    <mergeCell ref="AI78:AI79"/>
    <mergeCell ref="X78:X79"/>
    <mergeCell ref="Y78:Y79"/>
    <mergeCell ref="Z78:Z79"/>
    <mergeCell ref="AA78:AA79"/>
    <mergeCell ref="AB78:AB79"/>
    <mergeCell ref="AC78:AC79"/>
    <mergeCell ref="BB78:BB79"/>
    <mergeCell ref="BC78:BC79"/>
    <mergeCell ref="BD78:BD79"/>
    <mergeCell ref="BE78:BE79"/>
    <mergeCell ref="BF78:BF79"/>
    <mergeCell ref="BG78:BG79"/>
    <mergeCell ref="AV78:AV79"/>
    <mergeCell ref="AW78:AW79"/>
    <mergeCell ref="AX78:AX79"/>
    <mergeCell ref="AY78:AY79"/>
    <mergeCell ref="AZ78:AZ79"/>
    <mergeCell ref="BA78:BA79"/>
    <mergeCell ref="AP78:AP79"/>
    <mergeCell ref="AQ78:AQ79"/>
    <mergeCell ref="AR78:AR79"/>
    <mergeCell ref="AS78:AS79"/>
    <mergeCell ref="AT78:AT79"/>
    <mergeCell ref="AU78:AU79"/>
    <mergeCell ref="AA80:AA81"/>
    <mergeCell ref="AB80:AB81"/>
    <mergeCell ref="AC80:AC81"/>
    <mergeCell ref="R80:R81"/>
    <mergeCell ref="S80:S81"/>
    <mergeCell ref="T80:T81"/>
    <mergeCell ref="U80:U81"/>
    <mergeCell ref="V80:V81"/>
    <mergeCell ref="W80:W81"/>
    <mergeCell ref="G80:G81"/>
    <mergeCell ref="H80:H81"/>
    <mergeCell ref="I80:I81"/>
    <mergeCell ref="J80:J81"/>
    <mergeCell ref="N80:N81"/>
    <mergeCell ref="Q80:Q81"/>
    <mergeCell ref="A80:A81"/>
    <mergeCell ref="B80:B81"/>
    <mergeCell ref="C80:C81"/>
    <mergeCell ref="D80:D81"/>
    <mergeCell ref="E80:E81"/>
    <mergeCell ref="F80:F81"/>
    <mergeCell ref="BC80:BC81"/>
    <mergeCell ref="BD80:BD81"/>
    <mergeCell ref="BE80:BE81"/>
    <mergeCell ref="BF80:BF81"/>
    <mergeCell ref="BG80:BG81"/>
    <mergeCell ref="AV80:AV81"/>
    <mergeCell ref="AW80:AW81"/>
    <mergeCell ref="AX80:AX81"/>
    <mergeCell ref="AY80:AY81"/>
    <mergeCell ref="AZ80:AZ81"/>
    <mergeCell ref="BA80:BA81"/>
    <mergeCell ref="AP80:AP81"/>
    <mergeCell ref="AQ80:AQ81"/>
    <mergeCell ref="AR80:AR81"/>
    <mergeCell ref="AS80:AS81"/>
    <mergeCell ref="AT80:AT81"/>
    <mergeCell ref="AU80:AU81"/>
    <mergeCell ref="J83:J84"/>
    <mergeCell ref="N83:N84"/>
    <mergeCell ref="Q83:Q84"/>
    <mergeCell ref="R83:R84"/>
    <mergeCell ref="S83:S84"/>
    <mergeCell ref="T83:T84"/>
    <mergeCell ref="A82:I82"/>
    <mergeCell ref="A83:A84"/>
    <mergeCell ref="B83:B84"/>
    <mergeCell ref="C83:C84"/>
    <mergeCell ref="D83:D84"/>
    <mergeCell ref="E83:E84"/>
    <mergeCell ref="F83:F84"/>
    <mergeCell ref="G83:G84"/>
    <mergeCell ref="H83:H84"/>
    <mergeCell ref="I83:I84"/>
    <mergeCell ref="BB80:BB81"/>
    <mergeCell ref="AJ80:AJ81"/>
    <mergeCell ref="AK80:AK81"/>
    <mergeCell ref="AL80:AL81"/>
    <mergeCell ref="AM80:AM81"/>
    <mergeCell ref="AN80:AN81"/>
    <mergeCell ref="AO80:AO81"/>
    <mergeCell ref="AD80:AD81"/>
    <mergeCell ref="AE80:AE81"/>
    <mergeCell ref="AF80:AF81"/>
    <mergeCell ref="AG80:AG81"/>
    <mergeCell ref="AH80:AH81"/>
    <mergeCell ref="AI80:AI81"/>
    <mergeCell ref="X80:X81"/>
    <mergeCell ref="Y80:Y81"/>
    <mergeCell ref="Z80:Z81"/>
    <mergeCell ref="AQ83:AQ84"/>
    <mergeCell ref="AR83:AR84"/>
    <mergeCell ref="AG83:AG84"/>
    <mergeCell ref="AH83:AH84"/>
    <mergeCell ref="AI83:AI84"/>
    <mergeCell ref="AJ83:AJ84"/>
    <mergeCell ref="AK83:AK84"/>
    <mergeCell ref="AL83:AL84"/>
    <mergeCell ref="AA83:AA84"/>
    <mergeCell ref="AB83:AB84"/>
    <mergeCell ref="AC83:AC84"/>
    <mergeCell ref="AD83:AD84"/>
    <mergeCell ref="AE83:AE84"/>
    <mergeCell ref="AF83:AF84"/>
    <mergeCell ref="U83:U84"/>
    <mergeCell ref="V83:V84"/>
    <mergeCell ref="W83:W84"/>
    <mergeCell ref="X83:X84"/>
    <mergeCell ref="Y83:Y84"/>
    <mergeCell ref="Z83:Z84"/>
    <mergeCell ref="H85:H86"/>
    <mergeCell ref="I85:I86"/>
    <mergeCell ref="J85:J86"/>
    <mergeCell ref="N85:N86"/>
    <mergeCell ref="Q85:Q86"/>
    <mergeCell ref="R85:R86"/>
    <mergeCell ref="BE83:BE84"/>
    <mergeCell ref="BF83:BF84"/>
    <mergeCell ref="BG83:BG84"/>
    <mergeCell ref="A85:A86"/>
    <mergeCell ref="B85:B86"/>
    <mergeCell ref="C85:C86"/>
    <mergeCell ref="D85:D86"/>
    <mergeCell ref="E85:E86"/>
    <mergeCell ref="F85:F86"/>
    <mergeCell ref="G85:G86"/>
    <mergeCell ref="AY83:AY84"/>
    <mergeCell ref="AZ83:AZ84"/>
    <mergeCell ref="BA83:BA84"/>
    <mergeCell ref="BB83:BB84"/>
    <mergeCell ref="BC83:BC84"/>
    <mergeCell ref="BD83:BD84"/>
    <mergeCell ref="AS83:AS84"/>
    <mergeCell ref="AT83:AT84"/>
    <mergeCell ref="AU83:AU84"/>
    <mergeCell ref="AV83:AV84"/>
    <mergeCell ref="AW83:AW84"/>
    <mergeCell ref="AX83:AX84"/>
    <mergeCell ref="AM83:AM84"/>
    <mergeCell ref="AN83:AN84"/>
    <mergeCell ref="AO83:AO84"/>
    <mergeCell ref="AP83:AP84"/>
    <mergeCell ref="AO85:AO86"/>
    <mergeCell ref="AP85:AP86"/>
    <mergeCell ref="AE85:AE86"/>
    <mergeCell ref="AF85:AF86"/>
    <mergeCell ref="AG85:AG86"/>
    <mergeCell ref="AH85:AH86"/>
    <mergeCell ref="AI85:AI86"/>
    <mergeCell ref="AJ85:AJ86"/>
    <mergeCell ref="Y85:Y86"/>
    <mergeCell ref="Z85:Z86"/>
    <mergeCell ref="AA85:AA86"/>
    <mergeCell ref="AB85:AB86"/>
    <mergeCell ref="AC85:AC86"/>
    <mergeCell ref="AD85:AD86"/>
    <mergeCell ref="S85:S86"/>
    <mergeCell ref="T85:T86"/>
    <mergeCell ref="U85:U86"/>
    <mergeCell ref="V85:V86"/>
    <mergeCell ref="W85:W86"/>
    <mergeCell ref="X85:X86"/>
    <mergeCell ref="F87:F88"/>
    <mergeCell ref="G87:G88"/>
    <mergeCell ref="H87:H88"/>
    <mergeCell ref="I87:I88"/>
    <mergeCell ref="J87:J88"/>
    <mergeCell ref="N87:N88"/>
    <mergeCell ref="BC85:BC86"/>
    <mergeCell ref="BD85:BD86"/>
    <mergeCell ref="BE85:BE86"/>
    <mergeCell ref="BF85:BF86"/>
    <mergeCell ref="BG85:BG86"/>
    <mergeCell ref="A87:A88"/>
    <mergeCell ref="B87:B88"/>
    <mergeCell ref="C87:C88"/>
    <mergeCell ref="D87:D88"/>
    <mergeCell ref="E87:E88"/>
    <mergeCell ref="AW85:AW86"/>
    <mergeCell ref="AX85:AX86"/>
    <mergeCell ref="AY85:AY86"/>
    <mergeCell ref="AZ85:AZ86"/>
    <mergeCell ref="BA85:BA86"/>
    <mergeCell ref="BB85:BB86"/>
    <mergeCell ref="AQ85:AQ86"/>
    <mergeCell ref="AR85:AR86"/>
    <mergeCell ref="AS85:AS86"/>
    <mergeCell ref="AT85:AT86"/>
    <mergeCell ref="AU85:AU86"/>
    <mergeCell ref="AV85:AV86"/>
    <mergeCell ref="AK85:AK86"/>
    <mergeCell ref="AL85:AL86"/>
    <mergeCell ref="AM85:AM86"/>
    <mergeCell ref="AN85:AN86"/>
    <mergeCell ref="AM87:AM88"/>
    <mergeCell ref="AN87:AN88"/>
    <mergeCell ref="AC87:AC88"/>
    <mergeCell ref="AD87:AD88"/>
    <mergeCell ref="AE87:AE88"/>
    <mergeCell ref="AF87:AF88"/>
    <mergeCell ref="AG87:AG88"/>
    <mergeCell ref="AH87:AH88"/>
    <mergeCell ref="W87:W88"/>
    <mergeCell ref="X87:X88"/>
    <mergeCell ref="Y87:Y88"/>
    <mergeCell ref="Z87:Z88"/>
    <mergeCell ref="AA87:AA88"/>
    <mergeCell ref="AB87:AB88"/>
    <mergeCell ref="Q87:Q88"/>
    <mergeCell ref="R87:R88"/>
    <mergeCell ref="S87:S88"/>
    <mergeCell ref="T87:T88"/>
    <mergeCell ref="U87:U88"/>
    <mergeCell ref="V87:V88"/>
    <mergeCell ref="BG87:BG88"/>
    <mergeCell ref="A89:A90"/>
    <mergeCell ref="B89:B90"/>
    <mergeCell ref="C89:C90"/>
    <mergeCell ref="D89:D90"/>
    <mergeCell ref="E89:E90"/>
    <mergeCell ref="F89:F90"/>
    <mergeCell ref="G89:G90"/>
    <mergeCell ref="H89:H90"/>
    <mergeCell ref="I89:I90"/>
    <mergeCell ref="BA87:BA88"/>
    <mergeCell ref="BB87:BB88"/>
    <mergeCell ref="BC87:BC88"/>
    <mergeCell ref="BD87:BD88"/>
    <mergeCell ref="BE87:BE88"/>
    <mergeCell ref="BF87:BF88"/>
    <mergeCell ref="AU87:AU88"/>
    <mergeCell ref="AV87:AV88"/>
    <mergeCell ref="AW87:AW88"/>
    <mergeCell ref="AX87:AX88"/>
    <mergeCell ref="AY87:AY88"/>
    <mergeCell ref="AZ87:AZ88"/>
    <mergeCell ref="AO87:AO88"/>
    <mergeCell ref="AP87:AP88"/>
    <mergeCell ref="AQ87:AQ88"/>
    <mergeCell ref="AR87:AR88"/>
    <mergeCell ref="AS87:AS88"/>
    <mergeCell ref="AT87:AT88"/>
    <mergeCell ref="AI87:AI88"/>
    <mergeCell ref="AJ87:AJ88"/>
    <mergeCell ref="AK87:AK88"/>
    <mergeCell ref="AL87:AL88"/>
    <mergeCell ref="AK89:AK90"/>
    <mergeCell ref="AL89:AL90"/>
    <mergeCell ref="AA89:AA90"/>
    <mergeCell ref="AB89:AB90"/>
    <mergeCell ref="AC89:AC90"/>
    <mergeCell ref="AD89:AD90"/>
    <mergeCell ref="AE89:AE90"/>
    <mergeCell ref="AF89:AF90"/>
    <mergeCell ref="U89:U90"/>
    <mergeCell ref="V89:V90"/>
    <mergeCell ref="W89:W90"/>
    <mergeCell ref="X89:X90"/>
    <mergeCell ref="Y89:Y90"/>
    <mergeCell ref="Z89:Z90"/>
    <mergeCell ref="J89:J90"/>
    <mergeCell ref="N89:N90"/>
    <mergeCell ref="Q89:Q90"/>
    <mergeCell ref="R89:R90"/>
    <mergeCell ref="S89:S90"/>
    <mergeCell ref="T89:T90"/>
    <mergeCell ref="BE89:BE90"/>
    <mergeCell ref="BF89:BF90"/>
    <mergeCell ref="BG89:BG90"/>
    <mergeCell ref="A91:I91"/>
    <mergeCell ref="A92:A93"/>
    <mergeCell ref="B92:B93"/>
    <mergeCell ref="C92:C93"/>
    <mergeCell ref="D92:D93"/>
    <mergeCell ref="E92:E93"/>
    <mergeCell ref="F92:F93"/>
    <mergeCell ref="AY89:AY90"/>
    <mergeCell ref="AZ89:AZ90"/>
    <mergeCell ref="BA89:BA90"/>
    <mergeCell ref="BB89:BB90"/>
    <mergeCell ref="BC89:BC90"/>
    <mergeCell ref="BD89:BD90"/>
    <mergeCell ref="AS89:AS90"/>
    <mergeCell ref="AT89:AT90"/>
    <mergeCell ref="AU89:AU90"/>
    <mergeCell ref="AV89:AV90"/>
    <mergeCell ref="AW89:AW90"/>
    <mergeCell ref="AX89:AX90"/>
    <mergeCell ref="AM89:AM90"/>
    <mergeCell ref="AN89:AN90"/>
    <mergeCell ref="AO89:AO90"/>
    <mergeCell ref="AP89:AP90"/>
    <mergeCell ref="AQ89:AQ90"/>
    <mergeCell ref="AR89:AR90"/>
    <mergeCell ref="AG89:AG90"/>
    <mergeCell ref="AH89:AH90"/>
    <mergeCell ref="AI89:AI90"/>
    <mergeCell ref="AJ89:AJ90"/>
    <mergeCell ref="AF92:AF93"/>
    <mergeCell ref="AG92:AG93"/>
    <mergeCell ref="AH92:AH93"/>
    <mergeCell ref="AI92:AI93"/>
    <mergeCell ref="X92:X93"/>
    <mergeCell ref="Y92:Y93"/>
    <mergeCell ref="Z92:Z93"/>
    <mergeCell ref="AA92:AA93"/>
    <mergeCell ref="AB92:AB93"/>
    <mergeCell ref="AC92:AC93"/>
    <mergeCell ref="R92:R93"/>
    <mergeCell ref="S92:S93"/>
    <mergeCell ref="T92:T93"/>
    <mergeCell ref="U92:U93"/>
    <mergeCell ref="V92:V93"/>
    <mergeCell ref="W92:W93"/>
    <mergeCell ref="G92:G93"/>
    <mergeCell ref="H92:H93"/>
    <mergeCell ref="I92:I93"/>
    <mergeCell ref="J92:J93"/>
    <mergeCell ref="N92:N93"/>
    <mergeCell ref="Q92:Q93"/>
    <mergeCell ref="A94:A95"/>
    <mergeCell ref="B94:B95"/>
    <mergeCell ref="C94:C95"/>
    <mergeCell ref="D94:D95"/>
    <mergeCell ref="E94:E95"/>
    <mergeCell ref="F94:F95"/>
    <mergeCell ref="BB92:BB93"/>
    <mergeCell ref="BC92:BC93"/>
    <mergeCell ref="BD92:BD93"/>
    <mergeCell ref="BE92:BE93"/>
    <mergeCell ref="BF92:BF93"/>
    <mergeCell ref="BG92:BG93"/>
    <mergeCell ref="AV92:AV93"/>
    <mergeCell ref="AW92:AW93"/>
    <mergeCell ref="AX92:AX93"/>
    <mergeCell ref="AY92:AY93"/>
    <mergeCell ref="AZ92:AZ93"/>
    <mergeCell ref="BA92:BA93"/>
    <mergeCell ref="AP92:AP93"/>
    <mergeCell ref="AQ92:AQ93"/>
    <mergeCell ref="AR92:AR93"/>
    <mergeCell ref="AS92:AS93"/>
    <mergeCell ref="AT92:AT93"/>
    <mergeCell ref="AU92:AU93"/>
    <mergeCell ref="AJ92:AJ93"/>
    <mergeCell ref="AK92:AK93"/>
    <mergeCell ref="AL92:AL93"/>
    <mergeCell ref="AM92:AM93"/>
    <mergeCell ref="AN92:AN93"/>
    <mergeCell ref="AO92:AO93"/>
    <mergeCell ref="AD92:AD93"/>
    <mergeCell ref="AE92:AE93"/>
    <mergeCell ref="AF94:AF95"/>
    <mergeCell ref="AG94:AG95"/>
    <mergeCell ref="AH94:AH95"/>
    <mergeCell ref="AI94:AI95"/>
    <mergeCell ref="X94:X95"/>
    <mergeCell ref="Y94:Y95"/>
    <mergeCell ref="Z94:Z95"/>
    <mergeCell ref="AA94:AA95"/>
    <mergeCell ref="AB94:AB95"/>
    <mergeCell ref="AC94:AC95"/>
    <mergeCell ref="R94:R95"/>
    <mergeCell ref="S94:S95"/>
    <mergeCell ref="T94:T95"/>
    <mergeCell ref="U94:U95"/>
    <mergeCell ref="V94:V95"/>
    <mergeCell ref="W94:W95"/>
    <mergeCell ref="G94:G95"/>
    <mergeCell ref="H94:H95"/>
    <mergeCell ref="I94:I95"/>
    <mergeCell ref="J94:J95"/>
    <mergeCell ref="N94:N95"/>
    <mergeCell ref="Q94:Q95"/>
    <mergeCell ref="A96:A97"/>
    <mergeCell ref="B96:B97"/>
    <mergeCell ref="C96:C97"/>
    <mergeCell ref="D96:D97"/>
    <mergeCell ref="E96:E97"/>
    <mergeCell ref="F96:F97"/>
    <mergeCell ref="BB94:BB95"/>
    <mergeCell ref="BC94:BC95"/>
    <mergeCell ref="BD94:BD95"/>
    <mergeCell ref="BE94:BE95"/>
    <mergeCell ref="BF94:BF95"/>
    <mergeCell ref="BG94:BG95"/>
    <mergeCell ref="AV94:AV95"/>
    <mergeCell ref="AW94:AW95"/>
    <mergeCell ref="AX94:AX95"/>
    <mergeCell ref="AY94:AY95"/>
    <mergeCell ref="AZ94:AZ95"/>
    <mergeCell ref="BA94:BA95"/>
    <mergeCell ref="AP94:AP95"/>
    <mergeCell ref="AQ94:AQ95"/>
    <mergeCell ref="AR94:AR95"/>
    <mergeCell ref="AS94:AS95"/>
    <mergeCell ref="AT94:AT95"/>
    <mergeCell ref="AU94:AU95"/>
    <mergeCell ref="AJ94:AJ95"/>
    <mergeCell ref="AK94:AK95"/>
    <mergeCell ref="AL94:AL95"/>
    <mergeCell ref="AM94:AM95"/>
    <mergeCell ref="AN94:AN95"/>
    <mergeCell ref="AO94:AO95"/>
    <mergeCell ref="AD94:AD95"/>
    <mergeCell ref="AE94:AE95"/>
    <mergeCell ref="AF96:AF97"/>
    <mergeCell ref="AG96:AG97"/>
    <mergeCell ref="AH96:AH97"/>
    <mergeCell ref="AI96:AI97"/>
    <mergeCell ref="X96:X97"/>
    <mergeCell ref="Y96:Y97"/>
    <mergeCell ref="Z96:Z97"/>
    <mergeCell ref="AA96:AA97"/>
    <mergeCell ref="AB96:AB97"/>
    <mergeCell ref="AC96:AC97"/>
    <mergeCell ref="R96:R97"/>
    <mergeCell ref="S96:S97"/>
    <mergeCell ref="T96:T97"/>
    <mergeCell ref="U96:U97"/>
    <mergeCell ref="V96:V97"/>
    <mergeCell ref="W96:W97"/>
    <mergeCell ref="G96:G97"/>
    <mergeCell ref="H96:H97"/>
    <mergeCell ref="I96:I97"/>
    <mergeCell ref="J96:J97"/>
    <mergeCell ref="N96:N97"/>
    <mergeCell ref="Q96:Q97"/>
    <mergeCell ref="A98:A99"/>
    <mergeCell ref="B98:B99"/>
    <mergeCell ref="C98:C99"/>
    <mergeCell ref="D98:D99"/>
    <mergeCell ref="E98:E99"/>
    <mergeCell ref="F98:F99"/>
    <mergeCell ref="BB96:BB97"/>
    <mergeCell ref="BC96:BC97"/>
    <mergeCell ref="BD96:BD97"/>
    <mergeCell ref="BE96:BE97"/>
    <mergeCell ref="BF96:BF97"/>
    <mergeCell ref="BG96:BG97"/>
    <mergeCell ref="AV96:AV97"/>
    <mergeCell ref="AW96:AW97"/>
    <mergeCell ref="AX96:AX97"/>
    <mergeCell ref="AY96:AY97"/>
    <mergeCell ref="AZ96:AZ97"/>
    <mergeCell ref="BA96:BA97"/>
    <mergeCell ref="AP96:AP97"/>
    <mergeCell ref="AQ96:AQ97"/>
    <mergeCell ref="AR96:AR97"/>
    <mergeCell ref="AS96:AS97"/>
    <mergeCell ref="AT96:AT97"/>
    <mergeCell ref="AU96:AU97"/>
    <mergeCell ref="AJ96:AJ97"/>
    <mergeCell ref="AK96:AK97"/>
    <mergeCell ref="AL96:AL97"/>
    <mergeCell ref="AM96:AM97"/>
    <mergeCell ref="AN96:AN97"/>
    <mergeCell ref="AO96:AO97"/>
    <mergeCell ref="AD96:AD97"/>
    <mergeCell ref="AE96:AE97"/>
    <mergeCell ref="X98:X99"/>
    <mergeCell ref="Y98:Y99"/>
    <mergeCell ref="Z98:Z99"/>
    <mergeCell ref="AA98:AA99"/>
    <mergeCell ref="AB98:AB99"/>
    <mergeCell ref="AC98:AC99"/>
    <mergeCell ref="R98:R99"/>
    <mergeCell ref="S98:S99"/>
    <mergeCell ref="T98:T99"/>
    <mergeCell ref="U98:U99"/>
    <mergeCell ref="V98:V99"/>
    <mergeCell ref="W98:W99"/>
    <mergeCell ref="G98:G99"/>
    <mergeCell ref="H98:H99"/>
    <mergeCell ref="I98:I99"/>
    <mergeCell ref="J98:J99"/>
    <mergeCell ref="N98:N99"/>
    <mergeCell ref="Q98:Q99"/>
    <mergeCell ref="A100:I100"/>
    <mergeCell ref="A101:I101"/>
    <mergeCell ref="BB98:BB99"/>
    <mergeCell ref="BC98:BC99"/>
    <mergeCell ref="BD98:BD99"/>
    <mergeCell ref="BE98:BE99"/>
    <mergeCell ref="BF98:BF99"/>
    <mergeCell ref="BG98:BG99"/>
    <mergeCell ref="AV98:AV99"/>
    <mergeCell ref="AW98:AW99"/>
    <mergeCell ref="AX98:AX99"/>
    <mergeCell ref="AY98:AY99"/>
    <mergeCell ref="AZ98:AZ99"/>
    <mergeCell ref="BA98:BA99"/>
    <mergeCell ref="AP98:AP99"/>
    <mergeCell ref="AQ98:AQ99"/>
    <mergeCell ref="AR98:AR99"/>
    <mergeCell ref="AS98:AS99"/>
    <mergeCell ref="AT98:AT99"/>
    <mergeCell ref="AU98:AU99"/>
    <mergeCell ref="AJ98:AJ99"/>
    <mergeCell ref="AK98:AK99"/>
    <mergeCell ref="AL98:AL99"/>
    <mergeCell ref="AM98:AM99"/>
    <mergeCell ref="AN98:AN99"/>
    <mergeCell ref="AO98:AO99"/>
    <mergeCell ref="AD98:AD99"/>
    <mergeCell ref="AE98:AE99"/>
    <mergeCell ref="AF98:AF99"/>
    <mergeCell ref="AG98:AG99"/>
    <mergeCell ref="AH98:AH99"/>
    <mergeCell ref="AI98:AI99"/>
  </mergeCells>
  <phoneticPr fontId="61" type="noConversion"/>
  <pageMargins left="0" right="0" top="0" bottom="0" header="0" footer="0"/>
  <pageSetup paperSize="9" scale="65"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21</vt:i4>
      </vt:variant>
      <vt:variant>
        <vt:lpstr>已命名的範圍</vt:lpstr>
      </vt:variant>
      <vt:variant>
        <vt:i4>21</vt:i4>
      </vt:variant>
    </vt:vector>
  </HeadingPairs>
  <TitlesOfParts>
    <vt:vector size="42" baseType="lpstr">
      <vt:lpstr>DEC.1.23    </vt:lpstr>
      <vt:lpstr>DEC.2.23  </vt:lpstr>
      <vt:lpstr>DEC.4.23</vt:lpstr>
      <vt:lpstr>DEC.5.23 </vt:lpstr>
      <vt:lpstr>DEC.6.23</vt:lpstr>
      <vt:lpstr>DEC.7.23</vt:lpstr>
      <vt:lpstr>DEC.8.23</vt:lpstr>
      <vt:lpstr>DEC.11.23</vt:lpstr>
      <vt:lpstr>DEC.12.23</vt:lpstr>
      <vt:lpstr>DEC.13.23 </vt:lpstr>
      <vt:lpstr>DEC.14.23  </vt:lpstr>
      <vt:lpstr>DEC.15.23  </vt:lpstr>
      <vt:lpstr>DEC.18.23  </vt:lpstr>
      <vt:lpstr>DEC.19.23  </vt:lpstr>
      <vt:lpstr>DEC.20.23  </vt:lpstr>
      <vt:lpstr>DEC.21.23  </vt:lpstr>
      <vt:lpstr>DEC.22.23  </vt:lpstr>
      <vt:lpstr>DEC.25.23  </vt:lpstr>
      <vt:lpstr>DEC.26.23</vt:lpstr>
      <vt:lpstr>DEC.27.23  </vt:lpstr>
      <vt:lpstr>DEC.28.23   </vt:lpstr>
      <vt:lpstr>'DEC.1.23    '!Print_Area</vt:lpstr>
      <vt:lpstr>DEC.11.23!Print_Area</vt:lpstr>
      <vt:lpstr>DEC.12.23!Print_Area</vt:lpstr>
      <vt:lpstr>'DEC.13.23 '!Print_Area</vt:lpstr>
      <vt:lpstr>'DEC.14.23  '!Print_Area</vt:lpstr>
      <vt:lpstr>'DEC.15.23  '!Print_Area</vt:lpstr>
      <vt:lpstr>'DEC.18.23  '!Print_Area</vt:lpstr>
      <vt:lpstr>'DEC.19.23  '!Print_Area</vt:lpstr>
      <vt:lpstr>'DEC.2.23  '!Print_Area</vt:lpstr>
      <vt:lpstr>'DEC.20.23  '!Print_Area</vt:lpstr>
      <vt:lpstr>'DEC.21.23  '!Print_Area</vt:lpstr>
      <vt:lpstr>'DEC.22.23  '!Print_Area</vt:lpstr>
      <vt:lpstr>'DEC.25.23  '!Print_Area</vt:lpstr>
      <vt:lpstr>DEC.26.23!Print_Area</vt:lpstr>
      <vt:lpstr>'DEC.27.23  '!Print_Area</vt:lpstr>
      <vt:lpstr>'DEC.28.23   '!Print_Area</vt:lpstr>
      <vt:lpstr>DEC.4.23!Print_Area</vt:lpstr>
      <vt:lpstr>'DEC.5.23 '!Print_Area</vt:lpstr>
      <vt:lpstr>DEC.6.23!Print_Area</vt:lpstr>
      <vt:lpstr>DEC.7.23!Print_Area</vt:lpstr>
      <vt:lpstr>DEC.8.23!Print_Area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2024-01-03T07:03:36Z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